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9" activeTab="2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T R I P A S       " sheetId="164" r:id="rId10"/>
    <sheet name="PULPA ESPALDILLA " sheetId="185" state="hidden" r:id="rId11"/>
    <sheet name="CABEZA DE LOMO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  SH    " sheetId="187" r:id="rId18"/>
    <sheet name="QUESOS  GOUDA    " sheetId="14" r:id="rId19"/>
    <sheet name="PIERNA DE CARNERO Nal 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SESOS    MARQUETA    " sheetId="191" r:id="rId25"/>
    <sheet name="LOMO DE CAÑA    " sheetId="163" r:id="rId26"/>
    <sheet name="PIERNA    SH      " sheetId="190" r:id="rId27"/>
    <sheet name="COSTILLA ESPECIAL DE CERDO  " sheetId="133" r:id="rId28"/>
    <sheet name="CHULETA DE CERDO   entrecot    " sheetId="150" r:id="rId29"/>
    <sheet name="CABEZA DE   LOMO    " sheetId="161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PUNTAS DE CAÑA DE LOMO" sheetId="183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D104" i="40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3" i="40"/>
  <c r="K103" i="40" s="1"/>
  <c r="F104" i="40"/>
  <c r="K104" i="40" s="1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T8" i="154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29" i="1" s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AX9" i="57" l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F33" i="183"/>
  <c r="D32" i="183"/>
  <c r="C32" i="183"/>
  <c r="F34" i="183" s="1"/>
  <c r="F28" i="183"/>
  <c r="F27" i="183"/>
  <c r="F26" i="183"/>
  <c r="F25" i="183"/>
  <c r="F24" i="183"/>
  <c r="F23" i="183"/>
  <c r="F22" i="183"/>
  <c r="F21" i="183"/>
  <c r="F20" i="183"/>
  <c r="F19" i="183"/>
  <c r="F18" i="183"/>
  <c r="F17" i="183"/>
  <c r="F16" i="183"/>
  <c r="F15" i="183"/>
  <c r="F14" i="183"/>
  <c r="F13" i="183"/>
  <c r="F12" i="183"/>
  <c r="F11" i="183"/>
  <c r="F10" i="183"/>
  <c r="F9" i="183"/>
  <c r="I8" i="183"/>
  <c r="I9" i="183" s="1"/>
  <c r="I10" i="183" s="1"/>
  <c r="I11" i="183" s="1"/>
  <c r="I12" i="183" s="1"/>
  <c r="I13" i="183" s="1"/>
  <c r="I14" i="183" s="1"/>
  <c r="I15" i="183" s="1"/>
  <c r="I16" i="183" s="1"/>
  <c r="I17" i="183" s="1"/>
  <c r="I18" i="183" s="1"/>
  <c r="F8" i="183"/>
  <c r="F32" i="183" s="1"/>
  <c r="G5" i="183" s="1"/>
  <c r="H5" i="183" s="1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113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<sst xmlns="http://schemas.openxmlformats.org/spreadsheetml/2006/main" count="3875" uniqueCount="673">
  <si>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</si>
  <si>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</si>
  <si>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</si>
  <si>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</si>
  <si>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</si>
  <si>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</si>
  <si>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</si>
  <si>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</si>
  <si>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</si>
  <si>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</si>
  <si>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</si>
  <si>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</si>
  <si>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</si>
  <si>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</si>
  <si>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</si>
  <si>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</si>
  <si>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</si>
  <si>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</si>
  <si>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</si>
  <si>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</si>
  <si>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</si>
  <si>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</si>
  <si>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</si>
  <si>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</si>
  <si>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</si>
  <si>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</si>
  <si>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</si>
  <si>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</si>
  <si>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</si>
  <si>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</si>
  <si>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</si>
  <si>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</si>
  <si>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</si>
  <si>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</si>
  <si>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</si>
  <si>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</si>
  <si>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</si>
  <si>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</si>
  <si>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</si>
  <si>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</si>
  <si>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</si>
  <si>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</si>
  <si>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</si>
  <si>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</si>
  <si>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</si>
  <si>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</si>
  <si>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</si>
  <si>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</si>
  <si>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</si>
  <si>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</si>
  <si>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</si>
  <si>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</si>
  <si>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</si>
  <si>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</si>
  <si>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</si>
  <si>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</si>
  <si>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</si>
  <si>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</si>
  <si>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</si>
  <si>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</si>
  <si>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</si>
  <si>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</si>
  <si>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</si>
  <si>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</si>
  <si>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</si>
  <si>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</si>
  <si>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</si>
  <si>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</si>
  <si>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</si>
  <si>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</si>
  <si>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</si>
  <si>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</si>
  <si>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</si>
  <si>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</si>
  <si>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</si>
  <si>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</si>
  <si>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</si>
  <si>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</si>
  <si>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</si>
  <si>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</si>
  <si>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</si>
  <si>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</si>
  <si>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</si>
  <si>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</si>
  <si>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</si>
  <si>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</si>
  <si>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</si>
  <si>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</si>
  <si>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</si>
  <si>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</si>
  <si>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</si>
  <si>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</si>
  <si>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</si>
  <si>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</si>
  <si>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</si>
  <si>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</si>
  <si>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</si>
  <si>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</si>
  <si>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</si>
  <si>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</si>
  <si>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</si>
  <si>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</si>
  <si>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</si>
  <si>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</si>
  <si>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</si>
  <si>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</si>
  <si>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</si>
  <si>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</si>
  <si>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</si>
  <si>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</si>
  <si>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</si>
  <si>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</si>
  <si>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</si>
  <si>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</si>
  <si>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</si>
  <si>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</si>
  <si>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</si>
  <si>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</si>
  <si>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</si>
  <si>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</si>
  <si>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</si>
  <si>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</si>
  <si>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</si>
  <si>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</si>
  <si>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</si>
  <si>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</si>
  <si>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</si>
  <si>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</si>
  <si>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</si>
  <si>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</si>
  <si>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</si>
  <si>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</si>
  <si>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</si>
  <si>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</si>
  <si>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</si>
  <si>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</si>
  <si>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</si>
  <si>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</si>
  <si>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</si>
  <si>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</si>
  <si>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</si>
  <si>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</si>
  <si>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</si>
  <si>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</si>
  <si>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</si>
  <si>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</si>
  <si>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</si>
  <si>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</si>
  <si>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</si>
  <si>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</si>
  <si>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</si>
  <si>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</si>
  <si>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</si>
  <si>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</si>
  <si>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</si>
  <si>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</si>
  <si>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</si>
  <si>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</si>
  <si>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</si>
  <si>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</si>
  <si>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</si>
  <si>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</si>
  <si>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</si>
  <si>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</si>
  <si>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</si>
  <si>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</si>
  <si>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</si>
  <si>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</si>
  <si>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</si>
  <si>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</si>
  <si>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</si>
  <si>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</si>
  <si>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</si>
  <si>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</si>
  <si>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</si>
  <si>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</si>
  <si>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</si>
  <si>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</si>
  <si>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</si>
  <si>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</si>
  <si>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</si>
  <si>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</si>
  <si>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</si>
  <si>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</si>
  <si>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</si>
  <si>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</si>
  <si>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</si>
  <si>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</si>
  <si>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</si>
  <si>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</si>
  <si>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</si>
  <si>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</si>
  <si>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</si>
  <si>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</si>
  <si>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</si>
  <si>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</si>
  <si>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</si>
  <si>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</si>
  <si>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</si>
  <si>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</si>
  <si>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</si>
  <si>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</si>
  <si>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</si>
  <si>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</si>
  <si>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</si>
  <si>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</si>
  <si>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</si>
  <si>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</si>
  <si>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</si>
  <si>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</si>
  <si>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</si>
  <si>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</si>
  <si>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</si>
  <si>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</si>
  <si>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</si>
  <si>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</si>
  <si>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</si>
  <si>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</si>
  <si>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</si>
  <si>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</si>
  <si>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</si>
  <si>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</si>
  <si>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</si>
  <si>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</si>
  <si>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</si>
  <si>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</si>
  <si>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</si>
  <si>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</si>
  <si>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</si>
  <si>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</si>
  <si>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</si>
  <si>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</si>
  <si>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</si>
  <si>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</si>
  <si>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</si>
  <si>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</si>
  <si>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</si>
  <si>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</si>
  <si>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</si>
  <si>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</si>
  <si>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</si>
  <si>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</si>
  <si>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</si>
  <si>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</si>
  <si>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</si>
  <si>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</si>
  <si>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</si>
  <si>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</si>
  <si>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</si>
  <si>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</si>
  <si>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</si>
  <si>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</si>
  <si>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</si>
  <si>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</si>
  <si>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</si>
  <si>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</si>
  <si>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</si>
  <si>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</si>
  <si>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</si>
  <si>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</si>
  <si>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</si>
  <si>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</si>
  <si>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</si>
  <si>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</si>
  <si>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</si>
  <si>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</si>
  <si>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</si>
  <si>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</si>
  <si>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</si>
  <si>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</si>
  <si>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</si>
  <si>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</si>
  <si>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</si>
  <si>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</si>
  <si>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</si>
  <si>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</si>
  <si>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</si>
  <si>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</si>
  <si>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</si>
  <si>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</si>
  <si>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</si>
  <si>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</si>
  <si>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</si>
  <si>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</si>
  <si>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</si>
  <si>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</si>
  <si>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</si>
  <si>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</si>
  <si>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</si>
  <si>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</si>
  <si>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</si>
  <si>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</si>
  <si>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</si>
  <si>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</si>
  <si>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</si>
  <si>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</si>
  <si>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</si>
  <si>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</si>
  <si>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</si>
  <si>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</si>
  <si>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</si>
  <si>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</si>
  <si>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</si>
  <si>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</si>
  <si>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</si>
  <si>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</si>
  <si>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</si>
  <si>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</si>
  <si>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</si>
  <si>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</si>
  <si>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</si>
  <si>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</si>
  <si>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</si>
  <si>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</si>
  <si>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</si>
  <si>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</si>
  <si>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</si>
  <si>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</si>
  <si>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</si>
  <si>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</si>
  <si>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</si>
  <si>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</si>
  <si>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</si>
  <si>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</si>
  <si>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</si>
  <si>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</si>
  <si>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</si>
  <si>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</si>
  <si>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</si>
  <si>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</si>
  <si>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</si>
  <si>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</si>
  <si>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</si>
  <si>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</si>
  <si>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</si>
  <si>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</si>
  <si>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</si>
  <si>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</si>
  <si>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</si>
  <si>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</si>
  <si>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</si>
  <si>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</si>
  <si>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</si>
  <si>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</si>
  <si>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</si>
  <si>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</si>
  <si>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</si>
  <si>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</si>
  <si>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</si>
  <si>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</si>
  <si>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ABASTECEDPRA DE CARNES FRESCAS RPEÑ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</si>
  <si>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</si>
  <si>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</si>
  <si>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</si>
  <si>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</si>
  <si>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</si>
  <si>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</si>
  <si>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</si>
  <si>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</si>
  <si>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</si>
  <si>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</si>
  <si>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</si>
  <si>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</si>
  <si>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</si>
  <si>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</si>
  <si>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</si>
  <si>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</si>
  <si>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</si>
  <si>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</si>
  <si>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</si>
  <si>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</si>
  <si>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</si>
  <si>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</si>
  <si>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</si>
  <si>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</si>
  <si>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</si>
  <si>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</si>
  <si>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</si>
  <si>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</si>
  <si>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</si>
  <si>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</si>
  <si>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</si>
  <si>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</si>
  <si>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</si>
  <si>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</si>
  <si>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</si>
  <si>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</si>
  <si>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</si>
  <si>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</si>
  <si>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</si>
  <si>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</si>
  <si>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</si>
  <si>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</si>
  <si>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</si>
  <si>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</si>
  <si>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</si>
  <si>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</si>
  <si>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</si>
  <si>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</si>
  <si>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</si>
  <si>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</si>
  <si>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</si>
  <si>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</si>
  <si>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</si>
  <si>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</si>
  <si>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</si>
  <si>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</si>
  <si>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</si>
  <si>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</si>
  <si>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</si>
  <si>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</si>
  <si>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</si>
  <si>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</si>
  <si>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</si>
  <si>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</si>
  <si>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</si>
  <si>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</si>
  <si>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</si>
  <si>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</si>
  <si>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</si>
  <si>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</si>
  <si>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</si>
  <si>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</si>
  <si>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</si>
  <si>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</si>
  <si>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</si>
  <si>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F--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</si>
  <si>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</si>
  <si>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</si>
  <si>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</si>
  <si>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</si>
  <si>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</si>
  <si>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</si>
  <si>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</si>
  <si>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</si>
  <si>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</si>
  <si>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</si>
  <si>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</si>
  <si>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</si>
  <si>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</si>
  <si>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</si>
  <si>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</si>
  <si>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</si>
  <si>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</si>
  <si>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</si>
  <si>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</si>
  <si>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</si>
  <si>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</si>
  <si>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</si>
  <si>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</si>
  <si>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</si>
  <si>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</si>
  <si>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</si>
  <si>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</si>
  <si>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</si>
  <si>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</si>
  <si>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</si>
  <si>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</si>
  <si>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</si>
  <si>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</si>
  <si>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</si>
  <si>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0610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</si>
  <si>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</si>
  <si>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</si>
  <si>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</si>
  <si>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</si>
  <si>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</si>
  <si>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</si>
  <si>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</si>
  <si>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</si>
  <si>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</si>
  <si>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</si>
  <si>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</si>
  <si>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</si>
  <si>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</si>
  <si>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</si>
  <si>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</si>
  <si>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</si>
  <si>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</si>
  <si>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</si>
  <si>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</si>
  <si>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</si>
  <si>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</si>
  <si>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</si>
  <si>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</si>
  <si>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</si>
  <si>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</si>
  <si>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</si>
  <si>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</si>
  <si>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</si>
  <si>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</si>
  <si>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</si>
  <si>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</si>
  <si>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</si>
  <si>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</si>
  <si>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</si>
  <si>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</si>
  <si>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</si>
  <si>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</si>
  <si>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</si>
  <si>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</si>
  <si>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</si>
  <si>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</si>
  <si>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</si>
  <si>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</si>
  <si>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</si>
  <si>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</si>
  <si>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</si>
  <si>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</si>
  <si>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</si>
  <si>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</si>
  <si>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</si>
  <si>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</si>
  <si>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</si>
  <si>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</si>
  <si>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</si>
  <si>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</si>
  <si>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</si>
  <si>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</si>
  <si>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</si>
  <si>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</si>
  <si>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</si>
  <si>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</si>
  <si>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</si>
  <si>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</si>
  <si>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</si>
  <si>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</si>
  <si>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</si>
  <si>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</si>
  <si>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</si>
  <si>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</si>
  <si>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</si>
  <si>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</si>
  <si>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</si>
  <si>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</si>
  <si>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</si>
  <si>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</si>
  <si>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</si>
  <si>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</si>
  <si>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</si>
  <si>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</si>
  <si>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</si>
  <si>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</si>
  <si>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</si>
  <si>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</si>
  <si>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</si>
  <si>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</si>
  <si>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</si>
  <si>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</si>
  <si>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</si>
  <si>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</si>
  <si>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</si>
  <si>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</si>
  <si>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</si>
  <si>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</si>
  <si>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</si>
  <si>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</si>
  <si>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</si>
  <si>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</si>
  <si>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</si>
  <si>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</si>
  <si>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</si>
  <si>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</si>
  <si>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</si>
  <si>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</si>
  <si>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</si>
  <si>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</si>
  <si>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</si>
  <si>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</si>
  <si>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</si>
  <si>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</si>
  <si>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</si>
  <si>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</si>
  <si>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</si>
  <si>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</si>
  <si>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</si>
  <si>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</si>
  <si>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</si>
  <si>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</si>
  <si>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</si>
  <si>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</si>
  <si>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</si>
  <si>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</si>
  <si>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</si>
  <si>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</si>
  <si>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</si>
  <si>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</si>
  <si>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</si>
  <si>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</si>
  <si>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</si>
  <si>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</si>
  <si>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</si>
  <si>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</si>
  <si>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</si>
  <si>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</si>
  <si>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</si>
  <si>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</si>
  <si>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</si>
  <si>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</si>
  <si>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</si>
  <si>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</si>
  <si>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</si>
  <si>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</si>
  <si>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</si>
  <si>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</si>
  <si>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</si>
  <si>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</si>
  <si>
    <t>0770 Y</t>
  </si>
  <si>
    <t>0771 Y</t>
  </si>
  <si>
    <t>0772 Y</t>
  </si>
  <si>
    <t>0773 Y</t>
  </si>
  <si>
    <t>0774 Y</t>
  </si>
  <si>
    <t>0775 Y</t>
  </si>
  <si>
    <t>0776 Y</t>
  </si>
  <si>
    <t>0777 Y</t>
  </si>
  <si>
    <t>0778 Y</t>
  </si>
  <si>
    <t>0779 Y</t>
  </si>
  <si>
    <t>0780 Y</t>
  </si>
  <si>
    <t>0781 Y</t>
  </si>
  <si>
    <t>0782 Y</t>
  </si>
  <si>
    <t>0784 Y</t>
  </si>
  <si>
    <t>0785 Y</t>
  </si>
  <si>
    <t>0786 Y</t>
  </si>
  <si>
    <t>0787 Y</t>
  </si>
  <si>
    <t>0788 Y</t>
  </si>
  <si>
    <t>0789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</si>
  <si>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</si>
  <si>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</si>
  <si>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</si>
  <si>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</si>
  <si>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</si>
  <si>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</si>
  <si>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</si>
  <si>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</si>
  <si>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</si>
  <si>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</si>
  <si>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</si>
  <si>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</si>
  <si>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</si>
  <si>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</si>
  <si>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</si>
  <si>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</si>
  <si>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0806 Y</t>
  </si>
  <si>
    <t>0807 Y</t>
  </si>
  <si>
    <t>0808 Y</t>
  </si>
  <si>
    <t>0809 Y</t>
  </si>
  <si>
    <t>0810 Y</t>
  </si>
  <si>
    <t>0811 Y</t>
  </si>
  <si>
    <t>0812 Y</t>
  </si>
  <si>
    <t>0813 Y</t>
  </si>
  <si>
    <t>0823 Y</t>
  </si>
  <si>
    <t>0833 Y</t>
  </si>
  <si>
    <t>0815 Y</t>
  </si>
  <si>
    <t>0816 Y</t>
  </si>
  <si>
    <t>0817 Y</t>
  </si>
  <si>
    <t>0818 Y</t>
  </si>
  <si>
    <t>0819 Y</t>
  </si>
  <si>
    <t>0829 Y</t>
  </si>
  <si>
    <t>0821 Y</t>
  </si>
  <si>
    <t>0822 Y</t>
  </si>
  <si>
    <t>0824 Y</t>
  </si>
  <si>
    <t>0825 Y</t>
  </si>
  <si>
    <t>0826 Y</t>
  </si>
  <si>
    <t>0828 Y</t>
  </si>
  <si>
    <t>0827 Y</t>
  </si>
  <si>
    <t>0830 Y</t>
  </si>
  <si>
    <t>0831 Y</t>
  </si>
  <si>
    <t>0832 Y</t>
  </si>
  <si>
    <t>0834 Y</t>
  </si>
  <si>
    <t>0835 Y</t>
  </si>
  <si>
    <t>0836 Y</t>
  </si>
  <si>
    <t>0837 Y</t>
  </si>
  <si>
    <t>0838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</si>
</sst>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4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" fontId="12" fillId="0" borderId="0" xfId="0" applyNumberFormat="1" applyFont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78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4" borderId="0" xfId="0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  <xf numFmtId="15" fontId="7" fillId="25" borderId="4" xfId="0" applyNumberFormat="1" applyFont="1" applyFill="1" applyBorder="1"/>
    <xf numFmtId="2" fontId="7" fillId="25" borderId="0" xfId="0" applyNumberFormat="1" applyFont="1" applyFill="1" applyAlignment="1">
      <alignment horizontal="right"/>
    </xf>
    <xf numFmtId="0" fontId="7" fillId="25" borderId="10" xfId="0" applyFont="1" applyFill="1" applyBorder="1" applyAlignment="1">
      <alignment horizontal="right"/>
    </xf>
    <xf numFmtId="164" fontId="7" fillId="25" borderId="0" xfId="0" applyNumberFormat="1" applyFont="1" applyFill="1"/>
    <xf numFmtId="44" fontId="7" fillId="25" borderId="0" xfId="1" applyFont="1" applyFill="1"/>
    <xf numFmtId="2" fontId="35" fillId="7" borderId="0" xfId="0" applyNumberFormat="1" applyFont="1" applyFill="1" applyAlignment="1">
      <alignment horizontal="right"/>
    </xf>
    <xf numFmtId="0" fontId="7" fillId="11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66FFFF"/>
      <color rgb="FF99FFCC"/>
      <color rgb="FF66FF99"/>
      <color rgb="FFFF3399"/>
      <color rgb="FF0000FF"/>
      <color rgb="FFFFCCFF"/>
      <color rgb="FFFF9999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5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630300.92000000004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0</c:v>
                </c:pt>
                <c:pt idx="35">
                  <c:v>559249.86164999998</c:v>
                </c:pt>
                <c:pt idx="36">
                  <c:v>534249.64779999992</c:v>
                </c:pt>
                <c:pt idx="37">
                  <c:v>532570.52879999997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34.300410864229782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0.1</c:v>
                </c:pt>
                <c:pt idx="35">
                  <c:v>29.768899857822671</c:v>
                </c:pt>
                <c:pt idx="36">
                  <c:v>28.109754153625143</c:v>
                </c:pt>
                <c:pt idx="37">
                  <c:v>27.954107154811716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M69" activePane="bottomRight" state="frozen"/>
      <selection pane="topRight" activeCell="B1" sqref="B1"/>
      <selection pane="bottomLeft" activeCell="A3" sqref="A3"/>
      <selection pane="bottomRight" activeCell="O99" sqref="O9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5" customWidth="1"/>
    <col min="13" max="13" width="14.140625" bestFit="1" customWidth="1"/>
    <col min="14" max="14" width="16" style="193" customWidth="1"/>
    <col min="15" max="15" width="16.28515625" style="61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255</v>
      </c>
      <c r="C1" s="375"/>
      <c r="D1" s="102"/>
      <c r="E1" s="760"/>
      <c r="F1" s="54"/>
      <c r="G1" s="718"/>
      <c r="H1" s="54"/>
      <c r="I1" s="377"/>
      <c r="K1" s="1118" t="s">
        <v>26</v>
      </c>
      <c r="L1" s="678"/>
      <c r="M1" s="1120" t="s">
        <v>27</v>
      </c>
      <c r="N1" s="478"/>
      <c r="P1" s="98" t="s">
        <v>38</v>
      </c>
      <c r="Q1" s="1116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61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19"/>
      <c r="L2" s="679" t="s">
        <v>29</v>
      </c>
      <c r="M2" s="1121"/>
      <c r="N2" s="479" t="s">
        <v>29</v>
      </c>
      <c r="O2" s="615" t="s">
        <v>30</v>
      </c>
      <c r="P2" s="99" t="s">
        <v>39</v>
      </c>
      <c r="Q2" s="1117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2">
        <f>PIERNA!E3</f>
        <v>0</v>
      </c>
      <c r="F3" s="753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80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3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3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289</v>
      </c>
      <c r="K4" s="598">
        <v>10963</v>
      </c>
      <c r="L4" s="599" t="s">
        <v>304</v>
      </c>
      <c r="M4" s="598">
        <v>30160</v>
      </c>
      <c r="N4" s="600" t="s">
        <v>305</v>
      </c>
      <c r="O4" s="616"/>
      <c r="P4" s="601"/>
      <c r="Q4" s="1027"/>
      <c r="R4" s="1028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2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3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282</v>
      </c>
      <c r="K5" s="598">
        <v>9663</v>
      </c>
      <c r="L5" s="599" t="s">
        <v>304</v>
      </c>
      <c r="M5" s="598">
        <v>30160</v>
      </c>
      <c r="N5" s="600" t="s">
        <v>305</v>
      </c>
      <c r="O5" s="603">
        <v>1977186</v>
      </c>
      <c r="P5" s="601"/>
      <c r="Q5" s="1029">
        <f>27877.84</f>
        <v>27877.84</v>
      </c>
      <c r="R5" s="1030" t="s">
        <v>295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25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3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285</v>
      </c>
      <c r="K6" s="598">
        <v>11813</v>
      </c>
      <c r="L6" s="599" t="s">
        <v>304</v>
      </c>
      <c r="M6" s="598">
        <v>30160</v>
      </c>
      <c r="N6" s="600" t="s">
        <v>305</v>
      </c>
      <c r="O6" s="603">
        <v>1977184</v>
      </c>
      <c r="P6" s="601"/>
      <c r="Q6" s="1029">
        <f>27677.41*21.245</f>
        <v>588006.57545</v>
      </c>
      <c r="R6" s="1031" t="s">
        <v>296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3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305</v>
      </c>
      <c r="M7" s="598">
        <v>30160</v>
      </c>
      <c r="N7" s="600" t="s">
        <v>307</v>
      </c>
      <c r="O7" s="603">
        <v>89960</v>
      </c>
      <c r="P7" s="605"/>
      <c r="Q7" s="601">
        <f>27084.18*21.063</f>
        <v>570474.08334000001</v>
      </c>
      <c r="R7" s="602" t="s">
        <v>303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3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290</v>
      </c>
      <c r="K8" s="598">
        <v>9913</v>
      </c>
      <c r="L8" s="599" t="s">
        <v>306</v>
      </c>
      <c r="M8" s="598">
        <v>30160</v>
      </c>
      <c r="N8" s="600" t="s">
        <v>308</v>
      </c>
      <c r="O8" s="616">
        <v>91474</v>
      </c>
      <c r="P8" s="578"/>
      <c r="Q8" s="601">
        <f>26885.65*20.97</f>
        <v>563792.08050000004</v>
      </c>
      <c r="R8" s="602" t="s">
        <v>299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54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3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55" t="s">
        <v>384</v>
      </c>
      <c r="Q9" s="601">
        <v>630300.92000000004</v>
      </c>
      <c r="R9" s="602" t="s">
        <v>383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3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291</v>
      </c>
      <c r="K10" s="598">
        <v>9663</v>
      </c>
      <c r="L10" s="599" t="s">
        <v>309</v>
      </c>
      <c r="M10" s="598">
        <v>30160</v>
      </c>
      <c r="N10" s="600" t="s">
        <v>309</v>
      </c>
      <c r="O10" s="603">
        <v>1979298</v>
      </c>
      <c r="P10" s="601"/>
      <c r="Q10" s="601">
        <f>27515.07*21.38</f>
        <v>588272.19659999991</v>
      </c>
      <c r="R10" s="602" t="s">
        <v>298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3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292</v>
      </c>
      <c r="K11" s="598">
        <v>11813</v>
      </c>
      <c r="L11" s="599" t="s">
        <v>309</v>
      </c>
      <c r="M11" s="598">
        <v>30160</v>
      </c>
      <c r="N11" s="600" t="s">
        <v>309</v>
      </c>
      <c r="O11" s="617">
        <v>1979299</v>
      </c>
      <c r="P11" s="736"/>
      <c r="Q11" s="601">
        <f>27037.69*21.265</f>
        <v>574956.47785000002</v>
      </c>
      <c r="R11" s="602" t="s">
        <v>300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3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321</v>
      </c>
      <c r="K12" s="598">
        <v>10963</v>
      </c>
      <c r="L12" s="599" t="s">
        <v>333</v>
      </c>
      <c r="M12" s="598">
        <v>30160</v>
      </c>
      <c r="N12" s="600" t="s">
        <v>337</v>
      </c>
      <c r="O12" s="617">
        <v>1980099</v>
      </c>
      <c r="P12" s="553"/>
      <c r="Q12" s="601">
        <f>27328.86*21.34</f>
        <v>583197.87239999999</v>
      </c>
      <c r="R12" s="602" t="s">
        <v>331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3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6" t="s">
        <v>322</v>
      </c>
      <c r="K13" s="598">
        <v>10963</v>
      </c>
      <c r="L13" s="599" t="s">
        <v>333</v>
      </c>
      <c r="M13" s="598">
        <v>30160</v>
      </c>
      <c r="N13" s="600" t="s">
        <v>335</v>
      </c>
      <c r="O13" s="617">
        <v>1980100</v>
      </c>
      <c r="P13" s="607"/>
      <c r="Q13" s="604">
        <f>27012.16*21.28</f>
        <v>574818.7648</v>
      </c>
      <c r="R13" s="602" t="s">
        <v>332</v>
      </c>
      <c r="S13" s="66">
        <f t="shared" si="0"/>
        <v>615941.7648</v>
      </c>
      <c r="T13" s="66">
        <f t="shared" si="5"/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3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323</v>
      </c>
      <c r="K14" s="598">
        <v>11813</v>
      </c>
      <c r="L14" s="599" t="s">
        <v>333</v>
      </c>
      <c r="M14" s="598">
        <v>30160</v>
      </c>
      <c r="N14" s="600" t="s">
        <v>335</v>
      </c>
      <c r="O14" s="603">
        <v>1980101</v>
      </c>
      <c r="P14" s="553"/>
      <c r="Q14" s="604">
        <f>27065.49*21.255</f>
        <v>575276.98994999996</v>
      </c>
      <c r="R14" s="608" t="s">
        <v>302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3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3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6" t="s">
        <v>324</v>
      </c>
      <c r="K15" s="598">
        <v>11963</v>
      </c>
      <c r="L15" s="599" t="s">
        <v>334</v>
      </c>
      <c r="M15" s="598">
        <v>30160</v>
      </c>
      <c r="N15" s="609" t="s">
        <v>335</v>
      </c>
      <c r="O15" s="616">
        <v>701817</v>
      </c>
      <c r="P15" s="553"/>
      <c r="Q15" s="604">
        <f>26968.22*20.99</f>
        <v>566062.93779999996</v>
      </c>
      <c r="R15" s="610" t="s">
        <v>385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3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8" t="s">
        <v>325</v>
      </c>
      <c r="K16" s="598">
        <v>11813</v>
      </c>
      <c r="L16" s="599" t="s">
        <v>336</v>
      </c>
      <c r="M16" s="598">
        <v>30160</v>
      </c>
      <c r="N16" s="609" t="s">
        <v>338</v>
      </c>
      <c r="O16" s="617">
        <v>1981176</v>
      </c>
      <c r="P16" s="607"/>
      <c r="Q16" s="601">
        <f>26383.32*21.066</f>
        <v>555791.01911999995</v>
      </c>
      <c r="R16" s="602" t="s">
        <v>299</v>
      </c>
      <c r="S16" s="66">
        <f t="shared" si="0"/>
        <v>597764.01911999995</v>
      </c>
      <c r="T16" s="66">
        <f t="shared" si="5"/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54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3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326</v>
      </c>
      <c r="K17" s="598"/>
      <c r="L17" s="599"/>
      <c r="M17" s="598"/>
      <c r="N17" s="609"/>
      <c r="O17" s="603">
        <v>299</v>
      </c>
      <c r="P17" s="1055" t="s">
        <v>384</v>
      </c>
      <c r="Q17" s="601">
        <v>664850.9</v>
      </c>
      <c r="R17" s="608" t="s">
        <v>386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3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361</v>
      </c>
      <c r="K18" s="604">
        <v>9663</v>
      </c>
      <c r="L18" s="681" t="s">
        <v>441</v>
      </c>
      <c r="M18" s="598">
        <v>30160</v>
      </c>
      <c r="N18" s="600" t="s">
        <v>441</v>
      </c>
      <c r="O18" s="618">
        <v>1981916</v>
      </c>
      <c r="P18" s="578"/>
      <c r="Q18" s="601">
        <f>27307.9*20.9</f>
        <v>570735.11</v>
      </c>
      <c r="R18" s="602" t="s">
        <v>398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2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3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364</v>
      </c>
      <c r="K19" s="598">
        <v>11963</v>
      </c>
      <c r="L19" s="599" t="s">
        <v>441</v>
      </c>
      <c r="M19" s="598">
        <v>30160</v>
      </c>
      <c r="N19" s="600" t="s">
        <v>441</v>
      </c>
      <c r="O19" s="603">
        <v>1982088</v>
      </c>
      <c r="P19" s="553"/>
      <c r="Q19" s="601">
        <f>27244.05*20.877</f>
        <v>568774.03184999991</v>
      </c>
      <c r="R19" s="611" t="s">
        <v>397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3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365</v>
      </c>
      <c r="K20" s="598">
        <v>11813</v>
      </c>
      <c r="L20" s="599" t="s">
        <v>441</v>
      </c>
      <c r="M20" s="598">
        <v>30160</v>
      </c>
      <c r="N20" s="600" t="s">
        <v>441</v>
      </c>
      <c r="O20" s="603">
        <v>1982423</v>
      </c>
      <c r="P20" s="601"/>
      <c r="Q20" s="601">
        <f>23578.8*20.89</f>
        <v>492561.13199999998</v>
      </c>
      <c r="R20" s="611" t="s">
        <v>328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53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367</v>
      </c>
      <c r="K21" s="598">
        <v>11813</v>
      </c>
      <c r="L21" s="599" t="s">
        <v>392</v>
      </c>
      <c r="M21" s="598">
        <v>30160</v>
      </c>
      <c r="N21" s="600" t="s">
        <v>393</v>
      </c>
      <c r="O21" s="603">
        <v>1983213</v>
      </c>
      <c r="P21" s="601"/>
      <c r="Q21" s="601">
        <f>29237.47*21.045</f>
        <v>615302.55615000008</v>
      </c>
      <c r="R21" s="611" t="s">
        <v>329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6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368</v>
      </c>
      <c r="K22" s="598">
        <v>10963</v>
      </c>
      <c r="L22" s="599" t="s">
        <v>392</v>
      </c>
      <c r="M22" s="598">
        <v>30160</v>
      </c>
      <c r="N22" s="600" t="s">
        <v>393</v>
      </c>
      <c r="O22" s="617">
        <v>1983214</v>
      </c>
      <c r="P22" s="578"/>
      <c r="Q22" s="601">
        <f>29597.53*21.045</f>
        <v>622880.01884999999</v>
      </c>
      <c r="R22" s="611" t="s">
        <v>329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6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369</v>
      </c>
      <c r="K23" s="598">
        <v>11963</v>
      </c>
      <c r="L23" s="599" t="s">
        <v>392</v>
      </c>
      <c r="M23" s="598">
        <v>30160</v>
      </c>
      <c r="N23" s="600" t="s">
        <v>393</v>
      </c>
      <c r="O23" s="618">
        <v>1983215</v>
      </c>
      <c r="P23" s="601"/>
      <c r="Q23" s="601">
        <f>29383.87*21.25</f>
        <v>624407.23749999993</v>
      </c>
      <c r="R23" s="611" t="s">
        <v>399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2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6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372</v>
      </c>
      <c r="K24" s="598">
        <v>11963</v>
      </c>
      <c r="L24" s="599" t="s">
        <v>393</v>
      </c>
      <c r="M24" s="598">
        <v>30160</v>
      </c>
      <c r="N24" s="600" t="s">
        <v>394</v>
      </c>
      <c r="O24" s="603">
        <v>1983216</v>
      </c>
      <c r="P24" s="601"/>
      <c r="Q24" s="601">
        <f>29213.65*21.21</f>
        <v>619621.51650000003</v>
      </c>
      <c r="R24" s="611" t="s">
        <v>399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8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6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373</v>
      </c>
      <c r="K25" s="598">
        <v>10963</v>
      </c>
      <c r="L25" s="599" t="s">
        <v>393</v>
      </c>
      <c r="M25" s="598">
        <v>30160</v>
      </c>
      <c r="N25" s="611" t="s">
        <v>394</v>
      </c>
      <c r="O25" s="603">
        <v>712670</v>
      </c>
      <c r="P25" s="578"/>
      <c r="Q25" s="601">
        <f>28000*20.768+834.49*20.83</f>
        <v>598886.42669999995</v>
      </c>
      <c r="R25" s="584" t="s">
        <v>400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9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6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374</v>
      </c>
      <c r="K26" s="598">
        <v>11973</v>
      </c>
      <c r="L26" s="599" t="s">
        <v>393</v>
      </c>
      <c r="M26" s="598">
        <v>27840</v>
      </c>
      <c r="N26" s="611" t="s">
        <v>395</v>
      </c>
      <c r="O26" s="603">
        <v>711702</v>
      </c>
      <c r="P26" s="601"/>
      <c r="Q26" s="601">
        <f>28692.69*20.775</f>
        <v>596090.63474999997</v>
      </c>
      <c r="R26" s="611" t="s">
        <v>390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6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375</v>
      </c>
      <c r="K27" s="598">
        <v>10963</v>
      </c>
      <c r="L27" s="599" t="s">
        <v>394</v>
      </c>
      <c r="M27" s="598">
        <v>30160</v>
      </c>
      <c r="N27" s="611" t="s">
        <v>394</v>
      </c>
      <c r="O27" s="603">
        <v>714606</v>
      </c>
      <c r="P27" s="601"/>
      <c r="Q27" s="601">
        <f>27910.1*20.753</f>
        <v>579218.30530000001</v>
      </c>
      <c r="R27" s="611" t="s">
        <v>391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6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377</v>
      </c>
      <c r="K28" s="598">
        <v>9663</v>
      </c>
      <c r="L28" s="599" t="s">
        <v>394</v>
      </c>
      <c r="M28" s="598">
        <v>30160</v>
      </c>
      <c r="N28" s="611" t="s">
        <v>394</v>
      </c>
      <c r="O28" s="603">
        <v>1984413</v>
      </c>
      <c r="P28" s="601"/>
      <c r="Q28" s="601">
        <f>27980.44*20.98</f>
        <v>587029.63119999995</v>
      </c>
      <c r="R28" s="584" t="s">
        <v>388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6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378</v>
      </c>
      <c r="K29" s="604">
        <v>11813</v>
      </c>
      <c r="L29" s="599" t="s">
        <v>394</v>
      </c>
      <c r="M29" s="598">
        <v>27840</v>
      </c>
      <c r="N29" s="611" t="s">
        <v>434</v>
      </c>
      <c r="O29" s="618">
        <v>1984414</v>
      </c>
      <c r="P29" s="601"/>
      <c r="Q29" s="601">
        <f>28022.48*20.77</f>
        <v>582026.90960000001</v>
      </c>
      <c r="R29" s="584" t="s">
        <v>387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81">
        <f>PIERNA!JO5</f>
        <v>19104.060000000001</v>
      </c>
      <c r="G30" s="982">
        <f>PIERNA!JP5</f>
        <v>21</v>
      </c>
      <c r="H30" s="983">
        <f>PIERNA!JQ5</f>
        <v>19110.400000000001</v>
      </c>
      <c r="I30" s="288">
        <f>PIERNA!I30</f>
        <v>-6.3400000000001455</v>
      </c>
      <c r="J30" s="553" t="s">
        <v>379</v>
      </c>
      <c r="K30" s="598">
        <v>11813</v>
      </c>
      <c r="L30" s="599" t="s">
        <v>395</v>
      </c>
      <c r="M30" s="598">
        <v>30160</v>
      </c>
      <c r="N30" s="611" t="s">
        <v>396</v>
      </c>
      <c r="O30" s="618">
        <v>1984770</v>
      </c>
      <c r="P30" s="601"/>
      <c r="Q30" s="601">
        <f>26777.03*20.785</f>
        <v>556560.56854999997</v>
      </c>
      <c r="R30" s="584" t="s">
        <v>389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6" t="str">
        <f>PIERNA!JV5</f>
        <v>Seaboard</v>
      </c>
      <c r="D31" s="577" t="str">
        <f>PIERNA!JW5</f>
        <v>PED. 75417567</v>
      </c>
      <c r="E31" s="476">
        <f>PIERNA!JX5</f>
        <v>44554</v>
      </c>
      <c r="F31" s="981">
        <f>PIERNA!JY5</f>
        <v>19049.900000000001</v>
      </c>
      <c r="G31" s="982">
        <f>PIERNA!JZ5</f>
        <v>21</v>
      </c>
      <c r="H31" s="983">
        <f>PIERNA!KA5</f>
        <v>19048.8</v>
      </c>
      <c r="I31" s="288">
        <f>PIERNA!I31</f>
        <v>1.1000000000021828</v>
      </c>
      <c r="J31" s="553" t="s">
        <v>380</v>
      </c>
      <c r="K31" s="598">
        <v>10963</v>
      </c>
      <c r="L31" s="599" t="s">
        <v>395</v>
      </c>
      <c r="M31" s="598">
        <v>30160</v>
      </c>
      <c r="N31" s="611" t="s">
        <v>395</v>
      </c>
      <c r="O31" s="618">
        <v>1984771</v>
      </c>
      <c r="P31" s="601"/>
      <c r="Q31" s="601">
        <f>26684.26*20.755</f>
        <v>553831.81629999995</v>
      </c>
      <c r="R31" s="584" t="s">
        <v>387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81">
        <f>PIERNA!KI5</f>
        <v>18914.25</v>
      </c>
      <c r="G32" s="982">
        <f>PIERNA!KJ5</f>
        <v>21</v>
      </c>
      <c r="H32" s="983">
        <f>PIERNA!KK5</f>
        <v>18951</v>
      </c>
      <c r="I32" s="288">
        <f>PIERNA!I32</f>
        <v>-36.75</v>
      </c>
      <c r="J32" s="553" t="s">
        <v>382</v>
      </c>
      <c r="K32" s="598">
        <v>10963</v>
      </c>
      <c r="L32" s="599" t="s">
        <v>395</v>
      </c>
      <c r="M32" s="598">
        <v>27840</v>
      </c>
      <c r="N32" s="611" t="s">
        <v>434</v>
      </c>
      <c r="O32" s="618">
        <v>1984769</v>
      </c>
      <c r="P32" s="601"/>
      <c r="Q32" s="601">
        <f>26547.01*20.77</f>
        <v>551381.39769999997</v>
      </c>
      <c r="R32" s="584" t="s">
        <v>387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84">
        <f>PIERNA!KS5</f>
        <v>18868.09</v>
      </c>
      <c r="G33" s="985">
        <f>PIERNA!KT5</f>
        <v>21</v>
      </c>
      <c r="H33" s="983">
        <f>PIERNA!KU5</f>
        <v>18937.2</v>
      </c>
      <c r="I33" s="288">
        <f>PIERNA!I33</f>
        <v>-69.110000000000582</v>
      </c>
      <c r="J33" s="553" t="s">
        <v>408</v>
      </c>
      <c r="K33" s="604">
        <v>11973</v>
      </c>
      <c r="L33" s="599" t="s">
        <v>444</v>
      </c>
      <c r="M33" s="598">
        <v>30160</v>
      </c>
      <c r="N33" s="611" t="s">
        <v>414</v>
      </c>
      <c r="O33" s="618">
        <v>1986038</v>
      </c>
      <c r="P33" s="658"/>
      <c r="Q33" s="601">
        <f>27282.2*20.78</f>
        <v>566924.11600000004</v>
      </c>
      <c r="R33" s="584" t="s">
        <v>442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84">
        <f>PIERNA!F34</f>
        <v>18387.689999999999</v>
      </c>
      <c r="G34" s="985">
        <f>PIERNA!G34</f>
        <v>20</v>
      </c>
      <c r="H34" s="983">
        <f>PIERNA!H34</f>
        <v>18445.669999999998</v>
      </c>
      <c r="I34" s="288">
        <f>PIERNA!I34</f>
        <v>-57.979999999999563</v>
      </c>
      <c r="J34" s="1077" t="s">
        <v>409</v>
      </c>
      <c r="K34" s="1078">
        <f>11803+5250</f>
        <v>17053</v>
      </c>
      <c r="L34" s="599" t="s">
        <v>444</v>
      </c>
      <c r="M34" s="598">
        <v>30160</v>
      </c>
      <c r="N34" s="611" t="s">
        <v>414</v>
      </c>
      <c r="O34" s="657">
        <v>717863</v>
      </c>
      <c r="P34" s="601"/>
      <c r="Q34" s="660">
        <f>25229.18*20.63</f>
        <v>520477.98339999997</v>
      </c>
      <c r="R34" s="661" t="s">
        <v>443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84">
        <f>PIERNA!F35</f>
        <v>18533.84</v>
      </c>
      <c r="G35" s="986">
        <f>PIERNA!G35</f>
        <v>20</v>
      </c>
      <c r="H35" s="983">
        <f>PIERNA!H35</f>
        <v>18548.650000000001</v>
      </c>
      <c r="I35" s="288">
        <f>PIERNA!I35</f>
        <v>-14.81000000000131</v>
      </c>
      <c r="J35" s="553" t="s">
        <v>410</v>
      </c>
      <c r="K35" s="598">
        <v>11813</v>
      </c>
      <c r="L35" s="599" t="s">
        <v>434</v>
      </c>
      <c r="M35" s="598">
        <v>30160</v>
      </c>
      <c r="N35" s="611" t="s">
        <v>414</v>
      </c>
      <c r="O35" s="657">
        <v>721621</v>
      </c>
      <c r="P35" s="658"/>
      <c r="Q35" s="598">
        <f>26915.77*20.62</f>
        <v>555003.17740000004</v>
      </c>
      <c r="R35" s="584" t="s">
        <v>433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63">
        <f>PIERNA!E36</f>
        <v>44559</v>
      </c>
      <c r="F36" s="757">
        <f>PIERNA!F36</f>
        <v>18934.95</v>
      </c>
      <c r="G36" s="652">
        <f>PIERNA!G36</f>
        <v>21</v>
      </c>
      <c r="H36" s="651">
        <f>PIERNA!H36</f>
        <v>19077.5</v>
      </c>
      <c r="I36" s="288">
        <f>PIERNA!I36</f>
        <v>-142.54999999999927</v>
      </c>
      <c r="J36" s="553" t="s">
        <v>411</v>
      </c>
      <c r="K36" s="598">
        <v>9663</v>
      </c>
      <c r="L36" s="599" t="s">
        <v>434</v>
      </c>
      <c r="M36" s="598">
        <v>30160</v>
      </c>
      <c r="N36" s="600" t="s">
        <v>414</v>
      </c>
      <c r="O36" s="657">
        <v>1985712</v>
      </c>
      <c r="P36" s="658"/>
      <c r="Q36" s="598">
        <f>27472.94*20.78</f>
        <v>570887.69319999998</v>
      </c>
      <c r="R36" s="611" t="s">
        <v>400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6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412</v>
      </c>
      <c r="K37" s="598">
        <v>10963</v>
      </c>
      <c r="L37" s="599" t="s">
        <v>435</v>
      </c>
      <c r="M37" s="598">
        <v>30160</v>
      </c>
      <c r="N37" s="611" t="s">
        <v>435</v>
      </c>
      <c r="O37" s="603">
        <v>1986972</v>
      </c>
      <c r="P37" s="601"/>
      <c r="Q37" s="601">
        <f>27354.71*20.775</f>
        <v>568294.1002499999</v>
      </c>
      <c r="R37" s="611" t="s">
        <v>390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 t="str">
        <f>PIERNA!B38</f>
        <v>DISTRIBUIDORA ASGAR</v>
      </c>
      <c r="C38" s="159" t="str">
        <f>PIERNA!C38</f>
        <v>CLEMENS FOOD</v>
      </c>
      <c r="D38" s="987" t="str">
        <f>PIERNA!D38</f>
        <v>PED. 75530313</v>
      </c>
      <c r="E38" s="261">
        <f>PIERNA!E38</f>
        <v>44560</v>
      </c>
      <c r="F38" s="988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426</v>
      </c>
      <c r="K38" s="598"/>
      <c r="L38" s="599"/>
      <c r="M38" s="598"/>
      <c r="N38" s="611"/>
      <c r="O38" s="603"/>
      <c r="P38" s="601"/>
      <c r="Q38" s="601"/>
      <c r="R38" s="584"/>
      <c r="S38" s="66">
        <f t="shared" si="9"/>
        <v>0</v>
      </c>
      <c r="T38" s="66">
        <f t="shared" si="4"/>
        <v>0.1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7" t="str">
        <f>PIERNA!D39</f>
        <v>PED. 75641030</v>
      </c>
      <c r="E39" s="261">
        <f>PIERNA!E39</f>
        <v>44561</v>
      </c>
      <c r="F39" s="988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413</v>
      </c>
      <c r="K39" s="604">
        <v>11963</v>
      </c>
      <c r="L39" s="599" t="s">
        <v>436</v>
      </c>
      <c r="M39" s="598">
        <v>30160</v>
      </c>
      <c r="N39" s="645" t="s">
        <v>436</v>
      </c>
      <c r="O39" s="618">
        <v>1986973</v>
      </c>
      <c r="P39" s="646"/>
      <c r="Q39" s="601">
        <f>25000.09*20.685</f>
        <v>517126.86164999998</v>
      </c>
      <c r="R39" s="584" t="s">
        <v>391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69" t="str">
        <f>PIERNA!D40</f>
        <v>PED. 75659701</v>
      </c>
      <c r="E40" s="1070">
        <f>PIERNA!E40</f>
        <v>44563</v>
      </c>
      <c r="F40" s="1071">
        <f>PIERNA!F40</f>
        <v>18943.84</v>
      </c>
      <c r="G40" s="1072">
        <f>PIERNA!G40</f>
        <v>21</v>
      </c>
      <c r="H40" s="1073">
        <f>PIERNA!H40</f>
        <v>19073.7</v>
      </c>
      <c r="I40" s="1073">
        <f>PIERNA!I40</f>
        <v>-129.86000000000058</v>
      </c>
      <c r="J40" s="1074" t="s">
        <v>430</v>
      </c>
      <c r="K40" s="643">
        <v>10963</v>
      </c>
      <c r="L40" s="599" t="s">
        <v>436</v>
      </c>
      <c r="M40" s="598"/>
      <c r="N40" s="645"/>
      <c r="O40" s="618">
        <v>1987349</v>
      </c>
      <c r="P40" s="646"/>
      <c r="Q40" s="601">
        <f>25297.88*20.685</f>
        <v>523286.64779999998</v>
      </c>
      <c r="R40" s="584" t="s">
        <v>391</v>
      </c>
      <c r="S40" s="66">
        <f>Q40+M40+K40+P40</f>
        <v>534249.64779999992</v>
      </c>
      <c r="T40" s="66">
        <f t="shared" si="4"/>
        <v>28.109754153625143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69" t="str">
        <f>PIERNA!D41</f>
        <v>PED. 75659167</v>
      </c>
      <c r="E41" s="1070">
        <f>PIERNA!E41</f>
        <v>44563</v>
      </c>
      <c r="F41" s="1071">
        <f>PIERNA!F41</f>
        <v>18944.310000000001</v>
      </c>
      <c r="G41" s="1072">
        <f>PIERNA!G41</f>
        <v>21</v>
      </c>
      <c r="H41" s="1073">
        <f>PIERNA!H41</f>
        <v>19120</v>
      </c>
      <c r="I41" s="1073">
        <f>PIERNA!I41</f>
        <v>-175.68999999999869</v>
      </c>
      <c r="J41" s="1074" t="s">
        <v>431</v>
      </c>
      <c r="K41" s="644">
        <v>9663</v>
      </c>
      <c r="L41" s="599" t="s">
        <v>436</v>
      </c>
      <c r="M41" s="598"/>
      <c r="N41" s="645"/>
      <c r="O41" s="618">
        <v>1986974</v>
      </c>
      <c r="P41" s="646"/>
      <c r="Q41" s="601">
        <f>25359.24*20.62</f>
        <v>522907.52880000003</v>
      </c>
      <c r="R41" s="584" t="s">
        <v>432</v>
      </c>
      <c r="S41" s="66">
        <f>Q41+M41+K41+P41</f>
        <v>532570.52879999997</v>
      </c>
      <c r="T41" s="66">
        <f t="shared" si="4"/>
        <v>27.954107154811716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7">
        <f>PIERNA!C42</f>
        <v>0</v>
      </c>
      <c r="D42" s="187">
        <f>PIERNA!D42</f>
        <v>0</v>
      </c>
      <c r="E42" s="140">
        <f>PIERNA!E42</f>
        <v>0</v>
      </c>
      <c r="F42" s="753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3"/>
      <c r="L42" s="599"/>
      <c r="M42" s="598"/>
      <c r="N42" s="645"/>
      <c r="O42" s="618"/>
      <c r="P42" s="646"/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3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3"/>
      <c r="L43" s="599"/>
      <c r="M43" s="598"/>
      <c r="N43" s="645"/>
      <c r="O43" s="618"/>
      <c r="P43" s="646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3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9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3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9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3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9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3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20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3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9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53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9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53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9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3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9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3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9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53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9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53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9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8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9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53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9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3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9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3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9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3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9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53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82"/>
      <c r="M60" s="529"/>
      <c r="N60" s="303"/>
      <c r="O60" s="619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3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9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3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9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3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9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3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9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3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9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3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21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3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21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3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21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3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21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3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3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3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3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3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3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3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3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3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3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3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3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3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3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3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3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3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3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3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3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3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3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3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3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3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3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53"/>
      <c r="G96" s="173"/>
      <c r="H96" s="560"/>
      <c r="I96" s="107"/>
      <c r="J96" s="515"/>
      <c r="K96" s="300"/>
      <c r="L96" s="307"/>
      <c r="M96" s="279"/>
      <c r="N96" s="539"/>
      <c r="O96" s="619"/>
      <c r="P96" s="766"/>
      <c r="Q96" s="737"/>
      <c r="R96" s="738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53"/>
      <c r="G97" s="173"/>
      <c r="H97" s="560"/>
      <c r="I97" s="107"/>
      <c r="J97" s="739"/>
      <c r="K97" s="598"/>
      <c r="L97" s="599"/>
      <c r="M97" s="598"/>
      <c r="N97" s="833"/>
      <c r="O97" s="788"/>
      <c r="P97" s="601"/>
      <c r="Q97" s="598"/>
      <c r="R97" s="659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6" t="s">
        <v>283</v>
      </c>
      <c r="C98" s="826" t="s">
        <v>284</v>
      </c>
      <c r="D98" s="826"/>
      <c r="E98" s="848">
        <v>44536</v>
      </c>
      <c r="F98" s="945">
        <v>2740.24</v>
      </c>
      <c r="G98" s="826">
        <v>222</v>
      </c>
      <c r="H98" s="945">
        <v>2740.24</v>
      </c>
      <c r="I98" s="796">
        <f t="shared" ref="I98:I106" si="18">H98-F98</f>
        <v>0</v>
      </c>
      <c r="J98" s="739"/>
      <c r="K98" s="596"/>
      <c r="L98" s="625"/>
      <c r="M98" s="596"/>
      <c r="N98" s="596"/>
      <c r="O98" s="869" t="s">
        <v>327</v>
      </c>
      <c r="P98" s="854"/>
      <c r="Q98" s="596">
        <v>279503.96999999997</v>
      </c>
      <c r="R98" s="767" t="s">
        <v>328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6" t="s">
        <v>268</v>
      </c>
      <c r="C99" s="826" t="s">
        <v>286</v>
      </c>
      <c r="D99" s="826"/>
      <c r="E99" s="848">
        <v>44537</v>
      </c>
      <c r="F99" s="945">
        <v>18003</v>
      </c>
      <c r="G99" s="826">
        <v>709</v>
      </c>
      <c r="H99" s="945">
        <v>18003</v>
      </c>
      <c r="I99" s="796">
        <f t="shared" si="18"/>
        <v>0</v>
      </c>
      <c r="J99" s="1034" t="s">
        <v>301</v>
      </c>
      <c r="K99" s="596">
        <v>11963</v>
      </c>
      <c r="L99" s="625" t="s">
        <v>304</v>
      </c>
      <c r="M99" s="596">
        <v>30160</v>
      </c>
      <c r="N99" s="936" t="s">
        <v>305</v>
      </c>
      <c r="O99" s="869">
        <v>90961</v>
      </c>
      <c r="P99" s="855"/>
      <c r="Q99" s="596">
        <f>52787.7*21.22</f>
        <v>1120154.9939999999</v>
      </c>
      <c r="R99" s="767" t="s">
        <v>302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32" t="s">
        <v>287</v>
      </c>
      <c r="C100" s="826" t="s">
        <v>288</v>
      </c>
      <c r="D100" s="826"/>
      <c r="E100" s="848">
        <v>44537</v>
      </c>
      <c r="F100" s="945">
        <v>384.1</v>
      </c>
      <c r="G100" s="826">
        <v>10</v>
      </c>
      <c r="H100" s="945">
        <v>384.1</v>
      </c>
      <c r="I100" s="796">
        <f t="shared" si="18"/>
        <v>0</v>
      </c>
      <c r="J100" s="739"/>
      <c r="K100" s="596"/>
      <c r="L100" s="625"/>
      <c r="M100" s="596"/>
      <c r="N100" s="596"/>
      <c r="O100" s="869">
        <v>3742</v>
      </c>
      <c r="P100" s="855"/>
      <c r="Q100" s="596">
        <v>57615.3</v>
      </c>
      <c r="R100" s="767" t="s">
        <v>329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33" t="s">
        <v>293</v>
      </c>
      <c r="C101" s="566" t="s">
        <v>294</v>
      </c>
      <c r="D101" s="566"/>
      <c r="E101" s="868">
        <v>44541</v>
      </c>
      <c r="F101" s="946">
        <v>18701.099999999999</v>
      </c>
      <c r="G101" s="849">
        <v>24</v>
      </c>
      <c r="H101" s="945">
        <v>18480</v>
      </c>
      <c r="I101" s="796">
        <f>H101-F101</f>
        <v>-221.09999999999854</v>
      </c>
      <c r="J101" s="1062" t="s">
        <v>297</v>
      </c>
      <c r="K101" s="596"/>
      <c r="L101" s="625"/>
      <c r="M101" s="596"/>
      <c r="N101" s="596"/>
      <c r="O101" s="869">
        <v>31531</v>
      </c>
      <c r="P101" s="855"/>
      <c r="Q101" s="596">
        <v>1003457.4</v>
      </c>
      <c r="R101" s="1063" t="s">
        <v>415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47" t="s">
        <v>317</v>
      </c>
      <c r="C102" s="566" t="s">
        <v>45</v>
      </c>
      <c r="D102" s="566"/>
      <c r="E102" s="1141">
        <v>44543</v>
      </c>
      <c r="F102" s="946">
        <v>2002.14</v>
      </c>
      <c r="G102" s="566">
        <v>441</v>
      </c>
      <c r="H102" s="946">
        <v>2002.14</v>
      </c>
      <c r="I102" s="796">
        <f t="shared" si="18"/>
        <v>0</v>
      </c>
      <c r="J102" s="739"/>
      <c r="K102" s="596"/>
      <c r="L102" s="625"/>
      <c r="M102" s="596"/>
      <c r="N102" s="596"/>
      <c r="O102" s="1122" t="s">
        <v>318</v>
      </c>
      <c r="P102" s="855"/>
      <c r="Q102" s="1051">
        <v>110117.7</v>
      </c>
      <c r="R102" s="1131" t="s">
        <v>330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48"/>
      <c r="C103" s="566" t="s">
        <v>319</v>
      </c>
      <c r="D103" s="566"/>
      <c r="E103" s="1142"/>
      <c r="F103" s="946">
        <v>500</v>
      </c>
      <c r="G103" s="566">
        <v>50</v>
      </c>
      <c r="H103" s="946">
        <v>500</v>
      </c>
      <c r="I103" s="796">
        <f t="shared" si="18"/>
        <v>0</v>
      </c>
      <c r="J103" s="739"/>
      <c r="K103" s="596"/>
      <c r="L103" s="805"/>
      <c r="M103" s="596"/>
      <c r="N103" s="936"/>
      <c r="O103" s="1123"/>
      <c r="P103" s="596"/>
      <c r="Q103" s="1051">
        <v>50000</v>
      </c>
      <c r="R103" s="1132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49"/>
      <c r="C104" s="566" t="s">
        <v>320</v>
      </c>
      <c r="D104" s="566"/>
      <c r="E104" s="1143"/>
      <c r="F104" s="946">
        <v>250</v>
      </c>
      <c r="G104" s="566">
        <v>25</v>
      </c>
      <c r="H104" s="946">
        <v>250</v>
      </c>
      <c r="I104" s="934">
        <f t="shared" si="18"/>
        <v>0</v>
      </c>
      <c r="J104" s="739"/>
      <c r="K104" s="596"/>
      <c r="L104" s="625"/>
      <c r="M104" s="596"/>
      <c r="N104" s="596"/>
      <c r="O104" s="1123"/>
      <c r="P104" s="596"/>
      <c r="Q104" s="1051">
        <v>22000</v>
      </c>
      <c r="R104" s="1133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38" t="s">
        <v>362</v>
      </c>
      <c r="C105" s="566" t="s">
        <v>340</v>
      </c>
      <c r="D105" s="566"/>
      <c r="E105" s="1141">
        <v>44547</v>
      </c>
      <c r="F105" s="946">
        <v>577.95000000000005</v>
      </c>
      <c r="G105" s="566">
        <v>20</v>
      </c>
      <c r="H105" s="946">
        <v>577.95000000000005</v>
      </c>
      <c r="I105" s="288">
        <f t="shared" si="18"/>
        <v>0</v>
      </c>
      <c r="J105" s="739"/>
      <c r="K105" s="596"/>
      <c r="L105" s="625"/>
      <c r="M105" s="596"/>
      <c r="N105" s="1051"/>
      <c r="O105" s="1144">
        <v>17301</v>
      </c>
      <c r="P105" s="1052"/>
      <c r="Q105" s="1051">
        <v>42190.35</v>
      </c>
      <c r="R105" s="1128" t="s">
        <v>414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39"/>
      <c r="C106" s="901" t="s">
        <v>363</v>
      </c>
      <c r="D106" s="566"/>
      <c r="E106" s="1142"/>
      <c r="F106" s="946">
        <v>995.62</v>
      </c>
      <c r="G106" s="566">
        <v>40</v>
      </c>
      <c r="H106" s="946">
        <v>995.62</v>
      </c>
      <c r="I106" s="288">
        <f t="shared" si="18"/>
        <v>0</v>
      </c>
      <c r="J106" s="739"/>
      <c r="K106" s="596"/>
      <c r="L106" s="625"/>
      <c r="M106" s="596"/>
      <c r="N106" s="1051"/>
      <c r="O106" s="1145"/>
      <c r="P106" s="1052"/>
      <c r="Q106" s="1051">
        <v>46794.14</v>
      </c>
      <c r="R106" s="1129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40"/>
      <c r="C107" s="566" t="s">
        <v>73</v>
      </c>
      <c r="D107" s="566"/>
      <c r="E107" s="1143"/>
      <c r="F107" s="946">
        <v>499.6</v>
      </c>
      <c r="G107" s="566">
        <v>19</v>
      </c>
      <c r="H107" s="946">
        <v>499.6</v>
      </c>
      <c r="I107" s="288">
        <f t="shared" ref="I107:I109" si="20">H107-F107</f>
        <v>0</v>
      </c>
      <c r="J107" s="739"/>
      <c r="K107" s="596"/>
      <c r="L107" s="625"/>
      <c r="M107" s="596"/>
      <c r="N107" s="1051"/>
      <c r="O107" s="1146"/>
      <c r="P107" s="1053"/>
      <c r="Q107" s="1051">
        <v>26978.400000000001</v>
      </c>
      <c r="R107" s="1130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98</v>
      </c>
      <c r="C108" s="566" t="s">
        <v>345</v>
      </c>
      <c r="D108" s="566"/>
      <c r="E108" s="868">
        <v>44548</v>
      </c>
      <c r="F108" s="946">
        <v>100</v>
      </c>
      <c r="G108" s="826">
        <v>100</v>
      </c>
      <c r="H108" s="945">
        <v>100</v>
      </c>
      <c r="I108" s="468">
        <f t="shared" si="20"/>
        <v>0</v>
      </c>
      <c r="J108" s="740"/>
      <c r="K108" s="596"/>
      <c r="L108" s="625"/>
      <c r="M108" s="596"/>
      <c r="N108" s="596"/>
      <c r="O108" s="941" t="s">
        <v>366</v>
      </c>
      <c r="P108" s="812"/>
      <c r="Q108" s="596">
        <v>14000</v>
      </c>
      <c r="R108" s="973" t="s">
        <v>414</v>
      </c>
      <c r="S108" s="832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8" t="s">
        <v>370</v>
      </c>
      <c r="C109" s="1110" t="s">
        <v>371</v>
      </c>
      <c r="D109" s="566"/>
      <c r="E109" s="868">
        <v>44551</v>
      </c>
      <c r="F109" s="946">
        <v>990</v>
      </c>
      <c r="G109" s="826">
        <v>66</v>
      </c>
      <c r="H109" s="945">
        <v>990</v>
      </c>
      <c r="I109" s="468">
        <f t="shared" si="20"/>
        <v>0</v>
      </c>
      <c r="J109" s="740"/>
      <c r="K109" s="596"/>
      <c r="L109" s="625"/>
      <c r="M109" s="596"/>
      <c r="N109" s="596"/>
      <c r="O109" s="813" t="s">
        <v>437</v>
      </c>
      <c r="P109" s="1076" t="s">
        <v>384</v>
      </c>
      <c r="Q109" s="596">
        <v>78210</v>
      </c>
      <c r="R109" s="595" t="s">
        <v>438</v>
      </c>
      <c r="S109" s="832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6" t="s">
        <v>376</v>
      </c>
      <c r="C110" s="566" t="s">
        <v>73</v>
      </c>
      <c r="D110" s="566"/>
      <c r="E110" s="868">
        <v>44553</v>
      </c>
      <c r="F110" s="946">
        <v>2984.3</v>
      </c>
      <c r="G110" s="826">
        <v>105</v>
      </c>
      <c r="H110" s="945">
        <v>2984.3</v>
      </c>
      <c r="I110" s="107">
        <f t="shared" ref="I110:I183" si="21">H110-F110</f>
        <v>0</v>
      </c>
      <c r="J110" s="739"/>
      <c r="K110" s="596"/>
      <c r="L110" s="974"/>
      <c r="M110" s="896"/>
      <c r="N110" s="896"/>
      <c r="O110" s="1075">
        <v>17329</v>
      </c>
      <c r="P110" s="975"/>
      <c r="Q110" s="896">
        <v>158167.9</v>
      </c>
      <c r="R110" s="595" t="s">
        <v>415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6" t="s">
        <v>98</v>
      </c>
      <c r="C111" s="566" t="s">
        <v>99</v>
      </c>
      <c r="D111" s="566"/>
      <c r="E111" s="868">
        <v>44554</v>
      </c>
      <c r="F111" s="946">
        <v>496.89</v>
      </c>
      <c r="G111" s="826">
        <v>41</v>
      </c>
      <c r="H111" s="945">
        <v>496.89</v>
      </c>
      <c r="I111" s="107">
        <f t="shared" si="21"/>
        <v>0</v>
      </c>
      <c r="J111" s="739"/>
      <c r="K111" s="596"/>
      <c r="L111" s="625"/>
      <c r="M111" s="596"/>
      <c r="N111" s="596"/>
      <c r="O111" s="811" t="s">
        <v>381</v>
      </c>
      <c r="P111" s="812"/>
      <c r="Q111" s="596">
        <v>45713.88</v>
      </c>
      <c r="R111" s="595" t="s">
        <v>414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6" t="s">
        <v>407</v>
      </c>
      <c r="C112" s="826" t="s">
        <v>169</v>
      </c>
      <c r="D112" s="566"/>
      <c r="E112" s="1067">
        <v>44557</v>
      </c>
      <c r="F112" s="946">
        <v>7800</v>
      </c>
      <c r="G112" s="826">
        <v>660</v>
      </c>
      <c r="H112" s="945">
        <v>7800</v>
      </c>
      <c r="I112" s="107">
        <f t="shared" si="21"/>
        <v>0</v>
      </c>
      <c r="J112" s="739"/>
      <c r="K112" s="596"/>
      <c r="L112" s="625"/>
      <c r="M112" s="596"/>
      <c r="N112" s="596"/>
      <c r="O112" s="811" t="s">
        <v>439</v>
      </c>
      <c r="P112" s="1076" t="s">
        <v>384</v>
      </c>
      <c r="Q112" s="596">
        <v>312000</v>
      </c>
      <c r="R112" s="595" t="s">
        <v>440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24" t="s">
        <v>424</v>
      </c>
      <c r="C113" s="566" t="s">
        <v>425</v>
      </c>
      <c r="D113" s="1064"/>
      <c r="E113" s="1135">
        <v>44559</v>
      </c>
      <c r="F113" s="1066">
        <v>1996.98</v>
      </c>
      <c r="G113" s="826">
        <v>95</v>
      </c>
      <c r="H113" s="945">
        <v>1996.98</v>
      </c>
      <c r="I113" s="107">
        <f t="shared" si="21"/>
        <v>0</v>
      </c>
      <c r="J113" s="741"/>
      <c r="K113" s="596"/>
      <c r="L113" s="625"/>
      <c r="M113" s="596"/>
      <c r="N113" s="625"/>
      <c r="O113" s="811"/>
      <c r="P113" s="812"/>
      <c r="Q113" s="596"/>
      <c r="R113" s="595"/>
      <c r="S113" s="66">
        <f t="shared" si="15"/>
        <v>0</v>
      </c>
      <c r="T113" s="66">
        <f t="shared" si="22"/>
        <v>0</v>
      </c>
    </row>
    <row r="114" spans="1:20" s="163" customFormat="1" ht="18.75" customHeight="1" x14ac:dyDescent="0.25">
      <c r="A114" s="101">
        <v>77</v>
      </c>
      <c r="B114" s="1134"/>
      <c r="C114" s="566" t="s">
        <v>418</v>
      </c>
      <c r="D114" s="1065"/>
      <c r="E114" s="1136"/>
      <c r="F114" s="1066">
        <v>2513.52</v>
      </c>
      <c r="G114" s="826">
        <v>95</v>
      </c>
      <c r="H114" s="945">
        <v>2513.52</v>
      </c>
      <c r="I114" s="107">
        <f t="shared" si="21"/>
        <v>0</v>
      </c>
      <c r="J114" s="741"/>
      <c r="K114" s="596"/>
      <c r="L114" s="625"/>
      <c r="M114" s="596"/>
      <c r="N114" s="625"/>
      <c r="O114" s="811"/>
      <c r="P114" s="976"/>
      <c r="Q114" s="596"/>
      <c r="R114" s="595"/>
      <c r="S114" s="66">
        <f t="shared" si="15"/>
        <v>0</v>
      </c>
      <c r="T114" s="66">
        <f t="shared" si="22"/>
        <v>0</v>
      </c>
    </row>
    <row r="115" spans="1:20" s="163" customFormat="1" ht="19.5" customHeight="1" thickBot="1" x14ac:dyDescent="0.3">
      <c r="A115" s="101">
        <v>78</v>
      </c>
      <c r="B115" s="1125"/>
      <c r="C115" s="566" t="s">
        <v>73</v>
      </c>
      <c r="D115" s="1064"/>
      <c r="E115" s="1137"/>
      <c r="F115" s="1066">
        <v>615.30999999999995</v>
      </c>
      <c r="G115" s="858">
        <v>21</v>
      </c>
      <c r="H115" s="945">
        <v>615.30999999999995</v>
      </c>
      <c r="I115" s="107">
        <f t="shared" si="21"/>
        <v>0</v>
      </c>
      <c r="J115" s="741"/>
      <c r="K115" s="596"/>
      <c r="L115" s="625"/>
      <c r="M115" s="596"/>
      <c r="N115" s="625"/>
      <c r="O115" s="811"/>
      <c r="P115" s="597"/>
      <c r="Q115" s="596"/>
      <c r="R115" s="595"/>
      <c r="S115" s="66">
        <f t="shared" si="15"/>
        <v>0</v>
      </c>
      <c r="T115" s="66">
        <f t="shared" si="22"/>
        <v>0</v>
      </c>
    </row>
    <row r="116" spans="1:20" s="163" customFormat="1" ht="18.75" customHeight="1" x14ac:dyDescent="0.25">
      <c r="A116" s="101">
        <v>79</v>
      </c>
      <c r="B116" s="1124" t="s">
        <v>427</v>
      </c>
      <c r="C116" s="566" t="s">
        <v>428</v>
      </c>
      <c r="D116" s="566"/>
      <c r="E116" s="1068">
        <v>44560</v>
      </c>
      <c r="F116" s="946">
        <v>573.66</v>
      </c>
      <c r="G116" s="858">
        <v>50</v>
      </c>
      <c r="H116" s="945">
        <v>573.66</v>
      </c>
      <c r="I116" s="107">
        <f t="shared" si="21"/>
        <v>0</v>
      </c>
      <c r="J116" s="741"/>
      <c r="K116" s="596"/>
      <c r="L116" s="625"/>
      <c r="M116" s="596"/>
      <c r="N116" s="625"/>
      <c r="O116" s="1126" t="s">
        <v>429</v>
      </c>
      <c r="P116" s="597"/>
      <c r="Q116" s="596"/>
      <c r="R116" s="595"/>
      <c r="S116" s="66">
        <f t="shared" si="15"/>
        <v>0</v>
      </c>
      <c r="T116" s="66">
        <f t="shared" si="22"/>
        <v>0</v>
      </c>
    </row>
    <row r="117" spans="1:20" s="163" customFormat="1" ht="18.75" customHeight="1" x14ac:dyDescent="0.25">
      <c r="A117" s="101">
        <v>80</v>
      </c>
      <c r="B117" s="1125"/>
      <c r="C117" s="566" t="s">
        <v>99</v>
      </c>
      <c r="D117" s="566"/>
      <c r="E117" s="868">
        <v>44560</v>
      </c>
      <c r="F117" s="946">
        <v>505.06</v>
      </c>
      <c r="G117" s="858">
        <v>42</v>
      </c>
      <c r="H117" s="945">
        <v>505.06</v>
      </c>
      <c r="I117" s="107">
        <f t="shared" si="21"/>
        <v>0</v>
      </c>
      <c r="J117" s="741"/>
      <c r="K117" s="596"/>
      <c r="L117" s="625"/>
      <c r="M117" s="596"/>
      <c r="N117" s="625"/>
      <c r="O117" s="1127"/>
      <c r="P117" s="597"/>
      <c r="Q117" s="596"/>
      <c r="R117" s="595"/>
      <c r="S117" s="66"/>
      <c r="T117" s="66"/>
    </row>
    <row r="118" spans="1:20" s="163" customFormat="1" ht="18.75" customHeight="1" x14ac:dyDescent="0.25">
      <c r="A118" s="101">
        <v>81</v>
      </c>
      <c r="B118" s="826"/>
      <c r="C118" s="566"/>
      <c r="D118" s="566"/>
      <c r="E118" s="868"/>
      <c r="F118" s="946"/>
      <c r="G118" s="826"/>
      <c r="H118" s="945"/>
      <c r="I118" s="107">
        <f t="shared" si="21"/>
        <v>0</v>
      </c>
      <c r="J118" s="741"/>
      <c r="K118" s="596"/>
      <c r="L118" s="625"/>
      <c r="M118" s="596"/>
      <c r="N118" s="625"/>
      <c r="O118" s="811"/>
      <c r="P118" s="597"/>
      <c r="Q118" s="596"/>
      <c r="R118" s="595"/>
      <c r="S118" s="66"/>
      <c r="T118" s="66"/>
    </row>
    <row r="119" spans="1:20" s="163" customFormat="1" ht="18.75" customHeight="1" x14ac:dyDescent="0.25">
      <c r="A119" s="101">
        <v>82</v>
      </c>
      <c r="B119" s="826"/>
      <c r="C119" s="566"/>
      <c r="D119" s="566"/>
      <c r="E119" s="868"/>
      <c r="F119" s="946"/>
      <c r="G119" s="826"/>
      <c r="H119" s="945"/>
      <c r="I119" s="107">
        <f t="shared" si="21"/>
        <v>0</v>
      </c>
      <c r="J119" s="741"/>
      <c r="K119" s="596"/>
      <c r="L119" s="625"/>
      <c r="M119" s="596"/>
      <c r="N119" s="625"/>
      <c r="O119" s="811"/>
      <c r="P119" s="597"/>
      <c r="Q119" s="596"/>
      <c r="R119" s="595"/>
      <c r="S119" s="66"/>
      <c r="T119" s="66"/>
    </row>
    <row r="120" spans="1:20" s="163" customFormat="1" ht="18.75" x14ac:dyDescent="0.25">
      <c r="A120" s="101">
        <v>83</v>
      </c>
      <c r="B120" s="826"/>
      <c r="C120" s="566"/>
      <c r="D120" s="566"/>
      <c r="E120" s="868"/>
      <c r="F120" s="946"/>
      <c r="G120" s="826"/>
      <c r="H120" s="945"/>
      <c r="I120" s="107">
        <f t="shared" si="21"/>
        <v>0</v>
      </c>
      <c r="J120" s="741"/>
      <c r="K120" s="596"/>
      <c r="L120" s="625"/>
      <c r="M120" s="596"/>
      <c r="N120" s="625"/>
      <c r="O120" s="813"/>
      <c r="P120" s="812"/>
      <c r="Q120" s="596"/>
      <c r="R120" s="595"/>
      <c r="S120" s="66">
        <f t="shared" si="15"/>
        <v>0</v>
      </c>
      <c r="T120" s="66" t="e">
        <f t="shared" si="22"/>
        <v>#DIV/0!</v>
      </c>
    </row>
    <row r="121" spans="1:20" s="163" customFormat="1" ht="18.75" x14ac:dyDescent="0.25">
      <c r="A121" s="101">
        <v>84</v>
      </c>
      <c r="B121" s="826"/>
      <c r="C121" s="566"/>
      <c r="D121" s="566"/>
      <c r="E121" s="868"/>
      <c r="F121" s="946"/>
      <c r="G121" s="826"/>
      <c r="H121" s="945"/>
      <c r="I121" s="107">
        <f t="shared" si="21"/>
        <v>0</v>
      </c>
      <c r="J121" s="741"/>
      <c r="K121" s="596"/>
      <c r="L121" s="625"/>
      <c r="M121" s="596"/>
      <c r="N121" s="625"/>
      <c r="O121" s="813"/>
      <c r="P121" s="971"/>
      <c r="Q121" s="596"/>
      <c r="R121" s="972"/>
      <c r="S121" s="66">
        <f t="shared" si="15"/>
        <v>0</v>
      </c>
      <c r="T121" s="66" t="e">
        <f t="shared" si="22"/>
        <v>#DIV/0!</v>
      </c>
    </row>
    <row r="122" spans="1:20" s="163" customFormat="1" ht="18.75" x14ac:dyDescent="0.25">
      <c r="A122" s="101">
        <v>85</v>
      </c>
      <c r="B122" s="826"/>
      <c r="C122" s="953"/>
      <c r="D122" s="566"/>
      <c r="E122" s="868"/>
      <c r="F122" s="946"/>
      <c r="G122" s="826"/>
      <c r="H122" s="945"/>
      <c r="I122" s="107">
        <f t="shared" si="21"/>
        <v>0</v>
      </c>
      <c r="J122" s="741"/>
      <c r="K122" s="596"/>
      <c r="L122" s="625"/>
      <c r="M122" s="596"/>
      <c r="N122" s="625"/>
      <c r="O122" s="811"/>
      <c r="P122" s="812"/>
      <c r="Q122" s="596"/>
      <c r="R122" s="595"/>
      <c r="S122" s="66">
        <f t="shared" si="15"/>
        <v>0</v>
      </c>
      <c r="T122" s="66" t="e">
        <f t="shared" si="22"/>
        <v>#DIV/0!</v>
      </c>
    </row>
    <row r="123" spans="1:20" s="163" customFormat="1" ht="18.75" customHeight="1" x14ac:dyDescent="0.25">
      <c r="A123" s="101">
        <v>86</v>
      </c>
      <c r="B123" s="826"/>
      <c r="C123" s="826"/>
      <c r="D123" s="826"/>
      <c r="E123" s="868"/>
      <c r="F123" s="945"/>
      <c r="G123" s="826"/>
      <c r="H123" s="945"/>
      <c r="I123" s="107">
        <f t="shared" si="21"/>
        <v>0</v>
      </c>
      <c r="J123" s="741"/>
      <c r="K123" s="596"/>
      <c r="L123" s="625"/>
      <c r="M123" s="596"/>
      <c r="N123" s="625"/>
      <c r="O123" s="811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6"/>
      <c r="C124" s="566"/>
      <c r="D124" s="826"/>
      <c r="E124" s="868"/>
      <c r="F124" s="945"/>
      <c r="G124" s="826"/>
      <c r="H124" s="945"/>
      <c r="I124" s="107">
        <f t="shared" si="21"/>
        <v>0</v>
      </c>
      <c r="J124" s="741"/>
      <c r="K124" s="596"/>
      <c r="L124" s="625"/>
      <c r="M124" s="596"/>
      <c r="N124" s="625"/>
      <c r="O124" s="811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6"/>
      <c r="C125" s="826"/>
      <c r="D125" s="826"/>
      <c r="E125" s="848"/>
      <c r="F125" s="945"/>
      <c r="G125" s="826"/>
      <c r="H125" s="945"/>
      <c r="I125" s="107">
        <f t="shared" si="21"/>
        <v>0</v>
      </c>
      <c r="J125" s="741"/>
      <c r="K125" s="596"/>
      <c r="L125" s="625"/>
      <c r="M125" s="596"/>
      <c r="N125" s="977"/>
      <c r="O125" s="811"/>
      <c r="P125" s="597"/>
      <c r="Q125" s="596"/>
      <c r="R125" s="980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6"/>
      <c r="C126" s="826"/>
      <c r="D126" s="826"/>
      <c r="E126" s="848"/>
      <c r="F126" s="945"/>
      <c r="G126" s="826"/>
      <c r="H126" s="945"/>
      <c r="I126" s="107">
        <f t="shared" si="21"/>
        <v>0</v>
      </c>
      <c r="J126" s="754"/>
      <c r="K126" s="596"/>
      <c r="L126" s="625"/>
      <c r="M126" s="596"/>
      <c r="N126" s="978"/>
      <c r="O126" s="811"/>
      <c r="P126" s="597"/>
      <c r="Q126" s="596"/>
      <c r="R126" s="980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6"/>
      <c r="C127" s="826"/>
      <c r="D127" s="826"/>
      <c r="E127" s="848"/>
      <c r="F127" s="945"/>
      <c r="G127" s="826"/>
      <c r="H127" s="945"/>
      <c r="I127" s="107">
        <f t="shared" si="21"/>
        <v>0</v>
      </c>
      <c r="J127" s="754"/>
      <c r="K127" s="596"/>
      <c r="L127" s="625"/>
      <c r="M127" s="596"/>
      <c r="N127" s="979"/>
      <c r="O127" s="811"/>
      <c r="P127" s="812"/>
      <c r="Q127" s="596"/>
      <c r="R127" s="980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6"/>
      <c r="C128" s="826"/>
      <c r="D128" s="826"/>
      <c r="E128" s="848"/>
      <c r="F128" s="945"/>
      <c r="G128" s="826"/>
      <c r="H128" s="945"/>
      <c r="I128" s="288">
        <f t="shared" si="21"/>
        <v>0</v>
      </c>
      <c r="J128" s="553"/>
      <c r="K128" s="596"/>
      <c r="L128" s="625"/>
      <c r="M128" s="596"/>
      <c r="N128" s="936"/>
      <c r="O128" s="954"/>
      <c r="P128" s="597"/>
      <c r="Q128" s="596"/>
      <c r="R128" s="972"/>
      <c r="S128" s="66">
        <f t="shared" si="15"/>
        <v>0</v>
      </c>
      <c r="T128" s="66" t="e">
        <f t="shared" ref="T128:T134" si="23">S128/H128</f>
        <v>#DIV/0!</v>
      </c>
    </row>
    <row r="129" spans="1:20" s="163" customFormat="1" ht="18.75" hidden="1" x14ac:dyDescent="0.25">
      <c r="A129" s="101">
        <v>92</v>
      </c>
      <c r="B129" s="826"/>
      <c r="C129" s="826"/>
      <c r="D129" s="826"/>
      <c r="E129" s="848"/>
      <c r="F129" s="945"/>
      <c r="G129" s="826"/>
      <c r="H129" s="945"/>
      <c r="I129" s="288">
        <f t="shared" si="21"/>
        <v>0</v>
      </c>
      <c r="J129" s="553"/>
      <c r="K129" s="596"/>
      <c r="L129" s="625"/>
      <c r="M129" s="596"/>
      <c r="N129" s="804"/>
      <c r="O129" s="813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6"/>
      <c r="C130" s="826"/>
      <c r="D130" s="826"/>
      <c r="E130" s="848"/>
      <c r="F130" s="945"/>
      <c r="G130" s="826"/>
      <c r="H130" s="945"/>
      <c r="I130" s="288">
        <f t="shared" si="21"/>
        <v>0</v>
      </c>
      <c r="J130" s="553"/>
      <c r="K130" s="596"/>
      <c r="L130" s="625"/>
      <c r="M130" s="896"/>
      <c r="N130" s="935"/>
      <c r="O130" s="813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6"/>
      <c r="C131" s="826"/>
      <c r="D131" s="826"/>
      <c r="E131" s="848"/>
      <c r="F131" s="945"/>
      <c r="G131" s="826"/>
      <c r="H131" s="945"/>
      <c r="I131" s="288">
        <f t="shared" si="21"/>
        <v>0</v>
      </c>
      <c r="J131" s="553"/>
      <c r="K131" s="596"/>
      <c r="L131" s="625"/>
      <c r="M131" s="596"/>
      <c r="N131" s="936"/>
      <c r="O131" s="811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6"/>
      <c r="C132" s="901"/>
      <c r="D132" s="826"/>
      <c r="E132" s="848"/>
      <c r="F132" s="945"/>
      <c r="G132" s="826"/>
      <c r="H132" s="945"/>
      <c r="I132" s="288">
        <f t="shared" si="21"/>
        <v>0</v>
      </c>
      <c r="J132" s="553"/>
      <c r="K132" s="596"/>
      <c r="L132" s="625"/>
      <c r="M132" s="596"/>
      <c r="N132" s="936"/>
      <c r="O132" s="811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6"/>
      <c r="C133" s="826"/>
      <c r="D133" s="826"/>
      <c r="E133" s="848"/>
      <c r="F133" s="945"/>
      <c r="G133" s="826"/>
      <c r="H133" s="945"/>
      <c r="I133" s="288">
        <f t="shared" si="21"/>
        <v>0</v>
      </c>
      <c r="J133" s="739"/>
      <c r="K133" s="596"/>
      <c r="L133" s="625"/>
      <c r="M133" s="596"/>
      <c r="N133" s="596"/>
      <c r="O133" s="811"/>
      <c r="P133" s="596"/>
      <c r="Q133" s="596"/>
      <c r="R133" s="595"/>
      <c r="S133" s="66">
        <f t="shared" si="15"/>
        <v>0</v>
      </c>
      <c r="T133" s="66" t="e">
        <f t="shared" si="23"/>
        <v>#DIV/0!</v>
      </c>
    </row>
    <row r="134" spans="1:20" s="163" customFormat="1" ht="15.75" hidden="1" customHeight="1" x14ac:dyDescent="0.25">
      <c r="A134" s="101">
        <v>94</v>
      </c>
      <c r="B134" s="826"/>
      <c r="C134" s="903"/>
      <c r="D134" s="826"/>
      <c r="E134" s="848"/>
      <c r="F134" s="945"/>
      <c r="G134" s="826"/>
      <c r="H134" s="945"/>
      <c r="I134" s="107">
        <f t="shared" si="21"/>
        <v>0</v>
      </c>
      <c r="J134" s="739"/>
      <c r="K134" s="596"/>
      <c r="L134" s="625"/>
      <c r="M134" s="596"/>
      <c r="N134" s="596"/>
      <c r="O134" s="811"/>
      <c r="P134" s="596"/>
      <c r="Q134" s="596"/>
      <c r="R134" s="767"/>
      <c r="S134" s="66">
        <f t="shared" si="15"/>
        <v>0</v>
      </c>
      <c r="T134" s="66" t="e">
        <f t="shared" si="23"/>
        <v>#DIV/0!</v>
      </c>
    </row>
    <row r="135" spans="1:20" s="163" customFormat="1" ht="15.75" hidden="1" x14ac:dyDescent="0.25">
      <c r="A135" s="101">
        <v>95</v>
      </c>
      <c r="B135" s="826"/>
      <c r="C135" s="826"/>
      <c r="D135" s="826"/>
      <c r="E135" s="848"/>
      <c r="F135" s="945"/>
      <c r="G135" s="826"/>
      <c r="H135" s="945"/>
      <c r="I135" s="107">
        <f t="shared" si="21"/>
        <v>0</v>
      </c>
      <c r="J135" s="553"/>
      <c r="K135" s="596"/>
      <c r="L135" s="625"/>
      <c r="M135" s="596"/>
      <c r="N135" s="596"/>
      <c r="O135" s="937"/>
      <c r="P135" s="596"/>
      <c r="Q135" s="596"/>
      <c r="R135" s="894"/>
      <c r="S135" s="66">
        <f t="shared" si="15"/>
        <v>0</v>
      </c>
      <c r="T135" s="66" t="e">
        <f t="shared" ref="T135:T136" si="24">S135/H135</f>
        <v>#DIV/0!</v>
      </c>
    </row>
    <row r="136" spans="1:20" s="163" customFormat="1" ht="16.5" hidden="1" customHeight="1" x14ac:dyDescent="0.25">
      <c r="A136" s="101">
        <v>96</v>
      </c>
      <c r="B136" s="933"/>
      <c r="C136" s="891"/>
      <c r="D136" s="929"/>
      <c r="E136" s="930"/>
      <c r="F136" s="947"/>
      <c r="G136" s="931"/>
      <c r="H136" s="950"/>
      <c r="I136" s="107">
        <f t="shared" si="21"/>
        <v>0</v>
      </c>
      <c r="J136" s="566"/>
      <c r="K136" s="596"/>
      <c r="L136" s="625"/>
      <c r="M136" s="596"/>
      <c r="N136" s="596"/>
      <c r="O136" s="899"/>
      <c r="P136" s="596"/>
      <c r="Q136" s="898"/>
      <c r="R136" s="595"/>
      <c r="S136" s="66">
        <f t="shared" si="15"/>
        <v>0</v>
      </c>
      <c r="T136" s="66" t="e">
        <f t="shared" si="24"/>
        <v>#DIV/0!</v>
      </c>
    </row>
    <row r="137" spans="1:20" s="163" customFormat="1" ht="16.5" hidden="1" customHeight="1" x14ac:dyDescent="0.25">
      <c r="A137" s="101">
        <v>97</v>
      </c>
      <c r="B137" s="933"/>
      <c r="C137" s="891"/>
      <c r="D137" s="932"/>
      <c r="E137" s="930"/>
      <c r="F137" s="947"/>
      <c r="G137" s="931"/>
      <c r="H137" s="950"/>
      <c r="I137" s="107">
        <f t="shared" si="21"/>
        <v>0</v>
      </c>
      <c r="J137" s="566"/>
      <c r="K137" s="596"/>
      <c r="L137" s="625"/>
      <c r="M137" s="596"/>
      <c r="N137" s="596"/>
      <c r="O137" s="899"/>
      <c r="P137" s="596"/>
      <c r="Q137" s="898"/>
      <c r="R137" s="595"/>
      <c r="S137" s="66">
        <f t="shared" si="15"/>
        <v>0</v>
      </c>
      <c r="T137" s="66" t="e">
        <f t="shared" ref="T137" si="25">S137/H137</f>
        <v>#DIV/0!</v>
      </c>
    </row>
    <row r="138" spans="1:20" s="163" customFormat="1" ht="17.25" hidden="1" customHeight="1" x14ac:dyDescent="0.25">
      <c r="A138" s="101">
        <v>98</v>
      </c>
      <c r="B138" s="933"/>
      <c r="C138" s="891"/>
      <c r="D138" s="929"/>
      <c r="E138" s="930"/>
      <c r="F138" s="947"/>
      <c r="G138" s="931"/>
      <c r="H138" s="950"/>
      <c r="I138" s="288">
        <f t="shared" si="21"/>
        <v>0</v>
      </c>
      <c r="J138" s="742"/>
      <c r="K138" s="743"/>
      <c r="L138" s="599"/>
      <c r="M138" s="743"/>
      <c r="N138" s="609"/>
      <c r="O138" s="899"/>
      <c r="P138" s="789"/>
      <c r="Q138" s="898"/>
      <c r="R138" s="595"/>
      <c r="S138" s="66">
        <f t="shared" ref="S138:S143" si="26">Q138+M138+K138</f>
        <v>0</v>
      </c>
      <c r="T138" s="66" t="e">
        <f t="shared" ref="T138:T143" si="27">S138/H138</f>
        <v>#DIV/0!</v>
      </c>
    </row>
    <row r="139" spans="1:20" s="163" customFormat="1" ht="16.5" hidden="1" customHeight="1" x14ac:dyDescent="0.25">
      <c r="A139" s="101">
        <v>99</v>
      </c>
      <c r="B139" s="933"/>
      <c r="C139" s="891"/>
      <c r="D139" s="929"/>
      <c r="E139" s="930"/>
      <c r="F139" s="947"/>
      <c r="G139" s="931"/>
      <c r="H139" s="950"/>
      <c r="I139" s="288">
        <f t="shared" si="21"/>
        <v>0</v>
      </c>
      <c r="J139" s="742"/>
      <c r="K139" s="743"/>
      <c r="L139" s="599"/>
      <c r="M139" s="743"/>
      <c r="N139" s="609"/>
      <c r="O139" s="899"/>
      <c r="P139" s="834"/>
      <c r="Q139" s="898"/>
      <c r="R139" s="595"/>
      <c r="S139" s="66">
        <f t="shared" si="26"/>
        <v>0</v>
      </c>
      <c r="T139" s="66" t="e">
        <f t="shared" si="27"/>
        <v>#DIV/0!</v>
      </c>
    </row>
    <row r="140" spans="1:20" s="163" customFormat="1" ht="16.5" hidden="1" customHeight="1" x14ac:dyDescent="0.25">
      <c r="A140" s="101">
        <v>100</v>
      </c>
      <c r="B140" s="933"/>
      <c r="C140" s="892"/>
      <c r="D140" s="932"/>
      <c r="E140" s="930"/>
      <c r="F140" s="947"/>
      <c r="G140" s="931"/>
      <c r="H140" s="950"/>
      <c r="I140" s="288">
        <f t="shared" si="21"/>
        <v>0</v>
      </c>
      <c r="J140" s="742"/>
      <c r="K140" s="743"/>
      <c r="L140" s="599"/>
      <c r="M140" s="743"/>
      <c r="N140" s="609"/>
      <c r="O140" s="899"/>
      <c r="P140" s="789"/>
      <c r="Q140" s="898"/>
      <c r="R140" s="595"/>
      <c r="S140" s="66">
        <f t="shared" si="26"/>
        <v>0</v>
      </c>
      <c r="T140" s="66" t="e">
        <f t="shared" si="27"/>
        <v>#DIV/0!</v>
      </c>
    </row>
    <row r="141" spans="1:20" s="163" customFormat="1" ht="16.5" hidden="1" customHeight="1" x14ac:dyDescent="0.25">
      <c r="A141" s="101"/>
      <c r="B141" s="895"/>
      <c r="C141" s="892"/>
      <c r="D141" s="893"/>
      <c r="E141" s="905"/>
      <c r="F141" s="948"/>
      <c r="G141" s="486"/>
      <c r="H141" s="951"/>
      <c r="I141" s="288">
        <f t="shared" si="21"/>
        <v>0</v>
      </c>
      <c r="J141" s="742"/>
      <c r="K141" s="743"/>
      <c r="L141" s="599"/>
      <c r="M141" s="743"/>
      <c r="N141" s="609"/>
      <c r="O141" s="899"/>
      <c r="P141" s="789"/>
      <c r="Q141" s="898"/>
      <c r="R141" s="595"/>
      <c r="S141" s="66">
        <f t="shared" si="26"/>
        <v>0</v>
      </c>
      <c r="T141" s="66" t="e">
        <f t="shared" si="27"/>
        <v>#DIV/0!</v>
      </c>
    </row>
    <row r="142" spans="1:20" s="163" customFormat="1" hidden="1" x14ac:dyDescent="0.25">
      <c r="A142" s="101"/>
      <c r="B142" s="826"/>
      <c r="C142" s="553"/>
      <c r="D142" s="578"/>
      <c r="E142" s="906"/>
      <c r="F142" s="949"/>
      <c r="G142" s="580"/>
      <c r="H142" s="952"/>
      <c r="I142" s="288">
        <f t="shared" si="21"/>
        <v>0</v>
      </c>
      <c r="J142" s="742"/>
      <c r="K142" s="743"/>
      <c r="L142" s="599"/>
      <c r="M142" s="743"/>
      <c r="N142" s="820"/>
      <c r="O142" s="897"/>
      <c r="P142" s="835"/>
      <c r="Q142" s="836"/>
      <c r="R142" s="837"/>
      <c r="S142" s="66">
        <f t="shared" si="26"/>
        <v>0</v>
      </c>
      <c r="T142" s="66" t="e">
        <f t="shared" si="27"/>
        <v>#DIV/0!</v>
      </c>
    </row>
    <row r="143" spans="1:20" s="163" customFormat="1" hidden="1" x14ac:dyDescent="0.25">
      <c r="A143" s="101"/>
      <c r="B143" s="582"/>
      <c r="C143" s="583"/>
      <c r="D143" s="578"/>
      <c r="E143" s="906"/>
      <c r="F143" s="949"/>
      <c r="G143" s="580"/>
      <c r="H143" s="952"/>
      <c r="I143" s="288">
        <f t="shared" si="21"/>
        <v>0</v>
      </c>
      <c r="J143" s="269"/>
      <c r="K143" s="252"/>
      <c r="L143" s="307"/>
      <c r="M143" s="251"/>
      <c r="N143" s="567"/>
      <c r="O143" s="838"/>
      <c r="P143" s="789"/>
      <c r="Q143" s="743"/>
      <c r="R143" s="790"/>
      <c r="S143" s="66">
        <f t="shared" si="26"/>
        <v>0</v>
      </c>
      <c r="T143" s="66" t="e">
        <f t="shared" si="27"/>
        <v>#DIV/0!</v>
      </c>
    </row>
    <row r="144" spans="1:20" s="163" customFormat="1" hidden="1" x14ac:dyDescent="0.25">
      <c r="A144" s="101"/>
      <c r="B144" s="582"/>
      <c r="C144" s="583"/>
      <c r="D144" s="578"/>
      <c r="E144" s="906"/>
      <c r="F144" s="579"/>
      <c r="G144" s="580"/>
      <c r="H144" s="952"/>
      <c r="I144" s="288">
        <f t="shared" si="21"/>
        <v>0</v>
      </c>
      <c r="J144" s="269"/>
      <c r="K144" s="252"/>
      <c r="L144" s="307"/>
      <c r="M144" s="251"/>
      <c r="N144" s="567"/>
      <c r="O144" s="622"/>
      <c r="P144" s="835"/>
      <c r="Q144" s="836"/>
      <c r="R144" s="837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64"/>
      <c r="F145" s="579"/>
      <c r="G145" s="580"/>
      <c r="H145" s="952"/>
      <c r="I145" s="288">
        <f t="shared" si="21"/>
        <v>0</v>
      </c>
      <c r="J145" s="269"/>
      <c r="K145" s="252"/>
      <c r="L145" s="307"/>
      <c r="M145" s="251"/>
      <c r="N145" s="567"/>
      <c r="O145" s="622"/>
      <c r="P145" s="789"/>
      <c r="Q145" s="743"/>
      <c r="R145" s="790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64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2"/>
      <c r="P146" s="789"/>
      <c r="Q146" s="743"/>
      <c r="R146" s="790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64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2"/>
      <c r="P147" s="789"/>
      <c r="Q147" s="743"/>
      <c r="R147" s="790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64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2"/>
      <c r="P148" s="789"/>
      <c r="Q148" s="743"/>
      <c r="R148" s="790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64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2"/>
      <c r="P149" s="789"/>
      <c r="Q149" s="743"/>
      <c r="R149" s="790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64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2"/>
      <c r="P150" s="789"/>
      <c r="Q150" s="743"/>
      <c r="R150" s="790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64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2"/>
      <c r="P151" s="789"/>
      <c r="Q151" s="743"/>
      <c r="R151" s="790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64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2"/>
      <c r="P152" s="789"/>
      <c r="Q152" s="743"/>
      <c r="R152" s="790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64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2"/>
      <c r="P153" s="789"/>
      <c r="Q153" s="743"/>
      <c r="R153" s="790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64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2"/>
      <c r="P154" s="789"/>
      <c r="Q154" s="743"/>
      <c r="R154" s="790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64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2"/>
      <c r="P155" s="789"/>
      <c r="Q155" s="743"/>
      <c r="R155" s="790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64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2"/>
      <c r="P156" s="789"/>
      <c r="Q156" s="743"/>
      <c r="R156" s="790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64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2"/>
      <c r="P157" s="789"/>
      <c r="Q157" s="743"/>
      <c r="R157" s="790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61"/>
      <c r="F158" s="671"/>
      <c r="G158" s="672"/>
      <c r="H158" s="673"/>
      <c r="I158" s="288">
        <f t="shared" si="21"/>
        <v>0</v>
      </c>
      <c r="J158" s="269"/>
      <c r="K158" s="252"/>
      <c r="L158" s="307"/>
      <c r="M158" s="251"/>
      <c r="N158" s="567"/>
      <c r="O158" s="622"/>
      <c r="P158" s="789"/>
      <c r="Q158" s="743"/>
      <c r="R158" s="790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61"/>
      <c r="F159" s="671"/>
      <c r="G159" s="672"/>
      <c r="H159" s="673"/>
      <c r="I159" s="288">
        <f t="shared" si="21"/>
        <v>0</v>
      </c>
      <c r="J159" s="269"/>
      <c r="K159" s="252"/>
      <c r="L159" s="307"/>
      <c r="M159" s="251"/>
      <c r="N159" s="567"/>
      <c r="O159" s="622"/>
      <c r="P159" s="789"/>
      <c r="Q159" s="743"/>
      <c r="R159" s="790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61"/>
      <c r="F160" s="671"/>
      <c r="G160" s="672"/>
      <c r="H160" s="673"/>
      <c r="I160" s="288">
        <f t="shared" si="21"/>
        <v>0</v>
      </c>
      <c r="J160" s="269"/>
      <c r="K160" s="252"/>
      <c r="L160" s="307"/>
      <c r="M160" s="251"/>
      <c r="N160" s="567"/>
      <c r="O160" s="622"/>
      <c r="P160" s="789"/>
      <c r="Q160" s="743"/>
      <c r="R160" s="790"/>
      <c r="S160" s="66"/>
      <c r="T160" s="66"/>
    </row>
    <row r="161" spans="1:20" s="163" customFormat="1" hidden="1" x14ac:dyDescent="0.25">
      <c r="A161" s="101"/>
      <c r="B161" s="670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2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2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2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2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2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2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2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3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3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3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3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28">Q171+M171+K171</f>
        <v>0</v>
      </c>
      <c r="T171" s="66" t="e">
        <f t="shared" ref="T171:T179" si="29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3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28"/>
        <v>0</v>
      </c>
      <c r="T172" s="66" t="e">
        <f t="shared" si="29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3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28"/>
        <v>0</v>
      </c>
      <c r="T173" s="66" t="e">
        <f t="shared" si="29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3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28"/>
        <v>0</v>
      </c>
      <c r="T174" s="66" t="e">
        <f t="shared" si="29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3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28"/>
        <v>0</v>
      </c>
      <c r="T175" s="66" t="e">
        <f t="shared" si="29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3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28"/>
        <v>0</v>
      </c>
      <c r="T176" s="66" t="e">
        <f t="shared" si="29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3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0">Q177+M177+K177</f>
        <v>0</v>
      </c>
      <c r="T177" s="66" t="e">
        <f t="shared" si="29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3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0"/>
        <v>0</v>
      </c>
      <c r="T178" s="66" t="e">
        <f t="shared" si="29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3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0"/>
        <v>0</v>
      </c>
      <c r="T179" s="66" t="e">
        <f t="shared" si="29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3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0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3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0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3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0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5"/>
      <c r="F183" s="753"/>
      <c r="G183" s="101"/>
      <c r="H183" s="560"/>
      <c r="I183" s="107">
        <f t="shared" si="21"/>
        <v>0</v>
      </c>
      <c r="J183" s="133"/>
      <c r="K183" s="175"/>
      <c r="L183" s="683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9" t="s">
        <v>31</v>
      </c>
      <c r="G184" s="73">
        <f>SUM(G5:G183)</f>
        <v>3599</v>
      </c>
      <c r="H184" s="562">
        <f>SUM(H3:H183)</f>
        <v>777181.65</v>
      </c>
      <c r="I184" s="797">
        <f>PIERNA!I37</f>
        <v>-62.019999999996799</v>
      </c>
      <c r="J184" s="46"/>
      <c r="K184" s="177">
        <f>SUM(K5:K183)</f>
        <v>396615</v>
      </c>
      <c r="L184" s="684"/>
      <c r="M184" s="177">
        <f>SUM(M5:M183)</f>
        <v>988320</v>
      </c>
      <c r="N184" s="483"/>
      <c r="O184" s="624"/>
      <c r="P184" s="120"/>
      <c r="Q184" s="178">
        <f>SUM(Q5:Q183)</f>
        <v>23494798.093259994</v>
      </c>
      <c r="R184" s="158"/>
      <c r="S184" s="188">
        <f>Q184+M184+K184</f>
        <v>24879733.093259994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5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5">
    <mergeCell ref="R105:R107"/>
    <mergeCell ref="R102:R104"/>
    <mergeCell ref="B113:B115"/>
    <mergeCell ref="E113:E115"/>
    <mergeCell ref="B105:B107"/>
    <mergeCell ref="E105:E107"/>
    <mergeCell ref="O105:O107"/>
    <mergeCell ref="B102:B104"/>
    <mergeCell ref="E102:E104"/>
    <mergeCell ref="Q1:Q2"/>
    <mergeCell ref="K1:K2"/>
    <mergeCell ref="M1:M2"/>
    <mergeCell ref="O102:O104"/>
    <mergeCell ref="B116:B117"/>
    <mergeCell ref="O116:O11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1"/>
    <col min="10" max="10" width="17.5703125" customWidth="1"/>
  </cols>
  <sheetData>
    <row r="1" spans="1:11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1" ht="16.5" thickBot="1" x14ac:dyDescent="0.3">
      <c r="K2" s="73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2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23">
        <f>E5+E6-F8+E4</f>
        <v>0</v>
      </c>
      <c r="J8" s="791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23">
        <f>I8-F9</f>
        <v>0</v>
      </c>
      <c r="J9" s="791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23">
        <f t="shared" ref="I10:I27" si="4">I9-F10</f>
        <v>0</v>
      </c>
      <c r="J10" s="791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23">
        <f t="shared" si="4"/>
        <v>0</v>
      </c>
      <c r="J11" s="791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23">
        <f t="shared" si="4"/>
        <v>0</v>
      </c>
      <c r="J12" s="791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23">
        <f t="shared" si="4"/>
        <v>0</v>
      </c>
      <c r="J13" s="791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23">
        <f t="shared" si="4"/>
        <v>0</v>
      </c>
      <c r="J14" s="791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3">
        <f t="shared" si="4"/>
        <v>0</v>
      </c>
      <c r="J15" s="791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4">
        <f t="shared" si="4"/>
        <v>0</v>
      </c>
      <c r="J16" s="769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4">
        <f t="shared" si="4"/>
        <v>0</v>
      </c>
      <c r="J17" s="769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4">
        <f t="shared" si="4"/>
        <v>0</v>
      </c>
      <c r="J18" s="769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4">
        <f t="shared" si="4"/>
        <v>0</v>
      </c>
      <c r="J19" s="769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4">
        <f t="shared" si="4"/>
        <v>0</v>
      </c>
      <c r="J20" s="769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4">
        <f t="shared" si="4"/>
        <v>0</v>
      </c>
      <c r="J21" s="769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4">
        <f t="shared" si="4"/>
        <v>0</v>
      </c>
      <c r="J22" s="769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4">
        <f t="shared" si="4"/>
        <v>0</v>
      </c>
      <c r="J23" s="769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4">
        <f t="shared" si="4"/>
        <v>0</v>
      </c>
      <c r="J24" s="769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4">
        <f t="shared" si="4"/>
        <v>0</v>
      </c>
      <c r="J25" s="769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4">
        <f t="shared" si="4"/>
        <v>0</v>
      </c>
      <c r="J26" s="769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4">
        <f t="shared" si="4"/>
        <v>0</v>
      </c>
      <c r="J27" s="769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5"/>
      <c r="J28" s="77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50" t="s">
        <v>21</v>
      </c>
      <c r="E31" s="1151"/>
      <c r="F31" s="147">
        <f>E4+E5-F29+E6</f>
        <v>0</v>
      </c>
    </row>
    <row r="32" spans="1:10" ht="16.5" thickBot="1" x14ac:dyDescent="0.3">
      <c r="A32" s="129"/>
      <c r="D32" s="818" t="s">
        <v>4</v>
      </c>
      <c r="E32" s="819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15" sqref="A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4" t="s">
        <v>248</v>
      </c>
      <c r="B1" s="1154"/>
      <c r="C1" s="1154"/>
      <c r="D1" s="1154"/>
      <c r="E1" s="1154"/>
      <c r="F1" s="1154"/>
      <c r="G1" s="1154"/>
      <c r="H1" s="378">
        <v>1</v>
      </c>
      <c r="I1" s="633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9"/>
    </row>
    <row r="3" spans="1:10" ht="16.5" thickTop="1" thickBot="1" x14ac:dyDescent="0.3">
      <c r="A3" s="73" t="s">
        <v>0</v>
      </c>
      <c r="B3" s="1046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4"/>
    </row>
    <row r="4" spans="1:10" ht="15.75" thickTop="1" x14ac:dyDescent="0.25">
      <c r="A4" s="76"/>
      <c r="B4" s="1176" t="s">
        <v>73</v>
      </c>
      <c r="C4" s="626"/>
      <c r="D4" s="261"/>
      <c r="E4" s="259"/>
      <c r="F4" s="256"/>
      <c r="G4" s="787"/>
      <c r="H4" s="159"/>
      <c r="I4" s="638"/>
    </row>
    <row r="5" spans="1:10" ht="28.5" customHeight="1" thickBot="1" x14ac:dyDescent="0.3">
      <c r="A5" s="784" t="s">
        <v>67</v>
      </c>
      <c r="B5" s="1177"/>
      <c r="C5" s="338">
        <v>54</v>
      </c>
      <c r="D5" s="261">
        <v>44547</v>
      </c>
      <c r="E5" s="586">
        <v>499.6</v>
      </c>
      <c r="F5" s="256">
        <v>19</v>
      </c>
      <c r="G5" s="254">
        <f>F30</f>
        <v>0</v>
      </c>
      <c r="H5" s="144">
        <f>E5-G5</f>
        <v>499.6</v>
      </c>
      <c r="I5" s="635"/>
    </row>
    <row r="6" spans="1:10" ht="15.75" hidden="1" thickBot="1" x14ac:dyDescent="0.3">
      <c r="A6" s="263"/>
      <c r="B6" s="721"/>
      <c r="C6" s="629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10"/>
      <c r="C7" s="629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6"/>
    </row>
    <row r="9" spans="1:10" ht="15.75" thickTop="1" x14ac:dyDescent="0.25">
      <c r="A9" s="62"/>
      <c r="B9" s="205">
        <f>F4+F5+F6-C9+F7</f>
        <v>19</v>
      </c>
      <c r="C9" s="15"/>
      <c r="D9" s="70">
        <v>0</v>
      </c>
      <c r="E9" s="357"/>
      <c r="F9" s="292">
        <f>D9</f>
        <v>0</v>
      </c>
      <c r="G9" s="71"/>
      <c r="H9" s="72"/>
      <c r="I9" s="629">
        <f>E4+E5+E6-F9+E7</f>
        <v>499.6</v>
      </c>
      <c r="J9" s="61">
        <f>H9*F9</f>
        <v>0</v>
      </c>
    </row>
    <row r="10" spans="1:10" x14ac:dyDescent="0.25">
      <c r="A10" s="76"/>
      <c r="B10" s="205">
        <f>B9-C10</f>
        <v>19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499.6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19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499.6</v>
      </c>
      <c r="J11" s="61">
        <f t="shared" si="1"/>
        <v>0</v>
      </c>
    </row>
    <row r="12" spans="1:10" x14ac:dyDescent="0.25">
      <c r="A12" s="62"/>
      <c r="B12" s="205">
        <f t="shared" si="2"/>
        <v>19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499.6</v>
      </c>
      <c r="J12" s="61">
        <f t="shared" si="1"/>
        <v>0</v>
      </c>
    </row>
    <row r="13" spans="1:10" x14ac:dyDescent="0.25">
      <c r="A13" s="76"/>
      <c r="B13" s="205">
        <f t="shared" si="2"/>
        <v>19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499.6</v>
      </c>
      <c r="J13" s="61">
        <f t="shared" si="1"/>
        <v>0</v>
      </c>
    </row>
    <row r="14" spans="1:10" x14ac:dyDescent="0.25">
      <c r="A14" s="76"/>
      <c r="B14" s="205">
        <f t="shared" si="2"/>
        <v>19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499.6</v>
      </c>
      <c r="J14" s="61">
        <f t="shared" si="1"/>
        <v>0</v>
      </c>
    </row>
    <row r="15" spans="1:10" x14ac:dyDescent="0.25">
      <c r="A15" s="76"/>
      <c r="B15" s="205">
        <f t="shared" si="2"/>
        <v>19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499.6</v>
      </c>
      <c r="J15" s="61">
        <f t="shared" si="1"/>
        <v>0</v>
      </c>
    </row>
    <row r="16" spans="1:10" x14ac:dyDescent="0.25">
      <c r="A16" s="76"/>
      <c r="B16" s="205">
        <f t="shared" si="2"/>
        <v>19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499.6</v>
      </c>
      <c r="J16" s="61">
        <f t="shared" si="1"/>
        <v>0</v>
      </c>
    </row>
    <row r="17" spans="1:10" x14ac:dyDescent="0.25">
      <c r="A17" s="76"/>
      <c r="B17" s="205">
        <f t="shared" si="2"/>
        <v>19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499.6</v>
      </c>
      <c r="J17" s="61">
        <f t="shared" si="1"/>
        <v>0</v>
      </c>
    </row>
    <row r="18" spans="1:10" x14ac:dyDescent="0.25">
      <c r="A18" s="76"/>
      <c r="B18" s="205">
        <f t="shared" si="2"/>
        <v>19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9">
        <f t="shared" si="3"/>
        <v>499.6</v>
      </c>
      <c r="J18" s="61">
        <f t="shared" si="1"/>
        <v>0</v>
      </c>
    </row>
    <row r="19" spans="1:10" x14ac:dyDescent="0.25">
      <c r="A19" s="76"/>
      <c r="B19" s="205">
        <f t="shared" si="2"/>
        <v>19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9">
        <f t="shared" si="3"/>
        <v>499.6</v>
      </c>
      <c r="J19" s="61">
        <f t="shared" si="1"/>
        <v>0</v>
      </c>
    </row>
    <row r="20" spans="1:10" x14ac:dyDescent="0.25">
      <c r="A20" s="76"/>
      <c r="B20" s="205">
        <f t="shared" si="2"/>
        <v>19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9">
        <f t="shared" si="3"/>
        <v>499.6</v>
      </c>
      <c r="J20" s="61">
        <f t="shared" si="1"/>
        <v>0</v>
      </c>
    </row>
    <row r="21" spans="1:10" x14ac:dyDescent="0.25">
      <c r="A21" s="76"/>
      <c r="B21" s="205">
        <f t="shared" si="2"/>
        <v>19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9">
        <f t="shared" si="3"/>
        <v>499.6</v>
      </c>
      <c r="J21" s="61">
        <f t="shared" si="1"/>
        <v>0</v>
      </c>
    </row>
    <row r="22" spans="1:10" x14ac:dyDescent="0.25">
      <c r="A22" s="76"/>
      <c r="B22" s="205">
        <f t="shared" si="2"/>
        <v>19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9">
        <f t="shared" si="3"/>
        <v>499.6</v>
      </c>
      <c r="J22" s="61">
        <f t="shared" si="1"/>
        <v>0</v>
      </c>
    </row>
    <row r="23" spans="1:10" x14ac:dyDescent="0.25">
      <c r="A23" s="19"/>
      <c r="B23" s="205">
        <f t="shared" si="2"/>
        <v>19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9">
        <f t="shared" si="3"/>
        <v>499.6</v>
      </c>
      <c r="J23" s="61">
        <f t="shared" si="1"/>
        <v>0</v>
      </c>
    </row>
    <row r="24" spans="1:10" x14ac:dyDescent="0.25">
      <c r="A24" s="19"/>
      <c r="B24" s="205">
        <f t="shared" si="2"/>
        <v>19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9">
        <f t="shared" si="3"/>
        <v>499.6</v>
      </c>
      <c r="J24" s="61">
        <f t="shared" si="1"/>
        <v>0</v>
      </c>
    </row>
    <row r="25" spans="1:10" x14ac:dyDescent="0.25">
      <c r="A25" s="19"/>
      <c r="B25" s="205">
        <f t="shared" si="2"/>
        <v>19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9">
        <f t="shared" si="3"/>
        <v>499.6</v>
      </c>
      <c r="J25" s="61">
        <f t="shared" si="1"/>
        <v>0</v>
      </c>
    </row>
    <row r="26" spans="1:10" x14ac:dyDescent="0.25">
      <c r="A26" s="19"/>
      <c r="B26" s="205">
        <f t="shared" si="2"/>
        <v>19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9">
        <f t="shared" si="3"/>
        <v>499.6</v>
      </c>
      <c r="J26" s="61">
        <f t="shared" si="1"/>
        <v>0</v>
      </c>
    </row>
    <row r="27" spans="1:10" x14ac:dyDescent="0.25">
      <c r="A27" s="19"/>
      <c r="B27" s="205">
        <f t="shared" si="2"/>
        <v>19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9">
        <f t="shared" si="3"/>
        <v>499.6</v>
      </c>
      <c r="J27" s="61">
        <f t="shared" si="1"/>
        <v>0</v>
      </c>
    </row>
    <row r="28" spans="1:10" x14ac:dyDescent="0.25">
      <c r="B28" s="205">
        <f t="shared" si="2"/>
        <v>19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9">
        <f>SUM(I9:I27)</f>
        <v>9492.4000000000033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19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50" t="s">
        <v>21</v>
      </c>
      <c r="E32" s="1151"/>
      <c r="F32" s="147">
        <f>G5-F30</f>
        <v>0</v>
      </c>
    </row>
    <row r="33" spans="1:6" ht="15.75" thickBot="1" x14ac:dyDescent="0.3">
      <c r="A33" s="129"/>
      <c r="D33" s="785" t="s">
        <v>4</v>
      </c>
      <c r="E33" s="786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2" sqref="H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8" t="s">
        <v>248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2"/>
    </row>
    <row r="5" spans="1:9" ht="15.75" x14ac:dyDescent="0.25">
      <c r="A5" s="76" t="s">
        <v>101</v>
      </c>
      <c r="B5" s="956" t="s">
        <v>249</v>
      </c>
      <c r="C5" s="325">
        <v>260</v>
      </c>
      <c r="D5" s="261">
        <v>44533</v>
      </c>
      <c r="E5" s="916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7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1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252</v>
      </c>
      <c r="H8" s="279">
        <v>265</v>
      </c>
      <c r="I8" s="47">
        <f>E4+E5+E6-F8</f>
        <v>99.88</v>
      </c>
    </row>
    <row r="9" spans="1:9" x14ac:dyDescent="0.25">
      <c r="B9" s="691">
        <f>B8-C9</f>
        <v>15</v>
      </c>
      <c r="C9" s="256">
        <v>7</v>
      </c>
      <c r="D9" s="989">
        <v>31.78</v>
      </c>
      <c r="E9" s="997">
        <v>44543</v>
      </c>
      <c r="F9" s="998">
        <f t="shared" si="0"/>
        <v>31.78</v>
      </c>
      <c r="G9" s="689" t="s">
        <v>468</v>
      </c>
      <c r="H9" s="991">
        <v>265</v>
      </c>
      <c r="I9" s="275">
        <f>I8-F9</f>
        <v>68.099999999999994</v>
      </c>
    </row>
    <row r="10" spans="1:9" x14ac:dyDescent="0.25">
      <c r="B10" s="691">
        <f>B9-C10</f>
        <v>14</v>
      </c>
      <c r="C10" s="256">
        <v>1</v>
      </c>
      <c r="D10" s="989">
        <v>4.54</v>
      </c>
      <c r="E10" s="997">
        <v>44549</v>
      </c>
      <c r="F10" s="998">
        <f t="shared" si="0"/>
        <v>4.54</v>
      </c>
      <c r="G10" s="689" t="s">
        <v>560</v>
      </c>
      <c r="H10" s="991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91">
        <f t="shared" ref="B11:B13" si="2">B10-C11</f>
        <v>12</v>
      </c>
      <c r="C11" s="256">
        <v>2</v>
      </c>
      <c r="D11" s="989">
        <v>9.08</v>
      </c>
      <c r="E11" s="997">
        <v>44551</v>
      </c>
      <c r="F11" s="998">
        <f t="shared" si="0"/>
        <v>9.08</v>
      </c>
      <c r="G11" s="689" t="s">
        <v>569</v>
      </c>
      <c r="H11" s="991">
        <v>265</v>
      </c>
      <c r="I11" s="275">
        <f t="shared" si="1"/>
        <v>54.48</v>
      </c>
    </row>
    <row r="12" spans="1:9" x14ac:dyDescent="0.25">
      <c r="B12" s="691">
        <f t="shared" si="2"/>
        <v>12</v>
      </c>
      <c r="C12" s="256"/>
      <c r="D12" s="989"/>
      <c r="E12" s="997"/>
      <c r="F12" s="998">
        <f t="shared" si="0"/>
        <v>0</v>
      </c>
      <c r="G12" s="689"/>
      <c r="H12" s="991"/>
      <c r="I12" s="275">
        <f t="shared" si="1"/>
        <v>54.48</v>
      </c>
    </row>
    <row r="13" spans="1:9" x14ac:dyDescent="0.25">
      <c r="A13" s="19"/>
      <c r="B13" s="691">
        <f t="shared" si="2"/>
        <v>12</v>
      </c>
      <c r="C13" s="256"/>
      <c r="D13" s="989"/>
      <c r="E13" s="997"/>
      <c r="F13" s="998">
        <f t="shared" si="0"/>
        <v>0</v>
      </c>
      <c r="G13" s="689"/>
      <c r="H13" s="991"/>
      <c r="I13" s="275">
        <f t="shared" si="1"/>
        <v>54.48</v>
      </c>
    </row>
    <row r="14" spans="1:9" x14ac:dyDescent="0.25">
      <c r="B14" s="691">
        <f>B13-C14</f>
        <v>12</v>
      </c>
      <c r="C14" s="256"/>
      <c r="D14" s="989"/>
      <c r="E14" s="997"/>
      <c r="F14" s="998">
        <f t="shared" si="0"/>
        <v>0</v>
      </c>
      <c r="G14" s="689"/>
      <c r="H14" s="991"/>
      <c r="I14" s="275">
        <f t="shared" si="1"/>
        <v>54.48</v>
      </c>
    </row>
    <row r="15" spans="1:9" x14ac:dyDescent="0.25">
      <c r="B15" s="691">
        <f t="shared" ref="B15:B25" si="3">B14-C15</f>
        <v>12</v>
      </c>
      <c r="C15" s="256"/>
      <c r="D15" s="989"/>
      <c r="E15" s="997"/>
      <c r="F15" s="998">
        <f t="shared" si="0"/>
        <v>0</v>
      </c>
      <c r="G15" s="689"/>
      <c r="H15" s="991"/>
      <c r="I15" s="275">
        <f t="shared" si="1"/>
        <v>54.48</v>
      </c>
    </row>
    <row r="16" spans="1:9" x14ac:dyDescent="0.25">
      <c r="B16" s="691">
        <f t="shared" si="3"/>
        <v>12</v>
      </c>
      <c r="C16" s="256"/>
      <c r="D16" s="989"/>
      <c r="E16" s="997"/>
      <c r="F16" s="998">
        <f t="shared" si="0"/>
        <v>0</v>
      </c>
      <c r="G16" s="689"/>
      <c r="H16" s="991"/>
      <c r="I16" s="275">
        <f t="shared" si="1"/>
        <v>54.48</v>
      </c>
    </row>
    <row r="17" spans="1:9" x14ac:dyDescent="0.25">
      <c r="B17" s="691">
        <f t="shared" si="3"/>
        <v>12</v>
      </c>
      <c r="C17" s="256"/>
      <c r="D17" s="989"/>
      <c r="E17" s="997"/>
      <c r="F17" s="998">
        <f t="shared" si="0"/>
        <v>0</v>
      </c>
      <c r="G17" s="689"/>
      <c r="H17" s="991"/>
      <c r="I17" s="275">
        <f t="shared" si="1"/>
        <v>54.48</v>
      </c>
    </row>
    <row r="18" spans="1:9" x14ac:dyDescent="0.25">
      <c r="B18" s="691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91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91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91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91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91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91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91">
        <f t="shared" si="3"/>
        <v>12</v>
      </c>
      <c r="C25" s="37"/>
      <c r="D25" s="70">
        <v>0</v>
      </c>
      <c r="E25" s="230"/>
      <c r="F25" s="744">
        <f t="shared" si="0"/>
        <v>0</v>
      </c>
      <c r="G25" s="745"/>
      <c r="H25" s="746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50" t="s">
        <v>21</v>
      </c>
      <c r="E28" s="1151"/>
      <c r="F28" s="147">
        <f>E4+E5-F26+E6</f>
        <v>54.47999999999999</v>
      </c>
    </row>
    <row r="29" spans="1:9" ht="15.75" thickBot="1" x14ac:dyDescent="0.3">
      <c r="A29" s="129"/>
      <c r="D29" s="870" t="s">
        <v>4</v>
      </c>
      <c r="E29" s="871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9" t="s">
        <v>93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5" t="s">
        <v>7</v>
      </c>
      <c r="C8" s="696" t="s">
        <v>8</v>
      </c>
      <c r="D8" s="697" t="s">
        <v>17</v>
      </c>
      <c r="E8" s="698" t="s">
        <v>2</v>
      </c>
      <c r="F8" s="699" t="s">
        <v>18</v>
      </c>
      <c r="G8" s="694" t="s">
        <v>91</v>
      </c>
      <c r="H8" s="521"/>
      <c r="I8" s="255"/>
    </row>
    <row r="9" spans="1:10" ht="15.75" thickTop="1" x14ac:dyDescent="0.25">
      <c r="A9" s="56" t="s">
        <v>32</v>
      </c>
      <c r="B9" s="90"/>
      <c r="C9" s="700"/>
      <c r="D9" s="701"/>
      <c r="E9" s="702"/>
      <c r="F9" s="703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31"/>
      <c r="E10" s="844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31"/>
      <c r="E11" s="844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31">
        <v>0</v>
      </c>
      <c r="E12" s="844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31">
        <v>0</v>
      </c>
      <c r="E13" s="844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31">
        <v>0</v>
      </c>
      <c r="E14" s="844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31">
        <v>0</v>
      </c>
      <c r="E15" s="844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31">
        <v>0</v>
      </c>
      <c r="E16" s="844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31">
        <v>0</v>
      </c>
      <c r="E17" s="844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31">
        <v>0</v>
      </c>
      <c r="E18" s="844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31">
        <v>0</v>
      </c>
      <c r="E19" s="844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31">
        <v>0</v>
      </c>
      <c r="E20" s="505"/>
      <c r="F20" s="631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31">
        <v>0</v>
      </c>
      <c r="E21" s="505"/>
      <c r="F21" s="631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31">
        <v>0</v>
      </c>
      <c r="E22" s="505"/>
      <c r="F22" s="631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31">
        <v>0</v>
      </c>
      <c r="E23" s="505"/>
      <c r="F23" s="631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31">
        <v>0</v>
      </c>
      <c r="E24" s="505"/>
      <c r="F24" s="631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31">
        <v>0</v>
      </c>
      <c r="E25" s="505"/>
      <c r="F25" s="631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31">
        <v>0</v>
      </c>
      <c r="E26" s="505"/>
      <c r="F26" s="631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31">
        <f t="shared" ref="D27:D28" si="3">C27*B27</f>
        <v>0</v>
      </c>
      <c r="E27" s="505"/>
      <c r="F27" s="631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31">
        <f t="shared" si="3"/>
        <v>0</v>
      </c>
      <c r="E28" s="505"/>
      <c r="F28" s="631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4"/>
      <c r="D29" s="705">
        <f>B29*C29</f>
        <v>0</v>
      </c>
      <c r="E29" s="706"/>
      <c r="F29" s="631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0" t="s">
        <v>21</v>
      </c>
      <c r="E32" s="1151"/>
      <c r="F32" s="147">
        <f>E5-F30+E6+E7</f>
        <v>0</v>
      </c>
    </row>
    <row r="33" spans="1:6" ht="15.75" thickBot="1" x14ac:dyDescent="0.3">
      <c r="A33" s="129"/>
      <c r="D33" s="842" t="s">
        <v>4</v>
      </c>
      <c r="E33" s="84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8" t="s">
        <v>248</v>
      </c>
      <c r="B1" s="1168"/>
      <c r="C1" s="1168"/>
      <c r="D1" s="1168"/>
      <c r="E1" s="1168"/>
      <c r="F1" s="1168"/>
      <c r="G1" s="11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9"/>
    </row>
    <row r="6" spans="1:8" ht="15.75" customHeight="1" thickTop="1" x14ac:dyDescent="0.25">
      <c r="A6" s="1159" t="s">
        <v>101</v>
      </c>
      <c r="B6" s="874" t="s">
        <v>124</v>
      </c>
      <c r="C6" s="557"/>
      <c r="D6" s="326"/>
      <c r="E6" s="536"/>
      <c r="F6" s="309"/>
      <c r="G6" s="89"/>
      <c r="H6" s="7">
        <f>E6-G6+E5+E7+E4+E8-G5</f>
        <v>160</v>
      </c>
    </row>
    <row r="7" spans="1:8" ht="16.5" customHeight="1" thickBot="1" x14ac:dyDescent="0.3">
      <c r="A7" s="1159"/>
      <c r="B7" s="875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</row>
    <row r="8" spans="1:8" ht="16.5" customHeight="1" thickBot="1" x14ac:dyDescent="0.3">
      <c r="A8" s="666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92">
        <v>44533</v>
      </c>
      <c r="F10" s="793">
        <f>D10</f>
        <v>40</v>
      </c>
      <c r="G10" s="794" t="s">
        <v>252</v>
      </c>
      <c r="H10" s="795">
        <v>185</v>
      </c>
    </row>
    <row r="11" spans="1:8" x14ac:dyDescent="0.25">
      <c r="B11" s="540">
        <f>B10-C11</f>
        <v>6</v>
      </c>
      <c r="C11" s="15"/>
      <c r="D11" s="989">
        <v>0</v>
      </c>
      <c r="E11" s="999"/>
      <c r="F11" s="998">
        <f>D11</f>
        <v>0</v>
      </c>
      <c r="G11" s="689"/>
      <c r="H11" s="991"/>
    </row>
    <row r="12" spans="1:8" x14ac:dyDescent="0.25">
      <c r="B12" s="540">
        <f t="shared" ref="B12:B27" si="0">B11-C12</f>
        <v>6</v>
      </c>
      <c r="C12" s="15"/>
      <c r="D12" s="989">
        <v>0</v>
      </c>
      <c r="E12" s="999"/>
      <c r="F12" s="998">
        <f>D12</f>
        <v>0</v>
      </c>
      <c r="G12" s="689"/>
      <c r="H12" s="991"/>
    </row>
    <row r="13" spans="1:8" x14ac:dyDescent="0.25">
      <c r="A13" s="56" t="s">
        <v>33</v>
      </c>
      <c r="B13" s="540">
        <f t="shared" si="0"/>
        <v>6</v>
      </c>
      <c r="C13" s="15"/>
      <c r="D13" s="989">
        <v>0</v>
      </c>
      <c r="E13" s="999"/>
      <c r="F13" s="998">
        <f>D13</f>
        <v>0</v>
      </c>
      <c r="G13" s="689"/>
      <c r="H13" s="991"/>
    </row>
    <row r="14" spans="1:8" x14ac:dyDescent="0.25">
      <c r="B14" s="540">
        <f t="shared" si="0"/>
        <v>6</v>
      </c>
      <c r="C14" s="15"/>
      <c r="D14" s="989">
        <v>0</v>
      </c>
      <c r="E14" s="999"/>
      <c r="F14" s="998">
        <f t="shared" ref="F14:F27" si="1">D14</f>
        <v>0</v>
      </c>
      <c r="G14" s="689"/>
      <c r="H14" s="991"/>
    </row>
    <row r="15" spans="1:8" x14ac:dyDescent="0.25">
      <c r="A15" s="19"/>
      <c r="B15" s="540">
        <f t="shared" si="0"/>
        <v>6</v>
      </c>
      <c r="C15" s="15"/>
      <c r="D15" s="989">
        <v>0</v>
      </c>
      <c r="E15" s="999"/>
      <c r="F15" s="998">
        <f t="shared" si="1"/>
        <v>0</v>
      </c>
      <c r="G15" s="689"/>
      <c r="H15" s="991"/>
    </row>
    <row r="16" spans="1:8" x14ac:dyDescent="0.25">
      <c r="B16" s="540">
        <f t="shared" si="0"/>
        <v>6</v>
      </c>
      <c r="C16" s="15"/>
      <c r="D16" s="989">
        <v>0</v>
      </c>
      <c r="E16" s="999"/>
      <c r="F16" s="998">
        <f t="shared" si="1"/>
        <v>0</v>
      </c>
      <c r="G16" s="689"/>
      <c r="H16" s="991"/>
    </row>
    <row r="17" spans="1:8" x14ac:dyDescent="0.25">
      <c r="B17" s="540">
        <f t="shared" si="0"/>
        <v>6</v>
      </c>
      <c r="C17" s="15"/>
      <c r="D17" s="989">
        <v>0</v>
      </c>
      <c r="E17" s="999"/>
      <c r="F17" s="998">
        <f t="shared" si="1"/>
        <v>0</v>
      </c>
      <c r="G17" s="689"/>
      <c r="H17" s="991"/>
    </row>
    <row r="18" spans="1:8" x14ac:dyDescent="0.25">
      <c r="B18" s="540">
        <f t="shared" si="0"/>
        <v>6</v>
      </c>
      <c r="C18" s="15"/>
      <c r="D18" s="989">
        <v>0</v>
      </c>
      <c r="E18" s="999"/>
      <c r="F18" s="998">
        <f t="shared" si="1"/>
        <v>0</v>
      </c>
      <c r="G18" s="689"/>
      <c r="H18" s="991"/>
    </row>
    <row r="19" spans="1:8" x14ac:dyDescent="0.25">
      <c r="B19" s="540">
        <f t="shared" si="0"/>
        <v>6</v>
      </c>
      <c r="C19" s="15"/>
      <c r="D19" s="989">
        <v>0</v>
      </c>
      <c r="E19" s="999"/>
      <c r="F19" s="998">
        <f t="shared" si="1"/>
        <v>0</v>
      </c>
      <c r="G19" s="689"/>
      <c r="H19" s="991"/>
    </row>
    <row r="20" spans="1:8" x14ac:dyDescent="0.25">
      <c r="B20" s="540">
        <f t="shared" si="0"/>
        <v>6</v>
      </c>
      <c r="C20" s="15"/>
      <c r="D20" s="989">
        <v>0</v>
      </c>
      <c r="E20" s="999"/>
      <c r="F20" s="998">
        <f t="shared" si="1"/>
        <v>0</v>
      </c>
      <c r="G20" s="689"/>
      <c r="H20" s="991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50" t="s">
        <v>21</v>
      </c>
      <c r="E30" s="1151"/>
      <c r="F30" s="147">
        <f>E5+E6-F28+E7+E4+E8</f>
        <v>120</v>
      </c>
    </row>
    <row r="31" spans="1:8" ht="15.75" thickBot="1" x14ac:dyDescent="0.3">
      <c r="A31" s="129"/>
      <c r="D31" s="664" t="s">
        <v>4</v>
      </c>
      <c r="E31" s="665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C87" activePane="bottomRight" state="frozen"/>
      <selection pane="topRight" activeCell="C1" sqref="C1"/>
      <selection pane="bottomLeft" activeCell="A9" sqref="A9"/>
      <selection pane="bottomRight" activeCell="H101" sqref="H10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78" t="s">
        <v>258</v>
      </c>
      <c r="B1" s="1178"/>
      <c r="C1" s="1178"/>
      <c r="D1" s="1178"/>
      <c r="E1" s="1178"/>
      <c r="F1" s="1178"/>
      <c r="G1" s="1178"/>
      <c r="H1" s="1178"/>
      <c r="I1" s="1178"/>
      <c r="J1" s="1178"/>
      <c r="K1" s="845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79" t="s">
        <v>105</v>
      </c>
      <c r="B4" s="336">
        <v>18506.759999999998</v>
      </c>
      <c r="C4" s="687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180"/>
      <c r="B5" s="12" t="s">
        <v>51</v>
      </c>
      <c r="C5" s="688"/>
      <c r="D5" s="141">
        <v>44467</v>
      </c>
      <c r="E5" s="136">
        <v>18509.599999999999</v>
      </c>
      <c r="F5" s="74">
        <v>680</v>
      </c>
      <c r="G5" s="47">
        <f>F115</f>
        <v>33888.9</v>
      </c>
      <c r="H5" s="165">
        <f>E5+E6-G5+E4</f>
        <v>3538.5999999999958</v>
      </c>
    </row>
    <row r="6" spans="1:11" ht="15.75" customHeight="1" x14ac:dyDescent="0.25">
      <c r="A6" s="1180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9"/>
      <c r="B7" s="169"/>
      <c r="C7" s="908"/>
      <c r="D7" s="909" t="s">
        <v>162</v>
      </c>
      <c r="E7" s="910">
        <v>-108.88</v>
      </c>
      <c r="F7" s="911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3" t="s">
        <v>94</v>
      </c>
      <c r="I8" s="724" t="s">
        <v>95</v>
      </c>
      <c r="J8" s="724" t="s">
        <v>96</v>
      </c>
      <c r="K8" s="725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140</v>
      </c>
      <c r="H9" s="72">
        <v>70</v>
      </c>
      <c r="I9" s="726">
        <f>E5-F9+E4+E6+E7</f>
        <v>36447.579999999994</v>
      </c>
      <c r="J9" s="727">
        <f>F5-C9+F4+F6+F7</f>
        <v>1339</v>
      </c>
      <c r="K9" s="728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141</v>
      </c>
      <c r="H10" s="72">
        <v>70</v>
      </c>
      <c r="I10" s="729">
        <f>I9-F10</f>
        <v>36338.699999999997</v>
      </c>
      <c r="J10" s="730">
        <f>J9-C10</f>
        <v>1335</v>
      </c>
      <c r="K10" s="731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142</v>
      </c>
      <c r="H11" s="279">
        <v>70</v>
      </c>
      <c r="I11" s="729">
        <f t="shared" ref="I11:I74" si="3">I10-F11</f>
        <v>36311.479999999996</v>
      </c>
      <c r="J11" s="730">
        <f t="shared" ref="J11" si="4">J10-C11</f>
        <v>1334</v>
      </c>
      <c r="K11" s="731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144</v>
      </c>
      <c r="H12" s="279">
        <v>70</v>
      </c>
      <c r="I12" s="729">
        <f t="shared" si="3"/>
        <v>36284.259999999995</v>
      </c>
      <c r="J12" s="730">
        <f>J11-C12</f>
        <v>1333</v>
      </c>
      <c r="K12" s="731">
        <f t="shared" si="2"/>
        <v>1905.3999999999999</v>
      </c>
    </row>
    <row r="13" spans="1:11" ht="15" customHeight="1" x14ac:dyDescent="0.25">
      <c r="A13" s="686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145</v>
      </c>
      <c r="H13" s="72">
        <v>70</v>
      </c>
      <c r="I13" s="729">
        <f t="shared" si="3"/>
        <v>35522.099999999991</v>
      </c>
      <c r="J13" s="730">
        <f t="shared" ref="J13:J76" si="5">J12-C13</f>
        <v>1305</v>
      </c>
      <c r="K13" s="731">
        <f t="shared" si="2"/>
        <v>53351.199999999997</v>
      </c>
    </row>
    <row r="14" spans="1:11" x14ac:dyDescent="0.25">
      <c r="A14" s="686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147</v>
      </c>
      <c r="H14" s="72">
        <v>70</v>
      </c>
      <c r="I14" s="729">
        <f t="shared" si="3"/>
        <v>35467.659999999989</v>
      </c>
      <c r="J14" s="730">
        <f t="shared" si="5"/>
        <v>1303</v>
      </c>
      <c r="K14" s="731">
        <f t="shared" si="2"/>
        <v>3810.7999999999997</v>
      </c>
    </row>
    <row r="15" spans="1:11" x14ac:dyDescent="0.25">
      <c r="A15" s="686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148</v>
      </c>
      <c r="H15" s="72">
        <v>70</v>
      </c>
      <c r="I15" s="729">
        <f t="shared" si="3"/>
        <v>35440.439999999988</v>
      </c>
      <c r="J15" s="730">
        <f t="shared" si="5"/>
        <v>1302</v>
      </c>
      <c r="K15" s="731">
        <f t="shared" si="2"/>
        <v>1905.3999999999999</v>
      </c>
    </row>
    <row r="16" spans="1:11" x14ac:dyDescent="0.25">
      <c r="A16" s="686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149</v>
      </c>
      <c r="H16" s="72">
        <v>70</v>
      </c>
      <c r="I16" s="729">
        <f t="shared" si="3"/>
        <v>35331.55999999999</v>
      </c>
      <c r="J16" s="730">
        <f t="shared" si="5"/>
        <v>1298</v>
      </c>
      <c r="K16" s="731">
        <f t="shared" si="2"/>
        <v>7621.5999999999995</v>
      </c>
    </row>
    <row r="17" spans="1:11" x14ac:dyDescent="0.25">
      <c r="A17" s="686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139</v>
      </c>
      <c r="H17" s="72">
        <v>70</v>
      </c>
      <c r="I17" s="729">
        <f t="shared" si="3"/>
        <v>35304.339999999989</v>
      </c>
      <c r="J17" s="730">
        <f t="shared" si="5"/>
        <v>1297</v>
      </c>
      <c r="K17" s="731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151</v>
      </c>
      <c r="H18" s="72">
        <v>70</v>
      </c>
      <c r="I18" s="729">
        <f t="shared" si="3"/>
        <v>34324.419999999991</v>
      </c>
      <c r="J18" s="730">
        <f t="shared" si="5"/>
        <v>1261</v>
      </c>
      <c r="K18" s="731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152</v>
      </c>
      <c r="H19" s="72">
        <v>70</v>
      </c>
      <c r="I19" s="729">
        <f t="shared" si="3"/>
        <v>34052.219999999994</v>
      </c>
      <c r="J19" s="730">
        <f t="shared" si="5"/>
        <v>1251</v>
      </c>
      <c r="K19" s="731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154</v>
      </c>
      <c r="H20" s="72">
        <v>70</v>
      </c>
      <c r="I20" s="729">
        <f t="shared" si="3"/>
        <v>34024.999999999993</v>
      </c>
      <c r="J20" s="912">
        <f t="shared" si="5"/>
        <v>1250</v>
      </c>
      <c r="K20" s="731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155</v>
      </c>
      <c r="H21" s="72">
        <v>70</v>
      </c>
      <c r="I21" s="729">
        <f t="shared" si="3"/>
        <v>33997.779999999992</v>
      </c>
      <c r="J21" s="730">
        <f t="shared" si="5"/>
        <v>1249</v>
      </c>
      <c r="K21" s="731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157</v>
      </c>
      <c r="H22" s="72">
        <v>70</v>
      </c>
      <c r="I22" s="729">
        <f t="shared" si="3"/>
        <v>33970.55999999999</v>
      </c>
      <c r="J22" s="730">
        <f t="shared" si="5"/>
        <v>1248</v>
      </c>
      <c r="K22" s="731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158</v>
      </c>
      <c r="H23" s="72">
        <v>70</v>
      </c>
      <c r="I23" s="729">
        <f t="shared" si="3"/>
        <v>33099.51999999999</v>
      </c>
      <c r="J23" s="730">
        <f t="shared" si="5"/>
        <v>1216</v>
      </c>
      <c r="K23" s="731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159</v>
      </c>
      <c r="H24" s="72">
        <v>70</v>
      </c>
      <c r="I24" s="729">
        <f t="shared" si="3"/>
        <v>33072.299999999988</v>
      </c>
      <c r="J24" s="730">
        <f t="shared" si="5"/>
        <v>1215</v>
      </c>
      <c r="K24" s="731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160</v>
      </c>
      <c r="H25" s="72">
        <v>70</v>
      </c>
      <c r="I25" s="729">
        <f t="shared" si="3"/>
        <v>32990.639999999985</v>
      </c>
      <c r="J25" s="730">
        <f t="shared" si="5"/>
        <v>1212</v>
      </c>
      <c r="K25" s="731">
        <f t="shared" si="2"/>
        <v>5716.2</v>
      </c>
    </row>
    <row r="26" spans="1:11" x14ac:dyDescent="0.25">
      <c r="B26" s="2">
        <v>27.22</v>
      </c>
      <c r="C26" s="15">
        <v>39</v>
      </c>
      <c r="D26" s="863">
        <f t="shared" si="0"/>
        <v>1061.58</v>
      </c>
      <c r="E26" s="864">
        <v>44508</v>
      </c>
      <c r="F26" s="240">
        <f t="shared" si="1"/>
        <v>1061.58</v>
      </c>
      <c r="G26" s="183" t="s">
        <v>170</v>
      </c>
      <c r="H26" s="121">
        <v>70</v>
      </c>
      <c r="I26" s="729">
        <f t="shared" si="3"/>
        <v>31929.059999999983</v>
      </c>
      <c r="J26" s="730">
        <f t="shared" si="5"/>
        <v>1173</v>
      </c>
      <c r="K26" s="731">
        <f t="shared" si="2"/>
        <v>74310.599999999991</v>
      </c>
    </row>
    <row r="27" spans="1:11" x14ac:dyDescent="0.25">
      <c r="B27" s="2">
        <v>27.22</v>
      </c>
      <c r="C27" s="15">
        <v>36</v>
      </c>
      <c r="D27" s="863">
        <f t="shared" si="0"/>
        <v>979.92</v>
      </c>
      <c r="E27" s="864">
        <v>44511</v>
      </c>
      <c r="F27" s="240">
        <f t="shared" si="1"/>
        <v>979.92</v>
      </c>
      <c r="G27" s="183" t="s">
        <v>176</v>
      </c>
      <c r="H27" s="121">
        <v>70</v>
      </c>
      <c r="I27" s="729">
        <f t="shared" si="3"/>
        <v>30949.139999999985</v>
      </c>
      <c r="J27" s="730">
        <f t="shared" si="5"/>
        <v>1137</v>
      </c>
      <c r="K27" s="731">
        <f t="shared" si="2"/>
        <v>68594.399999999994</v>
      </c>
    </row>
    <row r="28" spans="1:11" x14ac:dyDescent="0.25">
      <c r="B28" s="2">
        <v>27.22</v>
      </c>
      <c r="C28" s="15">
        <v>20</v>
      </c>
      <c r="D28" s="863">
        <f t="shared" si="0"/>
        <v>544.4</v>
      </c>
      <c r="E28" s="864">
        <v>44513</v>
      </c>
      <c r="F28" s="240">
        <f t="shared" si="1"/>
        <v>544.4</v>
      </c>
      <c r="G28" s="183" t="s">
        <v>172</v>
      </c>
      <c r="H28" s="121">
        <v>70</v>
      </c>
      <c r="I28" s="729">
        <f t="shared" si="3"/>
        <v>30404.739999999983</v>
      </c>
      <c r="J28" s="730">
        <f t="shared" si="5"/>
        <v>1117</v>
      </c>
      <c r="K28" s="731">
        <f t="shared" si="2"/>
        <v>38108</v>
      </c>
    </row>
    <row r="29" spans="1:11" x14ac:dyDescent="0.25">
      <c r="B29" s="2">
        <v>27.22</v>
      </c>
      <c r="C29" s="15">
        <v>15</v>
      </c>
      <c r="D29" s="863">
        <f t="shared" si="0"/>
        <v>408.29999999999995</v>
      </c>
      <c r="E29" s="864">
        <v>44513</v>
      </c>
      <c r="F29" s="240">
        <f t="shared" si="1"/>
        <v>408.29999999999995</v>
      </c>
      <c r="G29" s="447" t="s">
        <v>184</v>
      </c>
      <c r="H29" s="448">
        <v>70</v>
      </c>
      <c r="I29" s="729">
        <f t="shared" si="3"/>
        <v>29996.439999999984</v>
      </c>
      <c r="J29" s="732">
        <f t="shared" si="5"/>
        <v>1102</v>
      </c>
      <c r="K29" s="731">
        <f t="shared" si="2"/>
        <v>28580.999999999996</v>
      </c>
    </row>
    <row r="30" spans="1:11" x14ac:dyDescent="0.25">
      <c r="B30" s="2">
        <v>27.22</v>
      </c>
      <c r="C30" s="15">
        <v>28</v>
      </c>
      <c r="D30" s="863">
        <f t="shared" si="0"/>
        <v>762.16</v>
      </c>
      <c r="E30" s="864">
        <v>44513</v>
      </c>
      <c r="F30" s="240">
        <f t="shared" si="1"/>
        <v>762.16</v>
      </c>
      <c r="G30" s="447" t="s">
        <v>179</v>
      </c>
      <c r="H30" s="448">
        <v>70</v>
      </c>
      <c r="I30" s="729">
        <f t="shared" si="3"/>
        <v>29234.279999999984</v>
      </c>
      <c r="J30" s="732">
        <f t="shared" si="5"/>
        <v>1074</v>
      </c>
      <c r="K30" s="731">
        <f t="shared" si="2"/>
        <v>53351.199999999997</v>
      </c>
    </row>
    <row r="31" spans="1:11" x14ac:dyDescent="0.25">
      <c r="B31" s="2">
        <v>27.22</v>
      </c>
      <c r="C31" s="15">
        <v>28</v>
      </c>
      <c r="D31" s="863">
        <f t="shared" si="0"/>
        <v>762.16</v>
      </c>
      <c r="E31" s="864">
        <v>44516</v>
      </c>
      <c r="F31" s="240">
        <f t="shared" si="1"/>
        <v>762.16</v>
      </c>
      <c r="G31" s="447" t="s">
        <v>186</v>
      </c>
      <c r="H31" s="448">
        <v>70</v>
      </c>
      <c r="I31" s="729">
        <f t="shared" si="3"/>
        <v>28472.119999999984</v>
      </c>
      <c r="J31" s="732">
        <f t="shared" si="5"/>
        <v>1046</v>
      </c>
      <c r="K31" s="731">
        <f t="shared" si="2"/>
        <v>53351.199999999997</v>
      </c>
    </row>
    <row r="32" spans="1:11" x14ac:dyDescent="0.25">
      <c r="B32" s="2">
        <v>27.22</v>
      </c>
      <c r="C32" s="15">
        <v>10</v>
      </c>
      <c r="D32" s="863">
        <f t="shared" si="0"/>
        <v>272.2</v>
      </c>
      <c r="E32" s="864">
        <v>44516</v>
      </c>
      <c r="F32" s="240">
        <f t="shared" si="1"/>
        <v>272.2</v>
      </c>
      <c r="G32" s="447" t="s">
        <v>191</v>
      </c>
      <c r="H32" s="448">
        <v>70</v>
      </c>
      <c r="I32" s="729">
        <f t="shared" si="3"/>
        <v>28199.919999999984</v>
      </c>
      <c r="J32" s="732">
        <f t="shared" si="5"/>
        <v>1036</v>
      </c>
      <c r="K32" s="731">
        <f t="shared" si="2"/>
        <v>19054</v>
      </c>
    </row>
    <row r="33" spans="2:11" x14ac:dyDescent="0.25">
      <c r="B33" s="2">
        <v>27.22</v>
      </c>
      <c r="C33" s="15">
        <v>7</v>
      </c>
      <c r="D33" s="863">
        <f t="shared" si="0"/>
        <v>190.54</v>
      </c>
      <c r="E33" s="864">
        <v>44517</v>
      </c>
      <c r="F33" s="240">
        <f t="shared" si="1"/>
        <v>190.54</v>
      </c>
      <c r="G33" s="447" t="s">
        <v>182</v>
      </c>
      <c r="H33" s="448">
        <v>70</v>
      </c>
      <c r="I33" s="729">
        <f t="shared" si="3"/>
        <v>28009.379999999983</v>
      </c>
      <c r="J33" s="732">
        <f t="shared" si="5"/>
        <v>1029</v>
      </c>
      <c r="K33" s="731">
        <f t="shared" si="2"/>
        <v>13337.8</v>
      </c>
    </row>
    <row r="34" spans="2:11" x14ac:dyDescent="0.25">
      <c r="B34" s="2">
        <v>27.22</v>
      </c>
      <c r="C34" s="15">
        <v>28</v>
      </c>
      <c r="D34" s="863">
        <f t="shared" si="0"/>
        <v>762.16</v>
      </c>
      <c r="E34" s="864">
        <v>44517</v>
      </c>
      <c r="F34" s="240">
        <f t="shared" si="1"/>
        <v>762.16</v>
      </c>
      <c r="G34" s="183" t="s">
        <v>193</v>
      </c>
      <c r="H34" s="121">
        <v>70</v>
      </c>
      <c r="I34" s="729">
        <f t="shared" si="3"/>
        <v>27247.219999999983</v>
      </c>
      <c r="J34" s="730">
        <f t="shared" si="5"/>
        <v>1001</v>
      </c>
      <c r="K34" s="731">
        <f t="shared" si="2"/>
        <v>53351.199999999997</v>
      </c>
    </row>
    <row r="35" spans="2:11" x14ac:dyDescent="0.25">
      <c r="B35" s="2">
        <v>27.22</v>
      </c>
      <c r="C35" s="15">
        <v>24</v>
      </c>
      <c r="D35" s="863">
        <f t="shared" si="0"/>
        <v>653.28</v>
      </c>
      <c r="E35" s="864">
        <v>44518</v>
      </c>
      <c r="F35" s="240">
        <f t="shared" si="1"/>
        <v>653.28</v>
      </c>
      <c r="G35" s="183" t="s">
        <v>195</v>
      </c>
      <c r="H35" s="121">
        <v>70</v>
      </c>
      <c r="I35" s="729">
        <f t="shared" si="3"/>
        <v>26593.939999999984</v>
      </c>
      <c r="J35" s="730">
        <f t="shared" si="5"/>
        <v>977</v>
      </c>
      <c r="K35" s="731">
        <f t="shared" si="2"/>
        <v>45729.599999999999</v>
      </c>
    </row>
    <row r="36" spans="2:11" x14ac:dyDescent="0.25">
      <c r="B36" s="2">
        <v>27.22</v>
      </c>
      <c r="C36" s="15">
        <v>7</v>
      </c>
      <c r="D36" s="863">
        <f t="shared" si="0"/>
        <v>190.54</v>
      </c>
      <c r="E36" s="864">
        <v>44519</v>
      </c>
      <c r="F36" s="240">
        <f t="shared" si="1"/>
        <v>190.54</v>
      </c>
      <c r="G36" s="183" t="s">
        <v>197</v>
      </c>
      <c r="H36" s="121">
        <v>70</v>
      </c>
      <c r="I36" s="729">
        <f t="shared" si="3"/>
        <v>26403.399999999983</v>
      </c>
      <c r="J36" s="730">
        <f t="shared" si="5"/>
        <v>970</v>
      </c>
      <c r="K36" s="731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199</v>
      </c>
      <c r="H37" s="121">
        <v>70</v>
      </c>
      <c r="I37" s="729">
        <f t="shared" si="3"/>
        <v>25641.239999999983</v>
      </c>
      <c r="J37" s="730">
        <f t="shared" si="5"/>
        <v>942</v>
      </c>
      <c r="K37" s="731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200</v>
      </c>
      <c r="H38" s="121">
        <v>70</v>
      </c>
      <c r="I38" s="729">
        <f t="shared" si="3"/>
        <v>24987.959999999985</v>
      </c>
      <c r="J38" s="730">
        <f t="shared" si="5"/>
        <v>918</v>
      </c>
      <c r="K38" s="731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214</v>
      </c>
      <c r="H39" s="121">
        <v>70</v>
      </c>
      <c r="I39" s="729">
        <f t="shared" si="3"/>
        <v>24933.519999999986</v>
      </c>
      <c r="J39" s="730">
        <f t="shared" si="5"/>
        <v>916</v>
      </c>
      <c r="K39" s="731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215</v>
      </c>
      <c r="H40" s="121">
        <v>70</v>
      </c>
      <c r="I40" s="729">
        <f t="shared" si="3"/>
        <v>24906.299999999985</v>
      </c>
      <c r="J40" s="730">
        <f t="shared" si="5"/>
        <v>915</v>
      </c>
      <c r="K40" s="731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218</v>
      </c>
      <c r="H41" s="121">
        <v>70</v>
      </c>
      <c r="I41" s="729">
        <f t="shared" si="3"/>
        <v>23871.939999999984</v>
      </c>
      <c r="J41" s="730">
        <f t="shared" si="5"/>
        <v>877</v>
      </c>
      <c r="K41" s="731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222</v>
      </c>
      <c r="H42" s="121">
        <v>70</v>
      </c>
      <c r="I42" s="729">
        <f t="shared" si="3"/>
        <v>22783.139999999985</v>
      </c>
      <c r="J42" s="730">
        <f t="shared" si="5"/>
        <v>837</v>
      </c>
      <c r="K42" s="731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227</v>
      </c>
      <c r="H43" s="121">
        <v>70</v>
      </c>
      <c r="I43" s="729">
        <f t="shared" si="3"/>
        <v>21367.699999999986</v>
      </c>
      <c r="J43" s="730">
        <f t="shared" si="5"/>
        <v>785</v>
      </c>
      <c r="K43" s="731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236</v>
      </c>
      <c r="H44" s="121">
        <v>70</v>
      </c>
      <c r="I44" s="729">
        <f t="shared" si="3"/>
        <v>20959.399999999987</v>
      </c>
      <c r="J44" s="730">
        <f t="shared" si="5"/>
        <v>770</v>
      </c>
      <c r="K44" s="731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241</v>
      </c>
      <c r="H45" s="121">
        <v>70</v>
      </c>
      <c r="I45" s="729">
        <f t="shared" si="3"/>
        <v>20551.099999999988</v>
      </c>
      <c r="J45" s="730">
        <f t="shared" si="5"/>
        <v>755</v>
      </c>
      <c r="K45" s="731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242</v>
      </c>
      <c r="H46" s="121">
        <v>70</v>
      </c>
      <c r="I46" s="729">
        <f t="shared" si="3"/>
        <v>20142.799999999988</v>
      </c>
      <c r="J46" s="730">
        <f t="shared" si="5"/>
        <v>740</v>
      </c>
      <c r="K46" s="731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244</v>
      </c>
      <c r="H47" s="121">
        <v>70</v>
      </c>
      <c r="I47" s="729">
        <f t="shared" si="3"/>
        <v>19271.759999999987</v>
      </c>
      <c r="J47" s="730">
        <f t="shared" si="5"/>
        <v>708</v>
      </c>
      <c r="K47" s="731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247</v>
      </c>
      <c r="H48" s="121">
        <v>70</v>
      </c>
      <c r="I48" s="729">
        <f t="shared" si="3"/>
        <v>18863.459999999988</v>
      </c>
      <c r="J48" s="730">
        <f t="shared" si="5"/>
        <v>693</v>
      </c>
      <c r="K48" s="731">
        <f t="shared" si="2"/>
        <v>28580.999999999996</v>
      </c>
    </row>
    <row r="49" spans="1:11" x14ac:dyDescent="0.25">
      <c r="B49" s="2">
        <v>27.22</v>
      </c>
      <c r="C49" s="15">
        <v>15</v>
      </c>
      <c r="D49" s="707">
        <f t="shared" si="0"/>
        <v>408.29999999999995</v>
      </c>
      <c r="E49" s="815">
        <v>44537</v>
      </c>
      <c r="F49" s="707">
        <f t="shared" si="1"/>
        <v>408.29999999999995</v>
      </c>
      <c r="G49" s="708" t="s">
        <v>472</v>
      </c>
      <c r="H49" s="186">
        <v>70</v>
      </c>
      <c r="I49" s="729">
        <f t="shared" si="3"/>
        <v>18455.159999999989</v>
      </c>
      <c r="J49" s="730">
        <f t="shared" si="5"/>
        <v>678</v>
      </c>
      <c r="K49" s="731">
        <f t="shared" si="2"/>
        <v>28580.999999999996</v>
      </c>
    </row>
    <row r="50" spans="1:11" x14ac:dyDescent="0.25">
      <c r="B50" s="2">
        <v>27.22</v>
      </c>
      <c r="C50" s="15">
        <v>3</v>
      </c>
      <c r="D50" s="707">
        <f t="shared" si="0"/>
        <v>81.66</v>
      </c>
      <c r="E50" s="815">
        <v>44538</v>
      </c>
      <c r="F50" s="707">
        <f t="shared" si="1"/>
        <v>81.66</v>
      </c>
      <c r="G50" s="708" t="s">
        <v>484</v>
      </c>
      <c r="H50" s="186">
        <v>70</v>
      </c>
      <c r="I50" s="729">
        <f t="shared" si="3"/>
        <v>18373.499999999989</v>
      </c>
      <c r="J50" s="730">
        <f t="shared" si="5"/>
        <v>675</v>
      </c>
      <c r="K50" s="731">
        <f t="shared" si="2"/>
        <v>5716.2</v>
      </c>
    </row>
    <row r="51" spans="1:11" x14ac:dyDescent="0.25">
      <c r="B51" s="2">
        <v>27.22</v>
      </c>
      <c r="C51" s="15">
        <v>1</v>
      </c>
      <c r="D51" s="707">
        <f t="shared" si="0"/>
        <v>27.22</v>
      </c>
      <c r="E51" s="815">
        <v>44538</v>
      </c>
      <c r="F51" s="707">
        <f t="shared" si="1"/>
        <v>27.22</v>
      </c>
      <c r="G51" s="708" t="s">
        <v>485</v>
      </c>
      <c r="H51" s="186">
        <v>70</v>
      </c>
      <c r="I51" s="729">
        <f t="shared" si="3"/>
        <v>18346.279999999988</v>
      </c>
      <c r="J51" s="730">
        <f t="shared" si="5"/>
        <v>674</v>
      </c>
      <c r="K51" s="731">
        <f t="shared" si="2"/>
        <v>1905.3999999999999</v>
      </c>
    </row>
    <row r="52" spans="1:11" x14ac:dyDescent="0.25">
      <c r="B52" s="2">
        <v>27.22</v>
      </c>
      <c r="C52" s="15">
        <v>36</v>
      </c>
      <c r="D52" s="707">
        <f t="shared" si="0"/>
        <v>979.92</v>
      </c>
      <c r="E52" s="815">
        <v>44538</v>
      </c>
      <c r="F52" s="707">
        <f t="shared" si="1"/>
        <v>979.92</v>
      </c>
      <c r="G52" s="708" t="s">
        <v>464</v>
      </c>
      <c r="H52" s="186">
        <v>70</v>
      </c>
      <c r="I52" s="729">
        <f t="shared" si="3"/>
        <v>17366.35999999999</v>
      </c>
      <c r="J52" s="730">
        <f t="shared" si="5"/>
        <v>638</v>
      </c>
      <c r="K52" s="731">
        <f t="shared" si="2"/>
        <v>68594.399999999994</v>
      </c>
    </row>
    <row r="53" spans="1:11" x14ac:dyDescent="0.25">
      <c r="B53" s="2">
        <v>27.22</v>
      </c>
      <c r="C53" s="15">
        <v>10</v>
      </c>
      <c r="D53" s="707">
        <f t="shared" si="0"/>
        <v>272.2</v>
      </c>
      <c r="E53" s="815">
        <v>44538</v>
      </c>
      <c r="F53" s="707">
        <f t="shared" si="1"/>
        <v>272.2</v>
      </c>
      <c r="G53" s="708" t="s">
        <v>486</v>
      </c>
      <c r="H53" s="186">
        <v>70</v>
      </c>
      <c r="I53" s="729">
        <f t="shared" si="3"/>
        <v>17094.159999999989</v>
      </c>
      <c r="J53" s="730">
        <f t="shared" si="5"/>
        <v>628</v>
      </c>
      <c r="K53" s="731">
        <f t="shared" si="2"/>
        <v>19054</v>
      </c>
    </row>
    <row r="54" spans="1:11" x14ac:dyDescent="0.25">
      <c r="B54" s="2">
        <v>27.22</v>
      </c>
      <c r="C54" s="15">
        <v>15</v>
      </c>
      <c r="D54" s="707">
        <f t="shared" si="0"/>
        <v>408.29999999999995</v>
      </c>
      <c r="E54" s="815">
        <v>44540</v>
      </c>
      <c r="F54" s="707">
        <f t="shared" si="1"/>
        <v>408.29999999999995</v>
      </c>
      <c r="G54" s="708" t="s">
        <v>505</v>
      </c>
      <c r="H54" s="186">
        <v>70</v>
      </c>
      <c r="I54" s="729">
        <f t="shared" si="3"/>
        <v>16685.85999999999</v>
      </c>
      <c r="J54" s="730">
        <f t="shared" si="5"/>
        <v>613</v>
      </c>
      <c r="K54" s="731">
        <f t="shared" si="2"/>
        <v>28580.999999999996</v>
      </c>
    </row>
    <row r="55" spans="1:11" x14ac:dyDescent="0.25">
      <c r="B55" s="2">
        <v>27.22</v>
      </c>
      <c r="C55" s="15">
        <v>28</v>
      </c>
      <c r="D55" s="707">
        <f t="shared" si="0"/>
        <v>762.16</v>
      </c>
      <c r="E55" s="815">
        <v>44540</v>
      </c>
      <c r="F55" s="707">
        <f t="shared" si="1"/>
        <v>762.16</v>
      </c>
      <c r="G55" s="708" t="s">
        <v>466</v>
      </c>
      <c r="H55" s="186">
        <v>70</v>
      </c>
      <c r="I55" s="729">
        <f t="shared" si="3"/>
        <v>15923.69999999999</v>
      </c>
      <c r="J55" s="730">
        <f t="shared" si="5"/>
        <v>585</v>
      </c>
      <c r="K55" s="731">
        <f t="shared" si="2"/>
        <v>53351.199999999997</v>
      </c>
    </row>
    <row r="56" spans="1:11" x14ac:dyDescent="0.25">
      <c r="B56" s="2">
        <v>27.22</v>
      </c>
      <c r="C56" s="15">
        <v>10</v>
      </c>
      <c r="D56" s="707">
        <f t="shared" si="0"/>
        <v>272.2</v>
      </c>
      <c r="E56" s="815">
        <v>44541</v>
      </c>
      <c r="F56" s="707">
        <f t="shared" si="1"/>
        <v>272.2</v>
      </c>
      <c r="G56" s="708" t="s">
        <v>510</v>
      </c>
      <c r="H56" s="186">
        <v>70</v>
      </c>
      <c r="I56" s="729">
        <f t="shared" si="3"/>
        <v>15651.499999999989</v>
      </c>
      <c r="J56" s="730">
        <f t="shared" si="5"/>
        <v>575</v>
      </c>
      <c r="K56" s="731">
        <f t="shared" si="2"/>
        <v>19054</v>
      </c>
    </row>
    <row r="57" spans="1:11" x14ac:dyDescent="0.25">
      <c r="B57" s="2">
        <v>27.22</v>
      </c>
      <c r="C57" s="15">
        <v>24</v>
      </c>
      <c r="D57" s="707">
        <f t="shared" si="0"/>
        <v>653.28</v>
      </c>
      <c r="E57" s="815">
        <v>44541</v>
      </c>
      <c r="F57" s="707">
        <f t="shared" si="1"/>
        <v>653.28</v>
      </c>
      <c r="G57" s="708" t="s">
        <v>512</v>
      </c>
      <c r="H57" s="186">
        <v>70</v>
      </c>
      <c r="I57" s="729">
        <f t="shared" si="3"/>
        <v>14998.219999999988</v>
      </c>
      <c r="J57" s="730">
        <f t="shared" si="5"/>
        <v>551</v>
      </c>
      <c r="K57" s="731">
        <f t="shared" si="2"/>
        <v>45729.599999999999</v>
      </c>
    </row>
    <row r="58" spans="1:11" x14ac:dyDescent="0.25">
      <c r="B58" s="2">
        <v>27.22</v>
      </c>
      <c r="C58" s="15">
        <v>20</v>
      </c>
      <c r="D58" s="707">
        <f t="shared" si="0"/>
        <v>544.4</v>
      </c>
      <c r="E58" s="815">
        <v>44544</v>
      </c>
      <c r="F58" s="707">
        <f t="shared" si="1"/>
        <v>544.4</v>
      </c>
      <c r="G58" s="708" t="s">
        <v>524</v>
      </c>
      <c r="H58" s="186">
        <v>70</v>
      </c>
      <c r="I58" s="729">
        <f t="shared" si="3"/>
        <v>14453.819999999989</v>
      </c>
      <c r="J58" s="730">
        <f t="shared" si="5"/>
        <v>531</v>
      </c>
      <c r="K58" s="731">
        <f t="shared" si="2"/>
        <v>38108</v>
      </c>
    </row>
    <row r="59" spans="1:11" x14ac:dyDescent="0.25">
      <c r="B59" s="2">
        <v>27.22</v>
      </c>
      <c r="C59" s="15">
        <v>20</v>
      </c>
      <c r="D59" s="707">
        <f t="shared" si="0"/>
        <v>544.4</v>
      </c>
      <c r="E59" s="815">
        <v>44544</v>
      </c>
      <c r="F59" s="707">
        <f t="shared" si="1"/>
        <v>544.4</v>
      </c>
      <c r="G59" s="708" t="s">
        <v>525</v>
      </c>
      <c r="H59" s="186">
        <v>70</v>
      </c>
      <c r="I59" s="729">
        <f t="shared" si="3"/>
        <v>13909.419999999989</v>
      </c>
      <c r="J59" s="730">
        <f t="shared" si="5"/>
        <v>511</v>
      </c>
      <c r="K59" s="731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7">
        <f t="shared" si="0"/>
        <v>408.29999999999995</v>
      </c>
      <c r="E60" s="815">
        <v>44546</v>
      </c>
      <c r="F60" s="707">
        <f t="shared" si="1"/>
        <v>408.29999999999995</v>
      </c>
      <c r="G60" s="708" t="s">
        <v>501</v>
      </c>
      <c r="H60" s="186">
        <v>70</v>
      </c>
      <c r="I60" s="729">
        <f t="shared" si="3"/>
        <v>13501.11999999999</v>
      </c>
      <c r="J60" s="730">
        <f t="shared" si="5"/>
        <v>496</v>
      </c>
      <c r="K60" s="731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7">
        <f t="shared" si="0"/>
        <v>136.1</v>
      </c>
      <c r="E61" s="815">
        <v>44547</v>
      </c>
      <c r="F61" s="707">
        <f t="shared" si="1"/>
        <v>136.1</v>
      </c>
      <c r="G61" s="708" t="s">
        <v>540</v>
      </c>
      <c r="H61" s="186">
        <v>70</v>
      </c>
      <c r="I61" s="729">
        <f t="shared" si="3"/>
        <v>13365.01999999999</v>
      </c>
      <c r="J61" s="730">
        <f t="shared" si="5"/>
        <v>491</v>
      </c>
      <c r="K61" s="731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7">
        <f t="shared" si="0"/>
        <v>27.22</v>
      </c>
      <c r="E62" s="815">
        <v>44547</v>
      </c>
      <c r="F62" s="707">
        <f t="shared" si="1"/>
        <v>27.22</v>
      </c>
      <c r="G62" s="708" t="s">
        <v>541</v>
      </c>
      <c r="H62" s="186">
        <v>70</v>
      </c>
      <c r="I62" s="729">
        <f t="shared" si="3"/>
        <v>13337.79999999999</v>
      </c>
      <c r="J62" s="730">
        <f t="shared" si="5"/>
        <v>490</v>
      </c>
      <c r="K62" s="731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7">
        <f t="shared" si="0"/>
        <v>27.22</v>
      </c>
      <c r="E63" s="815">
        <v>44548</v>
      </c>
      <c r="F63" s="707">
        <f t="shared" si="1"/>
        <v>27.22</v>
      </c>
      <c r="G63" s="708" t="s">
        <v>543</v>
      </c>
      <c r="H63" s="186">
        <v>70</v>
      </c>
      <c r="I63" s="729">
        <f t="shared" si="3"/>
        <v>13310.579999999991</v>
      </c>
      <c r="J63" s="730">
        <f t="shared" si="5"/>
        <v>489</v>
      </c>
      <c r="K63" s="731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7">
        <f t="shared" si="0"/>
        <v>27.22</v>
      </c>
      <c r="E64" s="815">
        <v>44548</v>
      </c>
      <c r="F64" s="707">
        <f t="shared" si="1"/>
        <v>27.22</v>
      </c>
      <c r="G64" s="708" t="s">
        <v>551</v>
      </c>
      <c r="H64" s="186">
        <v>70</v>
      </c>
      <c r="I64" s="729">
        <f t="shared" si="3"/>
        <v>13283.359999999991</v>
      </c>
      <c r="J64" s="730">
        <f t="shared" si="5"/>
        <v>488</v>
      </c>
      <c r="K64" s="731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7">
        <f t="shared" si="0"/>
        <v>27.22</v>
      </c>
      <c r="E65" s="815">
        <v>44548</v>
      </c>
      <c r="F65" s="707">
        <f t="shared" si="1"/>
        <v>27.22</v>
      </c>
      <c r="G65" s="708" t="s">
        <v>552</v>
      </c>
      <c r="H65" s="186">
        <v>70</v>
      </c>
      <c r="I65" s="729">
        <f t="shared" si="3"/>
        <v>13256.139999999992</v>
      </c>
      <c r="J65" s="730">
        <f t="shared" si="5"/>
        <v>487</v>
      </c>
      <c r="K65" s="731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7">
        <f t="shared" si="0"/>
        <v>544.4</v>
      </c>
      <c r="E66" s="815">
        <v>44548</v>
      </c>
      <c r="F66" s="707">
        <f t="shared" si="1"/>
        <v>544.4</v>
      </c>
      <c r="G66" s="708" t="s">
        <v>554</v>
      </c>
      <c r="H66" s="186">
        <v>70</v>
      </c>
      <c r="I66" s="729">
        <f t="shared" si="3"/>
        <v>12711.739999999993</v>
      </c>
      <c r="J66" s="730">
        <f t="shared" si="5"/>
        <v>467</v>
      </c>
      <c r="K66" s="731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7">
        <f t="shared" si="0"/>
        <v>544.4</v>
      </c>
      <c r="E67" s="815">
        <v>44548</v>
      </c>
      <c r="F67" s="707">
        <f t="shared" si="1"/>
        <v>544.4</v>
      </c>
      <c r="G67" s="708" t="s">
        <v>554</v>
      </c>
      <c r="H67" s="186">
        <v>70</v>
      </c>
      <c r="I67" s="729">
        <f t="shared" si="3"/>
        <v>12167.339999999993</v>
      </c>
      <c r="J67" s="730">
        <f t="shared" si="5"/>
        <v>447</v>
      </c>
      <c r="K67" s="731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7">
        <f t="shared" si="0"/>
        <v>27.22</v>
      </c>
      <c r="E68" s="815">
        <v>44550</v>
      </c>
      <c r="F68" s="707">
        <f t="shared" si="1"/>
        <v>27.22</v>
      </c>
      <c r="G68" s="708" t="s">
        <v>563</v>
      </c>
      <c r="H68" s="186">
        <v>70</v>
      </c>
      <c r="I68" s="729">
        <f t="shared" si="3"/>
        <v>12140.119999999994</v>
      </c>
      <c r="J68" s="730">
        <f t="shared" si="5"/>
        <v>446</v>
      </c>
      <c r="K68" s="731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7">
        <f t="shared" si="0"/>
        <v>27.22</v>
      </c>
      <c r="E69" s="815">
        <v>44551</v>
      </c>
      <c r="F69" s="707">
        <f t="shared" si="1"/>
        <v>27.22</v>
      </c>
      <c r="G69" s="708" t="s">
        <v>565</v>
      </c>
      <c r="H69" s="186">
        <v>70</v>
      </c>
      <c r="I69" s="729">
        <f t="shared" si="3"/>
        <v>12112.899999999994</v>
      </c>
      <c r="J69" s="730">
        <f t="shared" si="5"/>
        <v>445</v>
      </c>
      <c r="K69" s="731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7">
        <f t="shared" si="0"/>
        <v>27.22</v>
      </c>
      <c r="E70" s="815">
        <v>44551</v>
      </c>
      <c r="F70" s="989">
        <f t="shared" si="1"/>
        <v>27.22</v>
      </c>
      <c r="G70" s="689" t="s">
        <v>568</v>
      </c>
      <c r="H70" s="991">
        <v>70</v>
      </c>
      <c r="I70" s="729">
        <f t="shared" si="3"/>
        <v>12085.679999999995</v>
      </c>
      <c r="J70" s="732">
        <f t="shared" si="5"/>
        <v>444</v>
      </c>
      <c r="K70" s="731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7">
        <f t="shared" si="0"/>
        <v>544.4</v>
      </c>
      <c r="E71" s="815">
        <v>44552</v>
      </c>
      <c r="F71" s="989">
        <f t="shared" si="1"/>
        <v>544.4</v>
      </c>
      <c r="G71" s="689" t="s">
        <v>580</v>
      </c>
      <c r="H71" s="991">
        <v>70</v>
      </c>
      <c r="I71" s="729">
        <f t="shared" si="3"/>
        <v>11541.279999999995</v>
      </c>
      <c r="J71" s="732">
        <f t="shared" si="5"/>
        <v>424</v>
      </c>
      <c r="K71" s="731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7">
        <f t="shared" si="0"/>
        <v>108.88</v>
      </c>
      <c r="E72" s="815">
        <v>44552</v>
      </c>
      <c r="F72" s="989">
        <f t="shared" si="1"/>
        <v>108.88</v>
      </c>
      <c r="G72" s="689" t="s">
        <v>581</v>
      </c>
      <c r="H72" s="991">
        <v>70</v>
      </c>
      <c r="I72" s="729">
        <f t="shared" si="3"/>
        <v>11432.399999999996</v>
      </c>
      <c r="J72" s="732">
        <f t="shared" si="5"/>
        <v>420</v>
      </c>
      <c r="K72" s="731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7">
        <f t="shared" ref="D73:D114" si="6">C73*B73</f>
        <v>54.44</v>
      </c>
      <c r="E73" s="815">
        <v>44552</v>
      </c>
      <c r="F73" s="989">
        <f t="shared" ref="F73:F114" si="7">D73</f>
        <v>54.44</v>
      </c>
      <c r="G73" s="689" t="s">
        <v>582</v>
      </c>
      <c r="H73" s="991">
        <v>70</v>
      </c>
      <c r="I73" s="729">
        <f t="shared" si="3"/>
        <v>11377.959999999995</v>
      </c>
      <c r="J73" s="732">
        <f t="shared" si="5"/>
        <v>418</v>
      </c>
      <c r="K73" s="731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7">
        <f t="shared" si="6"/>
        <v>27.22</v>
      </c>
      <c r="E74" s="815">
        <v>44552</v>
      </c>
      <c r="F74" s="989">
        <f t="shared" si="7"/>
        <v>27.22</v>
      </c>
      <c r="G74" s="689" t="s">
        <v>592</v>
      </c>
      <c r="H74" s="991">
        <v>70</v>
      </c>
      <c r="I74" s="729">
        <f t="shared" si="3"/>
        <v>11350.739999999996</v>
      </c>
      <c r="J74" s="732">
        <f t="shared" si="5"/>
        <v>417</v>
      </c>
      <c r="K74" s="731">
        <f t="shared" ref="K74:K114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7">
        <f t="shared" si="6"/>
        <v>653.28</v>
      </c>
      <c r="E75" s="815">
        <v>44552</v>
      </c>
      <c r="F75" s="989">
        <f t="shared" si="7"/>
        <v>653.28</v>
      </c>
      <c r="G75" s="689" t="s">
        <v>593</v>
      </c>
      <c r="H75" s="991">
        <v>70</v>
      </c>
      <c r="I75" s="729">
        <f t="shared" ref="I75:I113" si="9">I74-F75</f>
        <v>10697.459999999995</v>
      </c>
      <c r="J75" s="732">
        <f t="shared" si="5"/>
        <v>393</v>
      </c>
      <c r="K75" s="731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7">
        <f t="shared" si="6"/>
        <v>27.22</v>
      </c>
      <c r="E76" s="815">
        <v>44553</v>
      </c>
      <c r="F76" s="707">
        <f t="shared" si="7"/>
        <v>27.22</v>
      </c>
      <c r="G76" s="708" t="s">
        <v>594</v>
      </c>
      <c r="H76" s="186">
        <v>70</v>
      </c>
      <c r="I76" s="729">
        <f t="shared" si="9"/>
        <v>10670.239999999996</v>
      </c>
      <c r="J76" s="730">
        <f t="shared" si="5"/>
        <v>392</v>
      </c>
      <c r="K76" s="731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7">
        <f t="shared" si="6"/>
        <v>54.44</v>
      </c>
      <c r="E77" s="815">
        <v>44553</v>
      </c>
      <c r="F77" s="707">
        <f t="shared" si="7"/>
        <v>54.44</v>
      </c>
      <c r="G77" s="708" t="s">
        <v>596</v>
      </c>
      <c r="H77" s="186">
        <v>70</v>
      </c>
      <c r="I77" s="729">
        <f t="shared" si="9"/>
        <v>10615.799999999996</v>
      </c>
      <c r="J77" s="730">
        <f t="shared" ref="J77:J112" si="10">J76-C77</f>
        <v>390</v>
      </c>
      <c r="K77" s="731">
        <f t="shared" si="8"/>
        <v>3810.7999999999997</v>
      </c>
    </row>
    <row r="78" spans="1:11" x14ac:dyDescent="0.25">
      <c r="A78" s="332"/>
      <c r="B78" s="2">
        <v>27.22</v>
      </c>
      <c r="C78" s="15">
        <v>2</v>
      </c>
      <c r="D78" s="707">
        <f t="shared" si="6"/>
        <v>54.44</v>
      </c>
      <c r="E78" s="815">
        <v>44553</v>
      </c>
      <c r="F78" s="707">
        <f t="shared" si="7"/>
        <v>54.44</v>
      </c>
      <c r="G78" s="708" t="s">
        <v>608</v>
      </c>
      <c r="H78" s="186">
        <v>70</v>
      </c>
      <c r="I78" s="729">
        <f t="shared" si="9"/>
        <v>10561.359999999995</v>
      </c>
      <c r="J78" s="730">
        <f t="shared" si="10"/>
        <v>388</v>
      </c>
      <c r="K78" s="731">
        <f t="shared" si="8"/>
        <v>3810.7999999999997</v>
      </c>
    </row>
    <row r="79" spans="1:11" x14ac:dyDescent="0.25">
      <c r="A79" s="332"/>
      <c r="B79" s="2">
        <v>27.22</v>
      </c>
      <c r="C79" s="15">
        <v>24</v>
      </c>
      <c r="D79" s="707">
        <f t="shared" si="6"/>
        <v>653.28</v>
      </c>
      <c r="E79" s="815">
        <v>44554</v>
      </c>
      <c r="F79" s="707">
        <f t="shared" si="7"/>
        <v>653.28</v>
      </c>
      <c r="G79" s="708" t="s">
        <v>612</v>
      </c>
      <c r="H79" s="186">
        <v>70</v>
      </c>
      <c r="I79" s="729">
        <f t="shared" si="9"/>
        <v>9908.0799999999945</v>
      </c>
      <c r="J79" s="730">
        <f t="shared" si="10"/>
        <v>364</v>
      </c>
      <c r="K79" s="731">
        <f t="shared" si="8"/>
        <v>45729.599999999999</v>
      </c>
    </row>
    <row r="80" spans="1:11" x14ac:dyDescent="0.25">
      <c r="A80" s="332"/>
      <c r="B80" s="2">
        <v>27.22</v>
      </c>
      <c r="C80" s="15">
        <v>1</v>
      </c>
      <c r="D80" s="707">
        <f t="shared" si="6"/>
        <v>27.22</v>
      </c>
      <c r="E80" s="815">
        <v>44554</v>
      </c>
      <c r="F80" s="707">
        <f t="shared" si="7"/>
        <v>27.22</v>
      </c>
      <c r="G80" s="708" t="s">
        <v>613</v>
      </c>
      <c r="H80" s="186">
        <v>70</v>
      </c>
      <c r="I80" s="729">
        <f t="shared" si="9"/>
        <v>9880.8599999999951</v>
      </c>
      <c r="J80" s="730">
        <f t="shared" si="10"/>
        <v>363</v>
      </c>
      <c r="K80" s="731">
        <f t="shared" si="8"/>
        <v>1905.3999999999999</v>
      </c>
    </row>
    <row r="81" spans="1:11" x14ac:dyDescent="0.25">
      <c r="A81" s="332"/>
      <c r="B81" s="2">
        <v>27.22</v>
      </c>
      <c r="C81" s="15">
        <v>5</v>
      </c>
      <c r="D81" s="707">
        <f t="shared" si="6"/>
        <v>136.1</v>
      </c>
      <c r="E81" s="815">
        <v>44557</v>
      </c>
      <c r="F81" s="707">
        <f t="shared" si="7"/>
        <v>136.1</v>
      </c>
      <c r="G81" s="708" t="s">
        <v>629</v>
      </c>
      <c r="H81" s="186">
        <v>70</v>
      </c>
      <c r="I81" s="729">
        <f t="shared" si="9"/>
        <v>9744.7599999999948</v>
      </c>
      <c r="J81" s="730">
        <f t="shared" si="10"/>
        <v>358</v>
      </c>
      <c r="K81" s="731">
        <f t="shared" si="8"/>
        <v>9527</v>
      </c>
    </row>
    <row r="82" spans="1:11" x14ac:dyDescent="0.25">
      <c r="A82" s="332"/>
      <c r="B82" s="2">
        <v>27.22</v>
      </c>
      <c r="C82" s="15">
        <v>50</v>
      </c>
      <c r="D82" s="707">
        <f t="shared" si="6"/>
        <v>1361</v>
      </c>
      <c r="E82" s="815">
        <v>44557</v>
      </c>
      <c r="F82" s="707">
        <f t="shared" si="7"/>
        <v>1361</v>
      </c>
      <c r="G82" s="708" t="s">
        <v>631</v>
      </c>
      <c r="H82" s="186">
        <v>70</v>
      </c>
      <c r="I82" s="729">
        <f t="shared" si="9"/>
        <v>8383.7599999999948</v>
      </c>
      <c r="J82" s="730">
        <f t="shared" si="10"/>
        <v>308</v>
      </c>
      <c r="K82" s="731">
        <f t="shared" si="8"/>
        <v>95270</v>
      </c>
    </row>
    <row r="83" spans="1:11" x14ac:dyDescent="0.25">
      <c r="A83" s="332"/>
      <c r="B83" s="2">
        <v>27.22</v>
      </c>
      <c r="C83" s="15">
        <v>15</v>
      </c>
      <c r="D83" s="707">
        <f t="shared" si="6"/>
        <v>408.29999999999995</v>
      </c>
      <c r="E83" s="815">
        <v>44557</v>
      </c>
      <c r="F83" s="707">
        <f t="shared" si="7"/>
        <v>408.29999999999995</v>
      </c>
      <c r="G83" s="708" t="s">
        <v>632</v>
      </c>
      <c r="H83" s="186">
        <v>70</v>
      </c>
      <c r="I83" s="729">
        <f t="shared" si="9"/>
        <v>7975.4599999999946</v>
      </c>
      <c r="J83" s="730">
        <f t="shared" si="10"/>
        <v>293</v>
      </c>
      <c r="K83" s="731">
        <f t="shared" si="8"/>
        <v>28580.999999999996</v>
      </c>
    </row>
    <row r="84" spans="1:11" x14ac:dyDescent="0.25">
      <c r="A84" s="332"/>
      <c r="B84" s="2">
        <v>27.22</v>
      </c>
      <c r="C84" s="15">
        <v>24</v>
      </c>
      <c r="D84" s="707">
        <f t="shared" si="6"/>
        <v>653.28</v>
      </c>
      <c r="E84" s="815">
        <v>44557</v>
      </c>
      <c r="F84" s="707">
        <f t="shared" si="7"/>
        <v>653.28</v>
      </c>
      <c r="G84" s="708" t="s">
        <v>633</v>
      </c>
      <c r="H84" s="186">
        <v>70</v>
      </c>
      <c r="I84" s="729">
        <f t="shared" si="9"/>
        <v>7322.1799999999948</v>
      </c>
      <c r="J84" s="730">
        <f t="shared" si="10"/>
        <v>269</v>
      </c>
      <c r="K84" s="731">
        <f t="shared" si="8"/>
        <v>45729.599999999999</v>
      </c>
    </row>
    <row r="85" spans="1:11" x14ac:dyDescent="0.25">
      <c r="A85" s="332"/>
      <c r="B85" s="2">
        <v>27.22</v>
      </c>
      <c r="C85" s="15">
        <v>2</v>
      </c>
      <c r="D85" s="707">
        <f t="shared" si="6"/>
        <v>54.44</v>
      </c>
      <c r="E85" s="815">
        <v>44558</v>
      </c>
      <c r="F85" s="707">
        <f t="shared" si="7"/>
        <v>54.44</v>
      </c>
      <c r="G85" s="708" t="s">
        <v>635</v>
      </c>
      <c r="H85" s="186">
        <v>70</v>
      </c>
      <c r="I85" s="729">
        <f t="shared" si="9"/>
        <v>7267.7399999999952</v>
      </c>
      <c r="J85" s="730">
        <f t="shared" si="10"/>
        <v>267</v>
      </c>
      <c r="K85" s="731">
        <f t="shared" si="8"/>
        <v>3810.7999999999997</v>
      </c>
    </row>
    <row r="86" spans="1:11" x14ac:dyDescent="0.25">
      <c r="A86" s="332"/>
      <c r="B86" s="2">
        <v>27.22</v>
      </c>
      <c r="C86" s="15">
        <v>1</v>
      </c>
      <c r="D86" s="707">
        <f t="shared" si="6"/>
        <v>27.22</v>
      </c>
      <c r="E86" s="815">
        <v>44558</v>
      </c>
      <c r="F86" s="707">
        <f t="shared" si="7"/>
        <v>27.22</v>
      </c>
      <c r="G86" s="708" t="s">
        <v>638</v>
      </c>
      <c r="H86" s="186">
        <v>70</v>
      </c>
      <c r="I86" s="729">
        <f t="shared" si="9"/>
        <v>7240.519999999995</v>
      </c>
      <c r="J86" s="730">
        <f t="shared" si="10"/>
        <v>266</v>
      </c>
      <c r="K86" s="731">
        <f t="shared" si="8"/>
        <v>1905.3999999999999</v>
      </c>
    </row>
    <row r="87" spans="1:11" x14ac:dyDescent="0.25">
      <c r="A87" s="332"/>
      <c r="B87" s="2">
        <v>27.22</v>
      </c>
      <c r="C87" s="15">
        <v>2</v>
      </c>
      <c r="D87" s="707">
        <f t="shared" si="6"/>
        <v>54.44</v>
      </c>
      <c r="E87" s="815">
        <v>44558</v>
      </c>
      <c r="F87" s="707">
        <f t="shared" si="7"/>
        <v>54.44</v>
      </c>
      <c r="G87" s="708" t="s">
        <v>639</v>
      </c>
      <c r="H87" s="186">
        <v>70</v>
      </c>
      <c r="I87" s="729">
        <f t="shared" si="9"/>
        <v>7186.0799999999954</v>
      </c>
      <c r="J87" s="730">
        <f t="shared" si="10"/>
        <v>264</v>
      </c>
      <c r="K87" s="731">
        <f t="shared" si="8"/>
        <v>3810.7999999999997</v>
      </c>
    </row>
    <row r="88" spans="1:11" x14ac:dyDescent="0.25">
      <c r="A88" s="332"/>
      <c r="B88" s="2">
        <v>27.22</v>
      </c>
      <c r="C88" s="15">
        <v>2</v>
      </c>
      <c r="D88" s="707">
        <f t="shared" si="6"/>
        <v>54.44</v>
      </c>
      <c r="E88" s="815">
        <v>44558</v>
      </c>
      <c r="F88" s="707">
        <f t="shared" si="7"/>
        <v>54.44</v>
      </c>
      <c r="G88" s="708" t="s">
        <v>640</v>
      </c>
      <c r="H88" s="186">
        <v>70</v>
      </c>
      <c r="I88" s="729">
        <f t="shared" si="9"/>
        <v>7131.6399999999958</v>
      </c>
      <c r="J88" s="730">
        <f t="shared" si="10"/>
        <v>262</v>
      </c>
      <c r="K88" s="731">
        <f t="shared" si="8"/>
        <v>3810.7999999999997</v>
      </c>
    </row>
    <row r="89" spans="1:11" x14ac:dyDescent="0.25">
      <c r="A89" s="332"/>
      <c r="B89" s="2">
        <v>27.22</v>
      </c>
      <c r="C89" s="15">
        <v>2</v>
      </c>
      <c r="D89" s="707">
        <f t="shared" si="6"/>
        <v>54.44</v>
      </c>
      <c r="E89" s="815">
        <v>44558</v>
      </c>
      <c r="F89" s="707">
        <f t="shared" si="7"/>
        <v>54.44</v>
      </c>
      <c r="G89" s="708" t="s">
        <v>644</v>
      </c>
      <c r="H89" s="186">
        <v>70</v>
      </c>
      <c r="I89" s="729">
        <f t="shared" si="9"/>
        <v>7077.1999999999962</v>
      </c>
      <c r="J89" s="730">
        <f t="shared" si="10"/>
        <v>260</v>
      </c>
      <c r="K89" s="731">
        <f t="shared" si="8"/>
        <v>3810.7999999999997</v>
      </c>
    </row>
    <row r="90" spans="1:11" x14ac:dyDescent="0.25">
      <c r="A90" s="332"/>
      <c r="B90" s="2">
        <v>27.22</v>
      </c>
      <c r="C90" s="15">
        <v>24</v>
      </c>
      <c r="D90" s="707">
        <f t="shared" si="6"/>
        <v>653.28</v>
      </c>
      <c r="E90" s="815">
        <v>44558</v>
      </c>
      <c r="F90" s="707">
        <f t="shared" si="7"/>
        <v>653.28</v>
      </c>
      <c r="G90" s="708" t="s">
        <v>646</v>
      </c>
      <c r="H90" s="186">
        <v>70</v>
      </c>
      <c r="I90" s="729">
        <f t="shared" si="9"/>
        <v>6423.9199999999964</v>
      </c>
      <c r="J90" s="730">
        <f t="shared" si="10"/>
        <v>236</v>
      </c>
      <c r="K90" s="731">
        <f t="shared" si="8"/>
        <v>45729.599999999999</v>
      </c>
    </row>
    <row r="91" spans="1:11" x14ac:dyDescent="0.25">
      <c r="A91" s="332"/>
      <c r="B91" s="2">
        <v>27.22</v>
      </c>
      <c r="C91" s="15">
        <v>3</v>
      </c>
      <c r="D91" s="707">
        <f t="shared" si="6"/>
        <v>81.66</v>
      </c>
      <c r="E91" s="815">
        <v>44559</v>
      </c>
      <c r="F91" s="707">
        <f t="shared" si="7"/>
        <v>81.66</v>
      </c>
      <c r="G91" s="708" t="s">
        <v>652</v>
      </c>
      <c r="H91" s="186">
        <v>70</v>
      </c>
      <c r="I91" s="729">
        <f t="shared" si="9"/>
        <v>6342.2599999999966</v>
      </c>
      <c r="J91" s="730">
        <f t="shared" si="10"/>
        <v>233</v>
      </c>
      <c r="K91" s="731">
        <f t="shared" si="8"/>
        <v>5716.2</v>
      </c>
    </row>
    <row r="92" spans="1:11" x14ac:dyDescent="0.25">
      <c r="A92" s="332"/>
      <c r="B92" s="2">
        <v>27.22</v>
      </c>
      <c r="C92" s="15">
        <v>1</v>
      </c>
      <c r="D92" s="707">
        <f t="shared" si="6"/>
        <v>27.22</v>
      </c>
      <c r="E92" s="815">
        <v>44559</v>
      </c>
      <c r="F92" s="707">
        <f t="shared" si="7"/>
        <v>27.22</v>
      </c>
      <c r="G92" s="708" t="s">
        <v>653</v>
      </c>
      <c r="H92" s="186">
        <v>70</v>
      </c>
      <c r="I92" s="729">
        <f t="shared" si="9"/>
        <v>6315.0399999999963</v>
      </c>
      <c r="J92" s="730">
        <f t="shared" si="10"/>
        <v>232</v>
      </c>
      <c r="K92" s="731">
        <f t="shared" si="8"/>
        <v>1905.3999999999999</v>
      </c>
    </row>
    <row r="93" spans="1:11" x14ac:dyDescent="0.25">
      <c r="A93" s="332"/>
      <c r="B93" s="2">
        <v>27.22</v>
      </c>
      <c r="C93" s="15">
        <v>20</v>
      </c>
      <c r="D93" s="707">
        <f t="shared" si="6"/>
        <v>544.4</v>
      </c>
      <c r="E93" s="815">
        <v>44559</v>
      </c>
      <c r="F93" s="707">
        <f t="shared" si="7"/>
        <v>544.4</v>
      </c>
      <c r="G93" s="708" t="s">
        <v>654</v>
      </c>
      <c r="H93" s="186">
        <v>70</v>
      </c>
      <c r="I93" s="729">
        <f t="shared" si="9"/>
        <v>5770.6399999999967</v>
      </c>
      <c r="J93" s="730">
        <f t="shared" si="10"/>
        <v>212</v>
      </c>
      <c r="K93" s="731">
        <f t="shared" si="8"/>
        <v>38108</v>
      </c>
    </row>
    <row r="94" spans="1:11" x14ac:dyDescent="0.25">
      <c r="A94" s="332"/>
      <c r="B94" s="2">
        <v>27.22</v>
      </c>
      <c r="C94" s="15">
        <v>3</v>
      </c>
      <c r="D94" s="707">
        <f t="shared" si="6"/>
        <v>81.66</v>
      </c>
      <c r="E94" s="815">
        <v>44559</v>
      </c>
      <c r="F94" s="707">
        <f t="shared" si="7"/>
        <v>81.66</v>
      </c>
      <c r="G94" s="708" t="s">
        <v>659</v>
      </c>
      <c r="H94" s="186">
        <v>70</v>
      </c>
      <c r="I94" s="729">
        <f t="shared" si="9"/>
        <v>5688.9799999999968</v>
      </c>
      <c r="J94" s="730">
        <f t="shared" si="10"/>
        <v>209</v>
      </c>
      <c r="K94" s="731">
        <f t="shared" si="8"/>
        <v>5716.2</v>
      </c>
    </row>
    <row r="95" spans="1:11" x14ac:dyDescent="0.25">
      <c r="A95" s="332"/>
      <c r="B95" s="2">
        <v>27.22</v>
      </c>
      <c r="C95" s="15">
        <v>1</v>
      </c>
      <c r="D95" s="707">
        <f t="shared" si="6"/>
        <v>27.22</v>
      </c>
      <c r="E95" s="815">
        <v>44559</v>
      </c>
      <c r="F95" s="707">
        <f t="shared" si="7"/>
        <v>27.22</v>
      </c>
      <c r="G95" s="708" t="s">
        <v>650</v>
      </c>
      <c r="H95" s="186">
        <v>70</v>
      </c>
      <c r="I95" s="729">
        <f t="shared" si="9"/>
        <v>5661.7599999999966</v>
      </c>
      <c r="J95" s="730">
        <f t="shared" si="10"/>
        <v>208</v>
      </c>
      <c r="K95" s="731">
        <f t="shared" si="8"/>
        <v>1905.3999999999999</v>
      </c>
    </row>
    <row r="96" spans="1:11" x14ac:dyDescent="0.25">
      <c r="A96" s="332"/>
      <c r="B96" s="2">
        <v>27.22</v>
      </c>
      <c r="C96" s="15">
        <v>2</v>
      </c>
      <c r="D96" s="707">
        <f t="shared" si="6"/>
        <v>54.44</v>
      </c>
      <c r="E96" s="815">
        <v>44559</v>
      </c>
      <c r="F96" s="707">
        <f t="shared" si="7"/>
        <v>54.44</v>
      </c>
      <c r="G96" s="708" t="s">
        <v>660</v>
      </c>
      <c r="H96" s="186">
        <v>70</v>
      </c>
      <c r="I96" s="729">
        <f t="shared" si="9"/>
        <v>5607.319999999997</v>
      </c>
      <c r="J96" s="730">
        <f t="shared" si="10"/>
        <v>206</v>
      </c>
      <c r="K96" s="731">
        <f t="shared" si="8"/>
        <v>3810.7999999999997</v>
      </c>
    </row>
    <row r="97" spans="1:11" x14ac:dyDescent="0.25">
      <c r="A97" s="332"/>
      <c r="B97" s="2">
        <v>27.22</v>
      </c>
      <c r="C97" s="15">
        <v>24</v>
      </c>
      <c r="D97" s="707">
        <f t="shared" si="6"/>
        <v>653.28</v>
      </c>
      <c r="E97" s="815">
        <v>44559</v>
      </c>
      <c r="F97" s="707">
        <f t="shared" si="7"/>
        <v>653.28</v>
      </c>
      <c r="G97" s="708" t="s">
        <v>662</v>
      </c>
      <c r="H97" s="186">
        <v>70</v>
      </c>
      <c r="I97" s="729">
        <f t="shared" si="9"/>
        <v>4954.0399999999972</v>
      </c>
      <c r="J97" s="730">
        <f t="shared" si="10"/>
        <v>182</v>
      </c>
      <c r="K97" s="731">
        <f t="shared" si="8"/>
        <v>45729.599999999999</v>
      </c>
    </row>
    <row r="98" spans="1:11" x14ac:dyDescent="0.25">
      <c r="A98" s="332"/>
      <c r="B98" s="2">
        <v>27.22</v>
      </c>
      <c r="C98" s="15">
        <v>28</v>
      </c>
      <c r="D98" s="707">
        <f t="shared" si="6"/>
        <v>762.16</v>
      </c>
      <c r="E98" s="815">
        <v>44560</v>
      </c>
      <c r="F98" s="707">
        <f t="shared" si="7"/>
        <v>762.16</v>
      </c>
      <c r="G98" s="708" t="s">
        <v>651</v>
      </c>
      <c r="H98" s="186">
        <v>70</v>
      </c>
      <c r="I98" s="729">
        <f t="shared" si="9"/>
        <v>4191.8799999999974</v>
      </c>
      <c r="J98" s="730">
        <f t="shared" si="10"/>
        <v>154</v>
      </c>
      <c r="K98" s="731">
        <f t="shared" si="8"/>
        <v>53351.199999999997</v>
      </c>
    </row>
    <row r="99" spans="1:11" x14ac:dyDescent="0.25">
      <c r="A99" s="332"/>
      <c r="B99" s="2">
        <v>27.22</v>
      </c>
      <c r="C99" s="15">
        <v>24</v>
      </c>
      <c r="D99" s="707">
        <f t="shared" si="6"/>
        <v>653.28</v>
      </c>
      <c r="E99" s="815">
        <v>44560</v>
      </c>
      <c r="F99" s="707">
        <f t="shared" si="7"/>
        <v>653.28</v>
      </c>
      <c r="G99" s="708" t="s">
        <v>651</v>
      </c>
      <c r="H99" s="186">
        <v>70</v>
      </c>
      <c r="I99" s="729">
        <f t="shared" si="9"/>
        <v>3538.5999999999976</v>
      </c>
      <c r="J99" s="730">
        <f t="shared" si="10"/>
        <v>130</v>
      </c>
      <c r="K99" s="731">
        <f t="shared" si="8"/>
        <v>45729.599999999999</v>
      </c>
    </row>
    <row r="100" spans="1:11" x14ac:dyDescent="0.25">
      <c r="A100" s="332"/>
      <c r="B100" s="2">
        <v>27.22</v>
      </c>
      <c r="C100" s="15">
        <v>4</v>
      </c>
      <c r="D100" s="707">
        <f t="shared" si="6"/>
        <v>108.88</v>
      </c>
      <c r="E100" s="815">
        <v>44560</v>
      </c>
      <c r="F100" s="707">
        <f t="shared" si="7"/>
        <v>108.88</v>
      </c>
      <c r="G100" s="708" t="s">
        <v>668</v>
      </c>
      <c r="H100" s="186">
        <v>70</v>
      </c>
      <c r="I100" s="729">
        <f t="shared" si="9"/>
        <v>3429.7199999999975</v>
      </c>
      <c r="J100" s="730">
        <f t="shared" si="10"/>
        <v>126</v>
      </c>
      <c r="K100" s="731">
        <f t="shared" si="8"/>
        <v>7621.5999999999995</v>
      </c>
    </row>
    <row r="101" spans="1:11" x14ac:dyDescent="0.25">
      <c r="A101" s="332"/>
      <c r="B101" s="2">
        <v>27.22</v>
      </c>
      <c r="C101" s="15"/>
      <c r="D101" s="707">
        <f t="shared" si="6"/>
        <v>0</v>
      </c>
      <c r="E101" s="815"/>
      <c r="F101" s="707">
        <f t="shared" si="7"/>
        <v>0</v>
      </c>
      <c r="G101" s="708"/>
      <c r="H101" s="186"/>
      <c r="I101" s="729">
        <f t="shared" si="9"/>
        <v>3429.7199999999975</v>
      </c>
      <c r="J101" s="730">
        <f t="shared" si="10"/>
        <v>126</v>
      </c>
      <c r="K101" s="731">
        <f t="shared" si="8"/>
        <v>0</v>
      </c>
    </row>
    <row r="102" spans="1:11" x14ac:dyDescent="0.25">
      <c r="A102" s="332"/>
      <c r="B102" s="2">
        <v>27.22</v>
      </c>
      <c r="C102" s="15"/>
      <c r="D102" s="707">
        <f t="shared" si="6"/>
        <v>0</v>
      </c>
      <c r="E102" s="815"/>
      <c r="F102" s="707">
        <f t="shared" si="7"/>
        <v>0</v>
      </c>
      <c r="G102" s="708"/>
      <c r="H102" s="186"/>
      <c r="I102" s="729">
        <f t="shared" si="9"/>
        <v>3429.7199999999975</v>
      </c>
      <c r="J102" s="730">
        <f t="shared" si="10"/>
        <v>126</v>
      </c>
      <c r="K102" s="731">
        <f t="shared" si="8"/>
        <v>0</v>
      </c>
    </row>
    <row r="103" spans="1:11" x14ac:dyDescent="0.25">
      <c r="A103" s="332"/>
      <c r="B103" s="2">
        <v>27.22</v>
      </c>
      <c r="C103" s="15"/>
      <c r="D103" s="707">
        <f t="shared" si="6"/>
        <v>0</v>
      </c>
      <c r="E103" s="815"/>
      <c r="F103" s="707">
        <f t="shared" si="7"/>
        <v>0</v>
      </c>
      <c r="G103" s="708"/>
      <c r="H103" s="186"/>
      <c r="I103" s="729">
        <f t="shared" si="9"/>
        <v>3429.7199999999975</v>
      </c>
      <c r="J103" s="730">
        <f t="shared" si="10"/>
        <v>126</v>
      </c>
      <c r="K103" s="731">
        <f t="shared" si="8"/>
        <v>0</v>
      </c>
    </row>
    <row r="104" spans="1:11" x14ac:dyDescent="0.25">
      <c r="A104" s="332"/>
      <c r="B104" s="2">
        <v>27.22</v>
      </c>
      <c r="C104" s="15"/>
      <c r="D104" s="707">
        <f t="shared" si="6"/>
        <v>0</v>
      </c>
      <c r="E104" s="815"/>
      <c r="F104" s="707">
        <f t="shared" si="7"/>
        <v>0</v>
      </c>
      <c r="G104" s="708"/>
      <c r="H104" s="186"/>
      <c r="I104" s="729">
        <f t="shared" si="9"/>
        <v>3429.7199999999975</v>
      </c>
      <c r="J104" s="730">
        <f t="shared" si="10"/>
        <v>126</v>
      </c>
      <c r="K104" s="731">
        <f t="shared" si="8"/>
        <v>0</v>
      </c>
    </row>
    <row r="105" spans="1:11" x14ac:dyDescent="0.25">
      <c r="A105" s="332"/>
      <c r="B105" s="2">
        <v>27.22</v>
      </c>
      <c r="C105" s="15"/>
      <c r="D105" s="707">
        <f t="shared" si="6"/>
        <v>0</v>
      </c>
      <c r="E105" s="815"/>
      <c r="F105" s="707">
        <f t="shared" si="7"/>
        <v>0</v>
      </c>
      <c r="G105" s="708"/>
      <c r="H105" s="186"/>
      <c r="I105" s="729">
        <f t="shared" si="9"/>
        <v>3429.7199999999975</v>
      </c>
      <c r="J105" s="730">
        <f t="shared" si="10"/>
        <v>126</v>
      </c>
      <c r="K105" s="731">
        <f t="shared" si="8"/>
        <v>0</v>
      </c>
    </row>
    <row r="106" spans="1:11" x14ac:dyDescent="0.25">
      <c r="A106" s="332"/>
      <c r="B106" s="2">
        <v>27.22</v>
      </c>
      <c r="C106" s="15"/>
      <c r="D106" s="707">
        <f t="shared" si="6"/>
        <v>0</v>
      </c>
      <c r="E106" s="815"/>
      <c r="F106" s="707">
        <f t="shared" si="7"/>
        <v>0</v>
      </c>
      <c r="G106" s="708"/>
      <c r="H106" s="186"/>
      <c r="I106" s="729">
        <f t="shared" si="9"/>
        <v>3429.7199999999975</v>
      </c>
      <c r="J106" s="730">
        <f t="shared" si="10"/>
        <v>126</v>
      </c>
      <c r="K106" s="731">
        <f t="shared" si="8"/>
        <v>0</v>
      </c>
    </row>
    <row r="107" spans="1:11" x14ac:dyDescent="0.25">
      <c r="A107" s="332"/>
      <c r="B107" s="2">
        <v>27.22</v>
      </c>
      <c r="C107" s="15"/>
      <c r="D107" s="707">
        <f t="shared" si="6"/>
        <v>0</v>
      </c>
      <c r="E107" s="815"/>
      <c r="F107" s="707">
        <f t="shared" si="7"/>
        <v>0</v>
      </c>
      <c r="G107" s="708"/>
      <c r="H107" s="186"/>
      <c r="I107" s="729">
        <f t="shared" si="9"/>
        <v>3429.7199999999975</v>
      </c>
      <c r="J107" s="730">
        <f t="shared" si="10"/>
        <v>126</v>
      </c>
      <c r="K107" s="731">
        <f t="shared" si="8"/>
        <v>0</v>
      </c>
    </row>
    <row r="108" spans="1:11" x14ac:dyDescent="0.25">
      <c r="A108" s="332"/>
      <c r="B108" s="2">
        <v>27.22</v>
      </c>
      <c r="C108" s="15"/>
      <c r="D108" s="707">
        <f t="shared" si="6"/>
        <v>0</v>
      </c>
      <c r="E108" s="815"/>
      <c r="F108" s="707">
        <f t="shared" si="7"/>
        <v>0</v>
      </c>
      <c r="G108" s="708"/>
      <c r="H108" s="186"/>
      <c r="I108" s="729">
        <f t="shared" si="9"/>
        <v>3429.7199999999975</v>
      </c>
      <c r="J108" s="730">
        <f t="shared" si="10"/>
        <v>126</v>
      </c>
      <c r="K108" s="731">
        <f t="shared" si="8"/>
        <v>0</v>
      </c>
    </row>
    <row r="109" spans="1:11" x14ac:dyDescent="0.25">
      <c r="A109" s="332"/>
      <c r="B109" s="2">
        <v>27.22</v>
      </c>
      <c r="C109" s="15"/>
      <c r="D109" s="707">
        <f t="shared" si="6"/>
        <v>0</v>
      </c>
      <c r="E109" s="815"/>
      <c r="F109" s="707">
        <f t="shared" si="7"/>
        <v>0</v>
      </c>
      <c r="G109" s="708"/>
      <c r="H109" s="186"/>
      <c r="I109" s="729">
        <f t="shared" si="9"/>
        <v>3429.7199999999975</v>
      </c>
      <c r="J109" s="730">
        <f t="shared" si="10"/>
        <v>126</v>
      </c>
      <c r="K109" s="731">
        <f t="shared" si="8"/>
        <v>0</v>
      </c>
    </row>
    <row r="110" spans="1:11" x14ac:dyDescent="0.25">
      <c r="A110" s="332"/>
      <c r="B110" s="2">
        <v>27.22</v>
      </c>
      <c r="C110" s="15"/>
      <c r="D110" s="707">
        <f t="shared" si="6"/>
        <v>0</v>
      </c>
      <c r="E110" s="815"/>
      <c r="F110" s="707">
        <f t="shared" si="7"/>
        <v>0</v>
      </c>
      <c r="G110" s="708"/>
      <c r="H110" s="186"/>
      <c r="I110" s="729">
        <f t="shared" si="9"/>
        <v>3429.7199999999975</v>
      </c>
      <c r="J110" s="730">
        <f t="shared" si="10"/>
        <v>126</v>
      </c>
      <c r="K110" s="731">
        <f t="shared" si="8"/>
        <v>0</v>
      </c>
    </row>
    <row r="111" spans="1:11" x14ac:dyDescent="0.25">
      <c r="A111" s="332"/>
      <c r="B111" s="2">
        <v>27.22</v>
      </c>
      <c r="C111" s="15"/>
      <c r="D111" s="707">
        <f t="shared" si="6"/>
        <v>0</v>
      </c>
      <c r="E111" s="815"/>
      <c r="F111" s="707">
        <f t="shared" si="7"/>
        <v>0</v>
      </c>
      <c r="G111" s="708"/>
      <c r="H111" s="186"/>
      <c r="I111" s="729">
        <f t="shared" si="9"/>
        <v>3429.7199999999975</v>
      </c>
      <c r="J111" s="730">
        <f t="shared" si="10"/>
        <v>126</v>
      </c>
      <c r="K111" s="731">
        <f t="shared" si="8"/>
        <v>0</v>
      </c>
    </row>
    <row r="112" spans="1:11" x14ac:dyDescent="0.25">
      <c r="A112" s="332"/>
      <c r="B112" s="2">
        <v>27.22</v>
      </c>
      <c r="C112" s="15"/>
      <c r="D112" s="707">
        <f t="shared" si="6"/>
        <v>0</v>
      </c>
      <c r="E112" s="815"/>
      <c r="F112" s="707">
        <f t="shared" si="7"/>
        <v>0</v>
      </c>
      <c r="G112" s="708"/>
      <c r="H112" s="186"/>
      <c r="I112" s="729">
        <f t="shared" si="9"/>
        <v>3429.7199999999975</v>
      </c>
      <c r="J112" s="730">
        <f t="shared" si="10"/>
        <v>126</v>
      </c>
      <c r="K112" s="73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7">
        <f t="shared" si="6"/>
        <v>0</v>
      </c>
      <c r="E113" s="815"/>
      <c r="F113" s="707">
        <f t="shared" si="7"/>
        <v>0</v>
      </c>
      <c r="G113" s="708"/>
      <c r="H113" s="186"/>
      <c r="I113" s="729">
        <f t="shared" si="9"/>
        <v>3429.7199999999975</v>
      </c>
      <c r="J113" s="733">
        <f>J60-C113</f>
        <v>496</v>
      </c>
      <c r="K113" s="734">
        <f t="shared" si="8"/>
        <v>0</v>
      </c>
    </row>
    <row r="114" spans="1:11" ht="16.5" thickTop="1" thickBot="1" x14ac:dyDescent="0.3">
      <c r="B114" s="2">
        <v>27.22</v>
      </c>
      <c r="C114" s="36"/>
      <c r="D114" s="70">
        <f t="shared" si="6"/>
        <v>0</v>
      </c>
      <c r="E114" s="168"/>
      <c r="F114" s="161">
        <f t="shared" si="7"/>
        <v>0</v>
      </c>
      <c r="G114" s="145"/>
      <c r="H114" s="72"/>
      <c r="K114" s="72">
        <f t="shared" si="8"/>
        <v>0</v>
      </c>
    </row>
    <row r="115" spans="1:11" x14ac:dyDescent="0.25">
      <c r="C115" s="53">
        <f>SUM(C9:C114)</f>
        <v>1245</v>
      </c>
      <c r="D115" s="6">
        <f>SUM(D9:D114)</f>
        <v>33888.9</v>
      </c>
      <c r="F115" s="6">
        <f>SUM(F9:F114)</f>
        <v>33888.9</v>
      </c>
    </row>
    <row r="117" spans="1:11" ht="15.75" thickBot="1" x14ac:dyDescent="0.3"/>
    <row r="118" spans="1:11" ht="15.75" thickBot="1" x14ac:dyDescent="0.3">
      <c r="D118" s="45" t="s">
        <v>4</v>
      </c>
      <c r="E118" s="57">
        <f>F5-C115+F4+F6</f>
        <v>130</v>
      </c>
    </row>
    <row r="119" spans="1:11" ht="15.75" thickBot="1" x14ac:dyDescent="0.3"/>
    <row r="120" spans="1:11" ht="15.75" thickBot="1" x14ac:dyDescent="0.3">
      <c r="C120" s="1162" t="s">
        <v>11</v>
      </c>
      <c r="D120" s="1163"/>
      <c r="E120" s="58">
        <f>E4+E5+E6-F115</f>
        <v>3538.5999999999985</v>
      </c>
      <c r="G120" s="47"/>
      <c r="H120" s="92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29" sqref="C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4" t="s">
        <v>257</v>
      </c>
      <c r="B1" s="1164"/>
      <c r="C1" s="1164"/>
      <c r="D1" s="1164"/>
      <c r="E1" s="1164"/>
      <c r="F1" s="1164"/>
      <c r="G1" s="11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59" t="s">
        <v>68</v>
      </c>
      <c r="B5" s="506" t="s">
        <v>120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1189.26</v>
      </c>
      <c r="H5" s="7">
        <f>E5-G5+E4+E6+E7</f>
        <v>0</v>
      </c>
    </row>
    <row r="6" spans="1:9" ht="15" customHeight="1" x14ac:dyDescent="0.25">
      <c r="A6" s="1159"/>
      <c r="B6" s="507" t="s">
        <v>121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5">
        <v>44522</v>
      </c>
      <c r="F9" s="277">
        <f t="shared" ref="F9:F54" si="0">D9</f>
        <v>139.72</v>
      </c>
      <c r="G9" s="278" t="s">
        <v>210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5">
        <v>44524</v>
      </c>
      <c r="F10" s="277">
        <f t="shared" si="0"/>
        <v>15.34</v>
      </c>
      <c r="G10" s="278" t="s">
        <v>213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5">
        <v>44526</v>
      </c>
      <c r="F11" s="277">
        <f t="shared" si="0"/>
        <v>23.04</v>
      </c>
      <c r="G11" s="278" t="s">
        <v>221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5">
        <v>44526</v>
      </c>
      <c r="F12" s="277">
        <f t="shared" si="0"/>
        <v>113.48</v>
      </c>
      <c r="G12" s="278" t="s">
        <v>225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5">
        <v>44527</v>
      </c>
      <c r="F13" s="277">
        <f t="shared" si="0"/>
        <v>34.380000000000003</v>
      </c>
      <c r="G13" s="278" t="s">
        <v>229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9">
        <v>59.8</v>
      </c>
      <c r="E14" s="1000">
        <v>44537</v>
      </c>
      <c r="F14" s="989">
        <f t="shared" si="0"/>
        <v>59.8</v>
      </c>
      <c r="G14" s="689" t="s">
        <v>457</v>
      </c>
      <c r="H14" s="991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9">
        <v>152.46</v>
      </c>
      <c r="E15" s="1000">
        <v>44537</v>
      </c>
      <c r="F15" s="989">
        <f t="shared" si="0"/>
        <v>152.46</v>
      </c>
      <c r="G15" s="689" t="s">
        <v>458</v>
      </c>
      <c r="H15" s="991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9">
        <v>110.92</v>
      </c>
      <c r="E16" s="1000">
        <v>44544</v>
      </c>
      <c r="F16" s="989">
        <f t="shared" si="0"/>
        <v>110.92</v>
      </c>
      <c r="G16" s="689" t="s">
        <v>524</v>
      </c>
      <c r="H16" s="991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9">
        <v>113.72</v>
      </c>
      <c r="E17" s="1000">
        <v>44548</v>
      </c>
      <c r="F17" s="989">
        <f t="shared" si="0"/>
        <v>113.72</v>
      </c>
      <c r="G17" s="689" t="s">
        <v>554</v>
      </c>
      <c r="H17" s="991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9">
        <v>75.72</v>
      </c>
      <c r="E18" s="1000">
        <v>44550</v>
      </c>
      <c r="F18" s="989">
        <f t="shared" si="0"/>
        <v>75.72</v>
      </c>
      <c r="G18" s="689" t="s">
        <v>557</v>
      </c>
      <c r="H18" s="991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9">
        <v>15.36</v>
      </c>
      <c r="E19" s="1000">
        <v>44552</v>
      </c>
      <c r="F19" s="989">
        <f t="shared" si="0"/>
        <v>15.36</v>
      </c>
      <c r="G19" s="689" t="s">
        <v>592</v>
      </c>
      <c r="H19" s="991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9">
        <v>36.340000000000003</v>
      </c>
      <c r="E20" s="1000">
        <v>44553</v>
      </c>
      <c r="F20" s="989">
        <f t="shared" si="0"/>
        <v>36.340000000000003</v>
      </c>
      <c r="G20" s="689" t="s">
        <v>600</v>
      </c>
      <c r="H20" s="991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9">
        <v>20.76</v>
      </c>
      <c r="E21" s="1000">
        <v>44553</v>
      </c>
      <c r="F21" s="989">
        <f t="shared" si="0"/>
        <v>20.76</v>
      </c>
      <c r="G21" s="689" t="s">
        <v>606</v>
      </c>
      <c r="H21" s="991">
        <v>140</v>
      </c>
      <c r="I21" s="272">
        <f t="shared" si="2"/>
        <v>278.22000000000003</v>
      </c>
    </row>
    <row r="22" spans="2:9" x14ac:dyDescent="0.25">
      <c r="B22" s="205">
        <f t="shared" si="1"/>
        <v>14</v>
      </c>
      <c r="C22" s="53">
        <v>1</v>
      </c>
      <c r="D22" s="989">
        <v>20.6</v>
      </c>
      <c r="E22" s="1000">
        <v>44554</v>
      </c>
      <c r="F22" s="989">
        <f t="shared" si="0"/>
        <v>20.6</v>
      </c>
      <c r="G22" s="689" t="s">
        <v>613</v>
      </c>
      <c r="H22" s="991">
        <v>140</v>
      </c>
      <c r="I22" s="272">
        <f t="shared" si="2"/>
        <v>257.62</v>
      </c>
    </row>
    <row r="23" spans="2:9" x14ac:dyDescent="0.25">
      <c r="B23" s="205">
        <f t="shared" si="1"/>
        <v>4</v>
      </c>
      <c r="C23" s="53">
        <v>10</v>
      </c>
      <c r="D23" s="989">
        <v>190.06</v>
      </c>
      <c r="E23" s="1000">
        <v>44554</v>
      </c>
      <c r="F23" s="989">
        <f t="shared" si="0"/>
        <v>190.06</v>
      </c>
      <c r="G23" s="689" t="s">
        <v>615</v>
      </c>
      <c r="H23" s="991">
        <v>140</v>
      </c>
      <c r="I23" s="272">
        <f t="shared" si="2"/>
        <v>67.56</v>
      </c>
    </row>
    <row r="24" spans="2:9" x14ac:dyDescent="0.25">
      <c r="B24" s="205">
        <f t="shared" si="1"/>
        <v>3</v>
      </c>
      <c r="C24" s="53">
        <v>1</v>
      </c>
      <c r="D24" s="989">
        <v>16.18</v>
      </c>
      <c r="E24" s="1000">
        <v>44558</v>
      </c>
      <c r="F24" s="989">
        <f t="shared" si="0"/>
        <v>16.18</v>
      </c>
      <c r="G24" s="689" t="s">
        <v>638</v>
      </c>
      <c r="H24" s="991">
        <v>140</v>
      </c>
      <c r="I24" s="272">
        <f t="shared" si="2"/>
        <v>51.38</v>
      </c>
    </row>
    <row r="25" spans="2:9" x14ac:dyDescent="0.25">
      <c r="B25" s="205">
        <f t="shared" si="1"/>
        <v>1</v>
      </c>
      <c r="C25" s="53">
        <v>2</v>
      </c>
      <c r="D25" s="989">
        <v>33.020000000000003</v>
      </c>
      <c r="E25" s="1000">
        <v>44558</v>
      </c>
      <c r="F25" s="989">
        <f t="shared" ref="F25:F32" si="3">D25</f>
        <v>33.020000000000003</v>
      </c>
      <c r="G25" s="689" t="s">
        <v>645</v>
      </c>
      <c r="H25" s="991">
        <v>140</v>
      </c>
      <c r="I25" s="272">
        <f t="shared" si="2"/>
        <v>18.36</v>
      </c>
    </row>
    <row r="26" spans="2:9" x14ac:dyDescent="0.25">
      <c r="B26" s="205">
        <f t="shared" si="1"/>
        <v>0</v>
      </c>
      <c r="C26" s="53">
        <v>1</v>
      </c>
      <c r="D26" s="989">
        <v>18.36</v>
      </c>
      <c r="E26" s="1000">
        <v>44558</v>
      </c>
      <c r="F26" s="989">
        <f t="shared" si="3"/>
        <v>18.36</v>
      </c>
      <c r="G26" s="689" t="s">
        <v>646</v>
      </c>
      <c r="H26" s="991">
        <v>140</v>
      </c>
      <c r="I26" s="272">
        <f t="shared" si="2"/>
        <v>0</v>
      </c>
    </row>
    <row r="27" spans="2:9" x14ac:dyDescent="0.25">
      <c r="B27" s="205">
        <f t="shared" si="1"/>
        <v>0</v>
      </c>
      <c r="C27" s="53"/>
      <c r="D27" s="989"/>
      <c r="E27" s="1000"/>
      <c r="F27" s="1239">
        <f t="shared" si="3"/>
        <v>0</v>
      </c>
      <c r="G27" s="1099"/>
      <c r="H27" s="1100"/>
      <c r="I27" s="860">
        <f t="shared" si="2"/>
        <v>0</v>
      </c>
    </row>
    <row r="28" spans="2:9" x14ac:dyDescent="0.25">
      <c r="B28" s="205">
        <f t="shared" si="1"/>
        <v>0</v>
      </c>
      <c r="C28" s="53"/>
      <c r="D28" s="989"/>
      <c r="E28" s="1000"/>
      <c r="F28" s="1239">
        <f t="shared" si="3"/>
        <v>0</v>
      </c>
      <c r="G28" s="1099"/>
      <c r="H28" s="1100"/>
      <c r="I28" s="860">
        <f t="shared" si="2"/>
        <v>0</v>
      </c>
    </row>
    <row r="29" spans="2:9" x14ac:dyDescent="0.25">
      <c r="B29" s="205">
        <f t="shared" si="1"/>
        <v>0</v>
      </c>
      <c r="C29" s="53"/>
      <c r="D29" s="989"/>
      <c r="E29" s="1000"/>
      <c r="F29" s="1239">
        <f t="shared" si="3"/>
        <v>0</v>
      </c>
      <c r="G29" s="1099"/>
      <c r="H29" s="1100"/>
      <c r="I29" s="860">
        <f t="shared" si="2"/>
        <v>0</v>
      </c>
    </row>
    <row r="30" spans="2:9" x14ac:dyDescent="0.25">
      <c r="B30" s="205">
        <f t="shared" si="1"/>
        <v>0</v>
      </c>
      <c r="C30" s="53"/>
      <c r="D30" s="989"/>
      <c r="E30" s="1000"/>
      <c r="F30" s="989">
        <f t="shared" si="3"/>
        <v>0</v>
      </c>
      <c r="G30" s="689"/>
      <c r="H30" s="991"/>
      <c r="I30" s="272">
        <f t="shared" si="2"/>
        <v>0</v>
      </c>
    </row>
    <row r="31" spans="2:9" x14ac:dyDescent="0.25">
      <c r="B31" s="205">
        <f t="shared" si="1"/>
        <v>0</v>
      </c>
      <c r="C31" s="15"/>
      <c r="D31" s="277"/>
      <c r="E31" s="865"/>
      <c r="F31" s="277">
        <f t="shared" si="3"/>
        <v>0</v>
      </c>
      <c r="G31" s="278"/>
      <c r="H31" s="279"/>
      <c r="I31" s="272">
        <f t="shared" si="2"/>
        <v>0</v>
      </c>
    </row>
    <row r="32" spans="2:9" x14ac:dyDescent="0.25">
      <c r="B32" s="205">
        <f t="shared" si="1"/>
        <v>0</v>
      </c>
      <c r="C32" s="15"/>
      <c r="D32" s="277"/>
      <c r="E32" s="865"/>
      <c r="F32" s="277">
        <f t="shared" si="3"/>
        <v>0</v>
      </c>
      <c r="G32" s="278"/>
      <c r="H32" s="279"/>
      <c r="I32" s="272">
        <f t="shared" si="2"/>
        <v>0</v>
      </c>
    </row>
    <row r="33" spans="2:9" x14ac:dyDescent="0.25">
      <c r="B33" s="205">
        <f t="shared" si="1"/>
        <v>0</v>
      </c>
      <c r="C33" s="15"/>
      <c r="D33" s="277"/>
      <c r="E33" s="865"/>
      <c r="F33" s="277">
        <f t="shared" si="0"/>
        <v>0</v>
      </c>
      <c r="G33" s="278"/>
      <c r="H33" s="279"/>
      <c r="I33" s="272">
        <f t="shared" si="2"/>
        <v>0</v>
      </c>
    </row>
    <row r="34" spans="2:9" x14ac:dyDescent="0.25">
      <c r="B34" s="205">
        <f t="shared" si="1"/>
        <v>0</v>
      </c>
      <c r="C34" s="15"/>
      <c r="D34" s="277"/>
      <c r="E34" s="865"/>
      <c r="F34" s="277">
        <f t="shared" si="0"/>
        <v>0</v>
      </c>
      <c r="G34" s="278"/>
      <c r="H34" s="279"/>
      <c r="I34" s="272">
        <f t="shared" si="2"/>
        <v>0</v>
      </c>
    </row>
    <row r="35" spans="2:9" x14ac:dyDescent="0.25">
      <c r="B35" s="205">
        <f t="shared" si="1"/>
        <v>0</v>
      </c>
      <c r="C35" s="15"/>
      <c r="D35" s="277"/>
      <c r="E35" s="865"/>
      <c r="F35" s="277">
        <f t="shared" si="0"/>
        <v>0</v>
      </c>
      <c r="G35" s="278"/>
      <c r="H35" s="279"/>
      <c r="I35" s="272">
        <f t="shared" si="2"/>
        <v>0</v>
      </c>
    </row>
    <row r="36" spans="2:9" x14ac:dyDescent="0.25">
      <c r="B36" s="205">
        <f t="shared" si="1"/>
        <v>0</v>
      </c>
      <c r="C36" s="15"/>
      <c r="D36" s="277"/>
      <c r="E36" s="865"/>
      <c r="F36" s="277">
        <f t="shared" si="0"/>
        <v>0</v>
      </c>
      <c r="G36" s="278"/>
      <c r="H36" s="279"/>
      <c r="I36" s="272">
        <f t="shared" si="2"/>
        <v>0</v>
      </c>
    </row>
    <row r="37" spans="2:9" x14ac:dyDescent="0.25">
      <c r="B37" s="205">
        <f t="shared" si="1"/>
        <v>0</v>
      </c>
      <c r="C37" s="15"/>
      <c r="D37" s="277"/>
      <c r="E37" s="865"/>
      <c r="F37" s="277">
        <f t="shared" si="0"/>
        <v>0</v>
      </c>
      <c r="G37" s="278"/>
      <c r="H37" s="279"/>
      <c r="I37" s="272">
        <f t="shared" si="2"/>
        <v>0</v>
      </c>
    </row>
    <row r="38" spans="2:9" x14ac:dyDescent="0.25">
      <c r="B38" s="205">
        <f t="shared" si="1"/>
        <v>0</v>
      </c>
      <c r="C38" s="15"/>
      <c r="D38" s="277"/>
      <c r="E38" s="865"/>
      <c r="F38" s="277">
        <f t="shared" si="0"/>
        <v>0</v>
      </c>
      <c r="G38" s="278"/>
      <c r="H38" s="279"/>
      <c r="I38" s="272">
        <f t="shared" si="2"/>
        <v>0</v>
      </c>
    </row>
    <row r="39" spans="2:9" x14ac:dyDescent="0.25">
      <c r="B39" s="205">
        <f t="shared" si="1"/>
        <v>0</v>
      </c>
      <c r="C39" s="15"/>
      <c r="D39" s="277"/>
      <c r="E39" s="865"/>
      <c r="F39" s="277">
        <f t="shared" si="0"/>
        <v>0</v>
      </c>
      <c r="G39" s="278"/>
      <c r="H39" s="279"/>
      <c r="I39" s="272">
        <f t="shared" si="2"/>
        <v>0</v>
      </c>
    </row>
    <row r="40" spans="2:9" x14ac:dyDescent="0.25">
      <c r="B40" s="205">
        <f t="shared" si="1"/>
        <v>0</v>
      </c>
      <c r="C40" s="15"/>
      <c r="D40" s="277"/>
      <c r="E40" s="865"/>
      <c r="F40" s="277">
        <f t="shared" si="0"/>
        <v>0</v>
      </c>
      <c r="G40" s="278"/>
      <c r="H40" s="279"/>
      <c r="I40" s="272">
        <f t="shared" si="2"/>
        <v>0</v>
      </c>
    </row>
    <row r="41" spans="2:9" x14ac:dyDescent="0.25">
      <c r="B41" s="205">
        <f t="shared" si="1"/>
        <v>0</v>
      </c>
      <c r="C41" s="15"/>
      <c r="D41" s="277"/>
      <c r="E41" s="865"/>
      <c r="F41" s="277">
        <f t="shared" si="0"/>
        <v>0</v>
      </c>
      <c r="G41" s="278"/>
      <c r="H41" s="279"/>
      <c r="I41" s="272">
        <f t="shared" si="2"/>
        <v>0</v>
      </c>
    </row>
    <row r="42" spans="2:9" x14ac:dyDescent="0.25">
      <c r="B42" s="205">
        <f t="shared" si="1"/>
        <v>0</v>
      </c>
      <c r="C42" s="15"/>
      <c r="D42" s="277"/>
      <c r="E42" s="865"/>
      <c r="F42" s="277">
        <f t="shared" si="0"/>
        <v>0</v>
      </c>
      <c r="G42" s="278"/>
      <c r="H42" s="279"/>
      <c r="I42" s="272">
        <f t="shared" si="2"/>
        <v>0</v>
      </c>
    </row>
    <row r="43" spans="2:9" x14ac:dyDescent="0.25">
      <c r="B43" s="205">
        <f t="shared" si="1"/>
        <v>0</v>
      </c>
      <c r="C43" s="15"/>
      <c r="D43" s="277"/>
      <c r="E43" s="865"/>
      <c r="F43" s="277">
        <f t="shared" si="0"/>
        <v>0</v>
      </c>
      <c r="G43" s="278"/>
      <c r="H43" s="279"/>
      <c r="I43" s="272">
        <f t="shared" si="2"/>
        <v>0</v>
      </c>
    </row>
    <row r="44" spans="2:9" x14ac:dyDescent="0.25">
      <c r="B44" s="205">
        <f t="shared" si="1"/>
        <v>0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0</v>
      </c>
    </row>
    <row r="45" spans="2:9" x14ac:dyDescent="0.25">
      <c r="B45" s="205">
        <f t="shared" si="1"/>
        <v>0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0</v>
      </c>
    </row>
    <row r="46" spans="2:9" x14ac:dyDescent="0.25">
      <c r="B46" s="205">
        <f t="shared" si="1"/>
        <v>0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0</v>
      </c>
    </row>
    <row r="47" spans="2:9" x14ac:dyDescent="0.25">
      <c r="B47" s="205">
        <f t="shared" si="1"/>
        <v>0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0</v>
      </c>
    </row>
    <row r="48" spans="2:9" x14ac:dyDescent="0.25">
      <c r="B48" s="205">
        <f t="shared" si="1"/>
        <v>0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0</v>
      </c>
    </row>
    <row r="49" spans="2:9" x14ac:dyDescent="0.25">
      <c r="B49" s="205">
        <f t="shared" si="1"/>
        <v>0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0</v>
      </c>
    </row>
    <row r="50" spans="2:9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0</v>
      </c>
    </row>
    <row r="51" spans="2:9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0</v>
      </c>
    </row>
    <row r="52" spans="2:9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0</v>
      </c>
    </row>
    <row r="53" spans="2:9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0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0</v>
      </c>
    </row>
    <row r="55" spans="2:9" x14ac:dyDescent="0.25">
      <c r="C55" s="53">
        <f>SUM(C9:C54)</f>
        <v>64</v>
      </c>
      <c r="D55" s="128">
        <f>SUM(D9:D54)</f>
        <v>1189.26</v>
      </c>
      <c r="E55" s="179"/>
      <c r="F55" s="128">
        <f>SUM(F9:F54)</f>
        <v>1189.26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62" t="s">
        <v>11</v>
      </c>
      <c r="D60" s="1163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8" t="s">
        <v>248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59" t="s">
        <v>67</v>
      </c>
      <c r="B4" s="506" t="s">
        <v>106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217.17</v>
      </c>
      <c r="H4" s="7">
        <f>E4-G4</f>
        <v>1779.81</v>
      </c>
    </row>
    <row r="5" spans="1:9" ht="16.5" thickBot="1" x14ac:dyDescent="0.3">
      <c r="A5" s="1159"/>
      <c r="B5" s="507" t="s">
        <v>416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85</v>
      </c>
      <c r="C7" s="15">
        <v>10</v>
      </c>
      <c r="D7" s="70">
        <v>217.17</v>
      </c>
      <c r="E7" s="342">
        <v>44559</v>
      </c>
      <c r="F7" s="70">
        <f t="shared" ref="F7:F52" si="0">D7</f>
        <v>217.17</v>
      </c>
      <c r="G7" s="71" t="s">
        <v>662</v>
      </c>
      <c r="H7" s="72">
        <v>53</v>
      </c>
      <c r="I7" s="272">
        <f>E5+E4-F7</f>
        <v>1779.81</v>
      </c>
    </row>
    <row r="8" spans="1:9" x14ac:dyDescent="0.25">
      <c r="A8" s="78"/>
      <c r="B8" s="205">
        <f t="shared" ref="B8:B51" si="1">B7-C8</f>
        <v>85</v>
      </c>
      <c r="C8" s="53"/>
      <c r="D8" s="70"/>
      <c r="E8" s="865"/>
      <c r="F8" s="277">
        <f t="shared" ref="F8:F13" si="2">D8</f>
        <v>0</v>
      </c>
      <c r="G8" s="278"/>
      <c r="H8" s="279"/>
      <c r="I8" s="272">
        <f>I7-F8</f>
        <v>1779.81</v>
      </c>
    </row>
    <row r="9" spans="1:9" x14ac:dyDescent="0.25">
      <c r="A9" s="12"/>
      <c r="B9" s="205">
        <f t="shared" si="1"/>
        <v>85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1779.81</v>
      </c>
    </row>
    <row r="10" spans="1:9" x14ac:dyDescent="0.25">
      <c r="A10" s="56" t="s">
        <v>33</v>
      </c>
      <c r="B10" s="205">
        <f t="shared" si="1"/>
        <v>85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1779.81</v>
      </c>
    </row>
    <row r="11" spans="1:9" x14ac:dyDescent="0.25">
      <c r="A11" s="78"/>
      <c r="B11" s="205">
        <f t="shared" si="1"/>
        <v>85</v>
      </c>
      <c r="C11" s="15"/>
      <c r="D11" s="70"/>
      <c r="E11" s="865"/>
      <c r="F11" s="277">
        <f t="shared" si="2"/>
        <v>0</v>
      </c>
      <c r="G11" s="278"/>
      <c r="H11" s="279"/>
      <c r="I11" s="272">
        <f t="shared" si="3"/>
        <v>1779.81</v>
      </c>
    </row>
    <row r="12" spans="1:9" x14ac:dyDescent="0.25">
      <c r="A12" s="12"/>
      <c r="B12" s="205">
        <f t="shared" si="1"/>
        <v>85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1779.81</v>
      </c>
    </row>
    <row r="13" spans="1:9" x14ac:dyDescent="0.25">
      <c r="B13" s="205">
        <f t="shared" si="1"/>
        <v>85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1779.81</v>
      </c>
    </row>
    <row r="14" spans="1:9" x14ac:dyDescent="0.25">
      <c r="B14" s="205">
        <f t="shared" si="1"/>
        <v>85</v>
      </c>
      <c r="C14" s="15"/>
      <c r="D14" s="70"/>
      <c r="E14" s="865"/>
      <c r="F14" s="277">
        <f t="shared" si="0"/>
        <v>0</v>
      </c>
      <c r="G14" s="278"/>
      <c r="H14" s="279"/>
      <c r="I14" s="272">
        <f t="shared" si="3"/>
        <v>1779.81</v>
      </c>
    </row>
    <row r="15" spans="1:9" x14ac:dyDescent="0.25">
      <c r="B15" s="205">
        <f t="shared" si="1"/>
        <v>85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1779.81</v>
      </c>
    </row>
    <row r="16" spans="1:9" x14ac:dyDescent="0.25">
      <c r="B16" s="205">
        <f t="shared" si="1"/>
        <v>85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1779.81</v>
      </c>
    </row>
    <row r="17" spans="2:9" x14ac:dyDescent="0.25">
      <c r="B17" s="205">
        <f t="shared" si="1"/>
        <v>85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1779.81</v>
      </c>
    </row>
    <row r="18" spans="2:9" x14ac:dyDescent="0.25">
      <c r="B18" s="205">
        <f t="shared" si="1"/>
        <v>85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1779.81</v>
      </c>
    </row>
    <row r="19" spans="2:9" x14ac:dyDescent="0.25">
      <c r="B19" s="205">
        <f t="shared" si="1"/>
        <v>85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1779.81</v>
      </c>
    </row>
    <row r="20" spans="2:9" x14ac:dyDescent="0.25">
      <c r="B20" s="205">
        <f t="shared" si="1"/>
        <v>85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1779.81</v>
      </c>
    </row>
    <row r="21" spans="2:9" x14ac:dyDescent="0.25">
      <c r="B21" s="205">
        <f t="shared" si="1"/>
        <v>85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1779.81</v>
      </c>
    </row>
    <row r="22" spans="2:9" x14ac:dyDescent="0.25">
      <c r="B22" s="205">
        <f t="shared" si="1"/>
        <v>85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1779.81</v>
      </c>
    </row>
    <row r="23" spans="2:9" x14ac:dyDescent="0.25">
      <c r="B23" s="205">
        <f t="shared" si="1"/>
        <v>85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1779.81</v>
      </c>
    </row>
    <row r="24" spans="2:9" x14ac:dyDescent="0.25">
      <c r="B24" s="205">
        <f t="shared" si="1"/>
        <v>85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1779.81</v>
      </c>
    </row>
    <row r="25" spans="2:9" x14ac:dyDescent="0.25">
      <c r="B25" s="205">
        <f t="shared" si="1"/>
        <v>85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1779.81</v>
      </c>
    </row>
    <row r="26" spans="2:9" x14ac:dyDescent="0.25">
      <c r="B26" s="205">
        <f t="shared" si="1"/>
        <v>85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1779.81</v>
      </c>
    </row>
    <row r="27" spans="2:9" x14ac:dyDescent="0.25">
      <c r="B27" s="205">
        <f t="shared" si="1"/>
        <v>85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1779.81</v>
      </c>
    </row>
    <row r="28" spans="2:9" x14ac:dyDescent="0.25">
      <c r="B28" s="205">
        <f t="shared" si="1"/>
        <v>85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1779.81</v>
      </c>
    </row>
    <row r="29" spans="2:9" x14ac:dyDescent="0.25">
      <c r="B29" s="205">
        <f t="shared" si="1"/>
        <v>85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1779.81</v>
      </c>
    </row>
    <row r="30" spans="2:9" x14ac:dyDescent="0.25">
      <c r="B30" s="205">
        <f t="shared" si="1"/>
        <v>85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1779.81</v>
      </c>
    </row>
    <row r="31" spans="2:9" x14ac:dyDescent="0.25">
      <c r="B31" s="205">
        <f t="shared" si="1"/>
        <v>85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1779.81</v>
      </c>
    </row>
    <row r="32" spans="2:9" x14ac:dyDescent="0.25">
      <c r="B32" s="205">
        <f t="shared" si="1"/>
        <v>85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1779.81</v>
      </c>
    </row>
    <row r="33" spans="2:9" x14ac:dyDescent="0.25">
      <c r="B33" s="205">
        <f t="shared" si="1"/>
        <v>85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1779.81</v>
      </c>
    </row>
    <row r="34" spans="2:9" x14ac:dyDescent="0.25">
      <c r="B34" s="205">
        <f t="shared" si="1"/>
        <v>85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1779.81</v>
      </c>
    </row>
    <row r="35" spans="2:9" x14ac:dyDescent="0.25">
      <c r="B35" s="205">
        <f t="shared" si="1"/>
        <v>85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1779.81</v>
      </c>
    </row>
    <row r="36" spans="2:9" x14ac:dyDescent="0.25">
      <c r="B36" s="205">
        <f t="shared" si="1"/>
        <v>85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1779.81</v>
      </c>
    </row>
    <row r="37" spans="2:9" x14ac:dyDescent="0.25">
      <c r="B37" s="205">
        <f t="shared" si="1"/>
        <v>85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1779.81</v>
      </c>
    </row>
    <row r="38" spans="2:9" x14ac:dyDescent="0.25">
      <c r="B38" s="205">
        <f t="shared" si="1"/>
        <v>85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1779.81</v>
      </c>
    </row>
    <row r="39" spans="2:9" x14ac:dyDescent="0.25">
      <c r="B39" s="205">
        <f t="shared" si="1"/>
        <v>85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1779.81</v>
      </c>
    </row>
    <row r="40" spans="2:9" x14ac:dyDescent="0.25">
      <c r="B40" s="205">
        <f t="shared" si="1"/>
        <v>85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1779.81</v>
      </c>
    </row>
    <row r="41" spans="2:9" x14ac:dyDescent="0.25">
      <c r="B41" s="205">
        <f t="shared" si="1"/>
        <v>85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1779.81</v>
      </c>
    </row>
    <row r="42" spans="2:9" x14ac:dyDescent="0.25">
      <c r="B42" s="205">
        <f t="shared" si="1"/>
        <v>85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1779.81</v>
      </c>
    </row>
    <row r="43" spans="2:9" x14ac:dyDescent="0.25">
      <c r="B43" s="205">
        <f t="shared" si="1"/>
        <v>85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1779.81</v>
      </c>
    </row>
    <row r="44" spans="2:9" x14ac:dyDescent="0.25">
      <c r="B44" s="205">
        <f t="shared" si="1"/>
        <v>85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1779.81</v>
      </c>
    </row>
    <row r="45" spans="2:9" x14ac:dyDescent="0.25">
      <c r="B45" s="205">
        <f t="shared" si="1"/>
        <v>85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1779.81</v>
      </c>
    </row>
    <row r="46" spans="2:9" x14ac:dyDescent="0.25">
      <c r="B46" s="205">
        <f t="shared" si="1"/>
        <v>85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1779.81</v>
      </c>
    </row>
    <row r="47" spans="2:9" x14ac:dyDescent="0.25">
      <c r="B47" s="205">
        <f t="shared" si="1"/>
        <v>85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1779.81</v>
      </c>
    </row>
    <row r="48" spans="2:9" x14ac:dyDescent="0.25">
      <c r="B48" s="205">
        <f t="shared" si="1"/>
        <v>85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1779.81</v>
      </c>
    </row>
    <row r="49" spans="2:9" x14ac:dyDescent="0.25">
      <c r="B49" s="205">
        <f t="shared" si="1"/>
        <v>85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1779.81</v>
      </c>
    </row>
    <row r="50" spans="2:9" x14ac:dyDescent="0.25">
      <c r="B50" s="205">
        <f t="shared" si="1"/>
        <v>85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1779.81</v>
      </c>
    </row>
    <row r="51" spans="2:9" x14ac:dyDescent="0.25">
      <c r="B51" s="205">
        <f t="shared" si="1"/>
        <v>85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1779.81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1779.81</v>
      </c>
    </row>
    <row r="53" spans="2:9" x14ac:dyDescent="0.25">
      <c r="C53" s="53">
        <f>SUM(C7:C52)</f>
        <v>10</v>
      </c>
      <c r="D53" s="128">
        <f>SUM(D7:D52)</f>
        <v>217.17</v>
      </c>
      <c r="E53" s="179"/>
      <c r="F53" s="128">
        <f>SUM(F7:F52)</f>
        <v>217.17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62" t="s">
        <v>11</v>
      </c>
      <c r="D58" s="1163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A4" workbookViewId="0">
      <selection activeCell="C29" sqref="C29:C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8" t="s">
        <v>248</v>
      </c>
      <c r="B1" s="1168"/>
      <c r="C1" s="1168"/>
      <c r="D1" s="1168"/>
      <c r="E1" s="1168"/>
      <c r="F1" s="1168"/>
      <c r="G1" s="116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181" t="s">
        <v>265</v>
      </c>
      <c r="B5" s="1183" t="s">
        <v>264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182"/>
      <c r="B6" s="1184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452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454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455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279"/>
      <c r="I11" s="312">
        <f t="shared" si="2"/>
        <v>-0.29500000000007276</v>
      </c>
      <c r="J11" s="313">
        <f t="shared" si="3"/>
        <v>0</v>
      </c>
      <c r="K11" s="316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279"/>
      <c r="I12" s="312">
        <f t="shared" si="2"/>
        <v>-0.29500000000007276</v>
      </c>
      <c r="J12" s="313">
        <f t="shared" si="3"/>
        <v>0</v>
      </c>
      <c r="K12" s="316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279"/>
      <c r="I13" s="312">
        <f t="shared" si="2"/>
        <v>-0.29500000000007276</v>
      </c>
      <c r="J13" s="313">
        <f t="shared" si="3"/>
        <v>0</v>
      </c>
      <c r="K13" s="316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279"/>
      <c r="I14" s="312">
        <f t="shared" si="2"/>
        <v>-0.29500000000007276</v>
      </c>
      <c r="J14" s="313">
        <f t="shared" si="3"/>
        <v>0</v>
      </c>
      <c r="K14" s="316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85" t="s">
        <v>11</v>
      </c>
      <c r="D56" s="1186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4" t="s">
        <v>248</v>
      </c>
      <c r="B1" s="1154"/>
      <c r="C1" s="1154"/>
      <c r="D1" s="1154"/>
      <c r="E1" s="1154"/>
      <c r="F1" s="1154"/>
      <c r="G1" s="115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87" t="s">
        <v>104</v>
      </c>
      <c r="C4" s="494"/>
      <c r="D4" s="275"/>
      <c r="E4" s="358"/>
      <c r="F4" s="328"/>
      <c r="G4" s="253"/>
    </row>
    <row r="5" spans="1:10" ht="15" customHeight="1" x14ac:dyDescent="0.25">
      <c r="A5" s="1181" t="s">
        <v>350</v>
      </c>
      <c r="B5" s="1188"/>
      <c r="C5" s="568">
        <v>79</v>
      </c>
      <c r="D5" s="326">
        <v>44551</v>
      </c>
      <c r="E5" s="327">
        <v>990</v>
      </c>
      <c r="F5" s="328">
        <v>66</v>
      </c>
      <c r="G5" s="317">
        <f>F52</f>
        <v>0</v>
      </c>
      <c r="H5" s="59">
        <f>E4+E5+E6-G5</f>
        <v>990</v>
      </c>
    </row>
    <row r="6" spans="1:10" ht="16.5" thickBot="1" x14ac:dyDescent="0.3">
      <c r="A6" s="1182"/>
      <c r="B6" s="1189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3"/>
      <c r="F8" s="70">
        <f t="shared" ref="F8:F51" si="0">D8</f>
        <v>0</v>
      </c>
      <c r="G8" s="278"/>
      <c r="H8" s="279"/>
      <c r="I8" s="312">
        <f>E5+E4-F8+E6</f>
        <v>990</v>
      </c>
      <c r="J8" s="313">
        <f>F4+F5+F6-C8</f>
        <v>66</v>
      </c>
    </row>
    <row r="9" spans="1:10" x14ac:dyDescent="0.25">
      <c r="A9" s="217"/>
      <c r="B9" s="84"/>
      <c r="C9" s="15"/>
      <c r="D9" s="314">
        <v>0</v>
      </c>
      <c r="E9" s="663"/>
      <c r="F9" s="70">
        <f t="shared" si="0"/>
        <v>0</v>
      </c>
      <c r="G9" s="278"/>
      <c r="H9" s="279"/>
      <c r="I9" s="312">
        <f>I8-F9</f>
        <v>990</v>
      </c>
      <c r="J9" s="313">
        <f>J8-C9</f>
        <v>66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990</v>
      </c>
      <c r="J10" s="313">
        <f t="shared" ref="J10:J50" si="2">J9-C10</f>
        <v>66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990</v>
      </c>
      <c r="J11" s="313">
        <f t="shared" si="2"/>
        <v>66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990</v>
      </c>
      <c r="J12" s="313">
        <f t="shared" si="2"/>
        <v>66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990</v>
      </c>
      <c r="J13" s="313">
        <f t="shared" si="2"/>
        <v>66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990</v>
      </c>
      <c r="J14" s="313">
        <f t="shared" si="2"/>
        <v>66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990</v>
      </c>
      <c r="J15" s="313">
        <f t="shared" si="2"/>
        <v>66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990</v>
      </c>
      <c r="J16" s="313">
        <f t="shared" si="2"/>
        <v>66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990</v>
      </c>
      <c r="J17" s="313">
        <f t="shared" si="2"/>
        <v>66</v>
      </c>
    </row>
    <row r="18" spans="1:10" x14ac:dyDescent="0.25">
      <c r="A18" s="2"/>
      <c r="B18" s="84"/>
      <c r="C18" s="15"/>
      <c r="D18" s="314">
        <f t="shared" si="3"/>
        <v>0</v>
      </c>
      <c r="E18" s="1047"/>
      <c r="F18" s="277">
        <f t="shared" si="0"/>
        <v>0</v>
      </c>
      <c r="G18" s="278"/>
      <c r="H18" s="279"/>
      <c r="I18" s="312">
        <f t="shared" si="1"/>
        <v>990</v>
      </c>
      <c r="J18" s="313">
        <f t="shared" si="2"/>
        <v>66</v>
      </c>
    </row>
    <row r="19" spans="1:10" x14ac:dyDescent="0.25">
      <c r="A19" s="2"/>
      <c r="B19" s="84"/>
      <c r="C19" s="15"/>
      <c r="D19" s="314">
        <f t="shared" si="3"/>
        <v>0</v>
      </c>
      <c r="E19" s="1047"/>
      <c r="F19" s="277">
        <f t="shared" si="0"/>
        <v>0</v>
      </c>
      <c r="G19" s="278"/>
      <c r="H19" s="279"/>
      <c r="I19" s="312">
        <f t="shared" si="1"/>
        <v>990</v>
      </c>
      <c r="J19" s="313">
        <f t="shared" si="2"/>
        <v>66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990</v>
      </c>
      <c r="J20" s="313">
        <f t="shared" si="2"/>
        <v>66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990</v>
      </c>
      <c r="J21" s="313">
        <f t="shared" si="2"/>
        <v>66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990</v>
      </c>
      <c r="J22" s="313">
        <f t="shared" si="2"/>
        <v>66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990</v>
      </c>
      <c r="J23" s="313">
        <f t="shared" si="2"/>
        <v>66</v>
      </c>
    </row>
    <row r="24" spans="1:10" x14ac:dyDescent="0.25">
      <c r="A24" s="2"/>
      <c r="B24" s="84"/>
      <c r="C24" s="15"/>
      <c r="D24" s="314">
        <f t="shared" si="3"/>
        <v>0</v>
      </c>
      <c r="E24" s="1048"/>
      <c r="F24" s="277">
        <f t="shared" si="0"/>
        <v>0</v>
      </c>
      <c r="G24" s="278"/>
      <c r="H24" s="279"/>
      <c r="I24" s="312">
        <f t="shared" si="4"/>
        <v>990</v>
      </c>
      <c r="J24" s="313">
        <f t="shared" si="2"/>
        <v>66</v>
      </c>
    </row>
    <row r="25" spans="1:10" x14ac:dyDescent="0.25">
      <c r="A25" s="2"/>
      <c r="B25" s="84"/>
      <c r="C25" s="15"/>
      <c r="D25" s="314">
        <f t="shared" si="3"/>
        <v>0</v>
      </c>
      <c r="E25" s="663"/>
      <c r="F25" s="70">
        <f t="shared" si="0"/>
        <v>0</v>
      </c>
      <c r="G25" s="278"/>
      <c r="H25" s="279"/>
      <c r="I25" s="312">
        <f t="shared" si="4"/>
        <v>990</v>
      </c>
      <c r="J25" s="313">
        <f t="shared" si="2"/>
        <v>66</v>
      </c>
    </row>
    <row r="26" spans="1:10" x14ac:dyDescent="0.25">
      <c r="A26" s="2"/>
      <c r="B26" s="84"/>
      <c r="C26" s="15"/>
      <c r="D26" s="314">
        <f t="shared" si="3"/>
        <v>0</v>
      </c>
      <c r="E26" s="663"/>
      <c r="F26" s="70">
        <f t="shared" si="0"/>
        <v>0</v>
      </c>
      <c r="G26" s="278"/>
      <c r="H26" s="279"/>
      <c r="I26" s="312">
        <f t="shared" si="4"/>
        <v>990</v>
      </c>
      <c r="J26" s="313">
        <f t="shared" si="2"/>
        <v>66</v>
      </c>
    </row>
    <row r="27" spans="1:10" x14ac:dyDescent="0.25">
      <c r="A27" s="197"/>
      <c r="B27" s="84"/>
      <c r="C27" s="15"/>
      <c r="D27" s="314">
        <f t="shared" si="3"/>
        <v>0</v>
      </c>
      <c r="E27" s="663"/>
      <c r="F27" s="70">
        <f t="shared" si="0"/>
        <v>0</v>
      </c>
      <c r="G27" s="278"/>
      <c r="H27" s="279"/>
      <c r="I27" s="312">
        <f t="shared" si="4"/>
        <v>990</v>
      </c>
      <c r="J27" s="313">
        <f t="shared" si="2"/>
        <v>66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990</v>
      </c>
      <c r="J28" s="313">
        <f t="shared" si="2"/>
        <v>66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990</v>
      </c>
      <c r="J29" s="313">
        <f t="shared" si="2"/>
        <v>66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990</v>
      </c>
      <c r="J30" s="313">
        <f t="shared" si="2"/>
        <v>66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990</v>
      </c>
      <c r="J31" s="313">
        <f t="shared" si="2"/>
        <v>66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990</v>
      </c>
      <c r="J32" s="313">
        <f t="shared" si="2"/>
        <v>66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990</v>
      </c>
      <c r="J33" s="249">
        <f t="shared" si="2"/>
        <v>66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990</v>
      </c>
      <c r="J34" s="249">
        <f t="shared" si="2"/>
        <v>66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990</v>
      </c>
      <c r="J35" s="313">
        <f t="shared" si="2"/>
        <v>66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990</v>
      </c>
      <c r="J36" s="313">
        <f t="shared" si="2"/>
        <v>66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990</v>
      </c>
      <c r="J37" s="313">
        <f t="shared" si="2"/>
        <v>66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990</v>
      </c>
      <c r="J38" s="313">
        <f t="shared" si="2"/>
        <v>66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990</v>
      </c>
      <c r="J39" s="313">
        <f t="shared" si="2"/>
        <v>66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990</v>
      </c>
      <c r="J40" s="313">
        <f t="shared" si="2"/>
        <v>66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990</v>
      </c>
      <c r="J41" s="249">
        <f t="shared" si="2"/>
        <v>66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990</v>
      </c>
      <c r="J42" s="249">
        <f t="shared" si="2"/>
        <v>66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990</v>
      </c>
      <c r="J43" s="249">
        <f t="shared" si="2"/>
        <v>66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990</v>
      </c>
      <c r="J44" s="249">
        <f t="shared" si="2"/>
        <v>66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990</v>
      </c>
      <c r="J45" s="249">
        <f t="shared" si="2"/>
        <v>66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990</v>
      </c>
      <c r="J46" s="249">
        <f t="shared" si="2"/>
        <v>66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990</v>
      </c>
      <c r="J47" s="249">
        <f t="shared" si="2"/>
        <v>66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990</v>
      </c>
      <c r="J48" s="249">
        <f t="shared" si="2"/>
        <v>66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990</v>
      </c>
      <c r="J49" s="249">
        <f t="shared" si="2"/>
        <v>66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990</v>
      </c>
      <c r="J50" s="249">
        <f t="shared" si="2"/>
        <v>66</v>
      </c>
    </row>
    <row r="51" spans="1:10" ht="15.75" thickBot="1" x14ac:dyDescent="0.3">
      <c r="A51" s="4"/>
      <c r="B51" s="75"/>
      <c r="C51" s="37"/>
      <c r="D51" s="668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66</v>
      </c>
    </row>
    <row r="54" spans="1:10" ht="15.75" thickBot="1" x14ac:dyDescent="0.3">
      <c r="A54" s="123"/>
    </row>
    <row r="55" spans="1:10" ht="16.5" thickTop="1" thickBot="1" x14ac:dyDescent="0.3">
      <c r="A55" s="47"/>
      <c r="C55" s="1185" t="s">
        <v>11</v>
      </c>
      <c r="D55" s="1186"/>
      <c r="E55" s="152">
        <f>E5+E4+E6+-F52</f>
        <v>990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M1" zoomScaleNormal="100" workbookViewId="0">
      <selection activeCell="MQ14" sqref="MQ14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9" bestFit="1" customWidth="1"/>
    <col min="80" max="80" width="13.85546875" style="62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9" customWidth="1"/>
    <col min="90" max="90" width="11.42578125" style="62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60" t="s">
        <v>254</v>
      </c>
      <c r="L1" s="1160"/>
      <c r="M1" s="1160"/>
      <c r="N1" s="1160"/>
      <c r="O1" s="1160"/>
      <c r="P1" s="1160"/>
      <c r="Q1" s="1160"/>
      <c r="R1" s="378">
        <f>I1+1</f>
        <v>1</v>
      </c>
      <c r="S1" s="378"/>
      <c r="U1" s="1154" t="str">
        <f>K1</f>
        <v>ENTRADAS DEL MES DE   DICIEMBRE      2021</v>
      </c>
      <c r="V1" s="1154"/>
      <c r="W1" s="1154"/>
      <c r="X1" s="1154"/>
      <c r="Y1" s="1154"/>
      <c r="Z1" s="1154"/>
      <c r="AA1" s="1154"/>
      <c r="AB1" s="378">
        <f>R1+1</f>
        <v>2</v>
      </c>
      <c r="AC1" s="633"/>
      <c r="AE1" s="1154" t="str">
        <f>U1</f>
        <v>ENTRADAS DEL MES DE   DICIEMBRE      2021</v>
      </c>
      <c r="AF1" s="1154"/>
      <c r="AG1" s="1154"/>
      <c r="AH1" s="1154"/>
      <c r="AI1" s="1154"/>
      <c r="AJ1" s="1154"/>
      <c r="AK1" s="1154"/>
      <c r="AL1" s="378">
        <f>AB1+1</f>
        <v>3</v>
      </c>
      <c r="AM1" s="378"/>
      <c r="AO1" s="1154" t="str">
        <f>AE1</f>
        <v>ENTRADAS DEL MES DE   DICIEMBRE      2021</v>
      </c>
      <c r="AP1" s="1154"/>
      <c r="AQ1" s="1154"/>
      <c r="AR1" s="1154"/>
      <c r="AS1" s="1154"/>
      <c r="AT1" s="1154"/>
      <c r="AU1" s="1154"/>
      <c r="AV1" s="378">
        <f>AL1+1</f>
        <v>4</v>
      </c>
      <c r="AW1" s="633"/>
      <c r="AY1" s="1154" t="str">
        <f>AO1</f>
        <v>ENTRADAS DEL MES DE   DICIEMBRE      2021</v>
      </c>
      <c r="AZ1" s="1154"/>
      <c r="BA1" s="1154"/>
      <c r="BB1" s="1154"/>
      <c r="BC1" s="1154"/>
      <c r="BD1" s="1154"/>
      <c r="BE1" s="1154"/>
      <c r="BF1" s="378">
        <f>AV1+1</f>
        <v>5</v>
      </c>
      <c r="BG1" s="674"/>
      <c r="BI1" s="1154" t="str">
        <f>AY1</f>
        <v>ENTRADAS DEL MES DE   DICIEMBRE      2021</v>
      </c>
      <c r="BJ1" s="1154"/>
      <c r="BK1" s="1154"/>
      <c r="BL1" s="1154"/>
      <c r="BM1" s="1154"/>
      <c r="BN1" s="1154"/>
      <c r="BO1" s="1154"/>
      <c r="BP1" s="378">
        <f>BF1+1</f>
        <v>6</v>
      </c>
      <c r="BQ1" s="633"/>
      <c r="BS1" s="1154" t="str">
        <f>BI1</f>
        <v>ENTRADAS DEL MES DE   DICIEMBRE      2021</v>
      </c>
      <c r="BT1" s="1154"/>
      <c r="BU1" s="1154"/>
      <c r="BV1" s="1154"/>
      <c r="BW1" s="1154"/>
      <c r="BX1" s="1154"/>
      <c r="BY1" s="1154"/>
      <c r="BZ1" s="378">
        <f>BP1+1</f>
        <v>7</v>
      </c>
      <c r="CC1" s="1154" t="str">
        <f>BS1</f>
        <v>ENTRADAS DEL MES DE   DICIEMBRE      2021</v>
      </c>
      <c r="CD1" s="1154"/>
      <c r="CE1" s="1154"/>
      <c r="CF1" s="1154"/>
      <c r="CG1" s="1154"/>
      <c r="CH1" s="1154"/>
      <c r="CI1" s="1154"/>
      <c r="CJ1" s="378">
        <f>BZ1+1</f>
        <v>8</v>
      </c>
      <c r="CM1" s="1154" t="str">
        <f>CC1</f>
        <v>ENTRADAS DEL MES DE   DICIEMBRE      2021</v>
      </c>
      <c r="CN1" s="1154"/>
      <c r="CO1" s="1154"/>
      <c r="CP1" s="1154"/>
      <c r="CQ1" s="1154"/>
      <c r="CR1" s="1154"/>
      <c r="CS1" s="1154"/>
      <c r="CT1" s="378">
        <f>CJ1+1</f>
        <v>9</v>
      </c>
      <c r="CU1" s="633"/>
      <c r="CW1" s="1154" t="str">
        <f>CM1</f>
        <v>ENTRADAS DEL MES DE   DICIEMBRE      2021</v>
      </c>
      <c r="CX1" s="1154"/>
      <c r="CY1" s="1154"/>
      <c r="CZ1" s="1154"/>
      <c r="DA1" s="1154"/>
      <c r="DB1" s="1154"/>
      <c r="DC1" s="1154"/>
      <c r="DD1" s="378">
        <f>CT1+1</f>
        <v>10</v>
      </c>
      <c r="DE1" s="633"/>
      <c r="DG1" s="1154" t="str">
        <f>CW1</f>
        <v>ENTRADAS DEL MES DE   DICIEMBRE      2021</v>
      </c>
      <c r="DH1" s="1154"/>
      <c r="DI1" s="1154"/>
      <c r="DJ1" s="1154"/>
      <c r="DK1" s="1154"/>
      <c r="DL1" s="1154"/>
      <c r="DM1" s="1154"/>
      <c r="DN1" s="378">
        <f>DD1+1</f>
        <v>11</v>
      </c>
      <c r="DO1" s="633"/>
      <c r="DQ1" s="1154" t="str">
        <f>DG1</f>
        <v>ENTRADAS DEL MES DE   DICIEMBRE      2021</v>
      </c>
      <c r="DR1" s="1154"/>
      <c r="DS1" s="1154"/>
      <c r="DT1" s="1154"/>
      <c r="DU1" s="1154"/>
      <c r="DV1" s="1154"/>
      <c r="DW1" s="1154"/>
      <c r="DX1" s="378">
        <f>DN1+1</f>
        <v>12</v>
      </c>
      <c r="EA1" s="1154" t="str">
        <f>DQ1</f>
        <v>ENTRADAS DEL MES DE   DICIEMBRE      2021</v>
      </c>
      <c r="EB1" s="1154"/>
      <c r="EC1" s="1154"/>
      <c r="ED1" s="1154"/>
      <c r="EE1" s="1154"/>
      <c r="EF1" s="1154"/>
      <c r="EG1" s="1154"/>
      <c r="EH1" s="378">
        <f>DX1+1</f>
        <v>13</v>
      </c>
      <c r="EI1" s="633"/>
      <c r="EK1" s="1154" t="str">
        <f>EA1</f>
        <v>ENTRADAS DEL MES DE   DICIEMBRE      2021</v>
      </c>
      <c r="EL1" s="1154"/>
      <c r="EM1" s="1154"/>
      <c r="EN1" s="1154"/>
      <c r="EO1" s="1154"/>
      <c r="EP1" s="1154"/>
      <c r="EQ1" s="1154"/>
      <c r="ER1" s="378">
        <f>EH1+1</f>
        <v>14</v>
      </c>
      <c r="ES1" s="633"/>
      <c r="EU1" s="1154" t="str">
        <f>EK1</f>
        <v>ENTRADAS DEL MES DE   DICIEMBRE      2021</v>
      </c>
      <c r="EV1" s="1154"/>
      <c r="EW1" s="1154"/>
      <c r="EX1" s="1154"/>
      <c r="EY1" s="1154"/>
      <c r="EZ1" s="1154"/>
      <c r="FA1" s="1154"/>
      <c r="FB1" s="378">
        <f>ER1+1</f>
        <v>15</v>
      </c>
      <c r="FC1" s="633"/>
      <c r="FE1" s="1154" t="str">
        <f>EU1</f>
        <v>ENTRADAS DEL MES DE   DICIEMBRE      2021</v>
      </c>
      <c r="FF1" s="1154"/>
      <c r="FG1" s="1154"/>
      <c r="FH1" s="1154"/>
      <c r="FI1" s="1154"/>
      <c r="FJ1" s="1154"/>
      <c r="FK1" s="1154"/>
      <c r="FL1" s="378">
        <f>FB1+1</f>
        <v>16</v>
      </c>
      <c r="FM1" s="633"/>
      <c r="FO1" s="1154" t="str">
        <f>FE1</f>
        <v>ENTRADAS DEL MES DE   DICIEMBRE      2021</v>
      </c>
      <c r="FP1" s="1154"/>
      <c r="FQ1" s="1154"/>
      <c r="FR1" s="1154"/>
      <c r="FS1" s="1154"/>
      <c r="FT1" s="1154"/>
      <c r="FU1" s="1154"/>
      <c r="FV1" s="378">
        <f>FL1+1</f>
        <v>17</v>
      </c>
      <c r="FW1" s="633"/>
      <c r="FY1" s="1154" t="str">
        <f>FO1</f>
        <v>ENTRADAS DEL MES DE   DICIEMBRE      2021</v>
      </c>
      <c r="FZ1" s="1154"/>
      <c r="GA1" s="1154"/>
      <c r="GB1" s="1154"/>
      <c r="GC1" s="1154"/>
      <c r="GD1" s="1154"/>
      <c r="GE1" s="1154"/>
      <c r="GF1" s="378">
        <f>FV1+1</f>
        <v>18</v>
      </c>
      <c r="GG1" s="633"/>
      <c r="GH1" s="76" t="s">
        <v>37</v>
      </c>
      <c r="GI1" s="1154" t="str">
        <f>FY1</f>
        <v>ENTRADAS DEL MES DE   DICIEMBRE      2021</v>
      </c>
      <c r="GJ1" s="1154"/>
      <c r="GK1" s="1154"/>
      <c r="GL1" s="1154"/>
      <c r="GM1" s="1154"/>
      <c r="GN1" s="1154"/>
      <c r="GO1" s="1154"/>
      <c r="GP1" s="378">
        <f>GF1+1</f>
        <v>19</v>
      </c>
      <c r="GQ1" s="633"/>
      <c r="GS1" s="1154" t="str">
        <f>GI1</f>
        <v>ENTRADAS DEL MES DE   DICIEMBRE      2021</v>
      </c>
      <c r="GT1" s="1154"/>
      <c r="GU1" s="1154"/>
      <c r="GV1" s="1154"/>
      <c r="GW1" s="1154"/>
      <c r="GX1" s="1154"/>
      <c r="GY1" s="1154"/>
      <c r="GZ1" s="378">
        <f>GP1+1</f>
        <v>20</v>
      </c>
      <c r="HA1" s="633"/>
      <c r="HC1" s="1154" t="str">
        <f>GS1</f>
        <v>ENTRADAS DEL MES DE   DICIEMBRE      2021</v>
      </c>
      <c r="HD1" s="1154"/>
      <c r="HE1" s="1154"/>
      <c r="HF1" s="1154"/>
      <c r="HG1" s="1154"/>
      <c r="HH1" s="1154"/>
      <c r="HI1" s="1154"/>
      <c r="HJ1" s="378">
        <f>GZ1+1</f>
        <v>21</v>
      </c>
      <c r="HK1" s="633"/>
      <c r="HM1" s="1154" t="str">
        <f>HC1</f>
        <v>ENTRADAS DEL MES DE   DICIEMBRE      2021</v>
      </c>
      <c r="HN1" s="1154"/>
      <c r="HO1" s="1154"/>
      <c r="HP1" s="1154"/>
      <c r="HQ1" s="1154"/>
      <c r="HR1" s="1154"/>
      <c r="HS1" s="1154"/>
      <c r="HT1" s="378">
        <f>HJ1+1</f>
        <v>22</v>
      </c>
      <c r="HU1" s="633"/>
      <c r="HW1" s="1154" t="str">
        <f>HM1</f>
        <v>ENTRADAS DEL MES DE   DICIEMBRE      2021</v>
      </c>
      <c r="HX1" s="1154"/>
      <c r="HY1" s="1154"/>
      <c r="HZ1" s="1154"/>
      <c r="IA1" s="1154"/>
      <c r="IB1" s="1154"/>
      <c r="IC1" s="1154"/>
      <c r="ID1" s="378">
        <f>HT1+1</f>
        <v>23</v>
      </c>
      <c r="IE1" s="633"/>
      <c r="IG1" s="1154" t="str">
        <f>HW1</f>
        <v>ENTRADAS DEL MES DE   DICIEMBRE      2021</v>
      </c>
      <c r="IH1" s="1154"/>
      <c r="II1" s="1154"/>
      <c r="IJ1" s="1154"/>
      <c r="IK1" s="1154"/>
      <c r="IL1" s="1154"/>
      <c r="IM1" s="1154"/>
      <c r="IN1" s="378">
        <f>ID1+1</f>
        <v>24</v>
      </c>
      <c r="IO1" s="633"/>
      <c r="IQ1" s="1154" t="str">
        <f>IG1</f>
        <v>ENTRADAS DEL MES DE   DICIEMBRE      2021</v>
      </c>
      <c r="IR1" s="1154"/>
      <c r="IS1" s="1154"/>
      <c r="IT1" s="1154"/>
      <c r="IU1" s="1154"/>
      <c r="IV1" s="1154"/>
      <c r="IW1" s="1154"/>
      <c r="IX1" s="378">
        <f>IN1+1</f>
        <v>25</v>
      </c>
      <c r="IY1" s="633"/>
      <c r="JA1" s="1154" t="str">
        <f>IQ1</f>
        <v>ENTRADAS DEL MES DE   DICIEMBRE      2021</v>
      </c>
      <c r="JB1" s="1154"/>
      <c r="JC1" s="1154"/>
      <c r="JD1" s="1154"/>
      <c r="JE1" s="1154"/>
      <c r="JF1" s="1154"/>
      <c r="JG1" s="1154"/>
      <c r="JH1" s="378">
        <f>IX1+1</f>
        <v>26</v>
      </c>
      <c r="JI1" s="633"/>
      <c r="JK1" s="1155" t="str">
        <f>JA1</f>
        <v>ENTRADAS DEL MES DE   DICIEMBRE      2021</v>
      </c>
      <c r="JL1" s="1155"/>
      <c r="JM1" s="1155"/>
      <c r="JN1" s="1155"/>
      <c r="JO1" s="1155"/>
      <c r="JP1" s="1155"/>
      <c r="JQ1" s="1155"/>
      <c r="JR1" s="378">
        <f>JH1+1</f>
        <v>27</v>
      </c>
      <c r="JS1" s="633"/>
      <c r="JU1" s="1154" t="str">
        <f>JK1</f>
        <v>ENTRADAS DEL MES DE   DICIEMBRE      2021</v>
      </c>
      <c r="JV1" s="1154"/>
      <c r="JW1" s="1154"/>
      <c r="JX1" s="1154"/>
      <c r="JY1" s="1154"/>
      <c r="JZ1" s="1154"/>
      <c r="KA1" s="1154"/>
      <c r="KB1" s="378">
        <f>JR1+1</f>
        <v>28</v>
      </c>
      <c r="KC1" s="633"/>
      <c r="KE1" s="1154" t="str">
        <f>JU1</f>
        <v>ENTRADAS DEL MES DE   DICIEMBRE      2021</v>
      </c>
      <c r="KF1" s="1154"/>
      <c r="KG1" s="1154"/>
      <c r="KH1" s="1154"/>
      <c r="KI1" s="1154"/>
      <c r="KJ1" s="1154"/>
      <c r="KK1" s="1154"/>
      <c r="KL1" s="378">
        <f>KB1+1</f>
        <v>29</v>
      </c>
      <c r="KM1" s="633"/>
      <c r="KO1" s="1154" t="str">
        <f>KE1</f>
        <v>ENTRADAS DEL MES DE   DICIEMBRE      2021</v>
      </c>
      <c r="KP1" s="1154"/>
      <c r="KQ1" s="1154"/>
      <c r="KR1" s="1154"/>
      <c r="KS1" s="1154"/>
      <c r="KT1" s="1154"/>
      <c r="KU1" s="1154"/>
      <c r="KV1" s="378">
        <f>KL1+1</f>
        <v>30</v>
      </c>
      <c r="KW1" s="633"/>
      <c r="KY1" s="1154" t="str">
        <f>KO1</f>
        <v>ENTRADAS DEL MES DE   DICIEMBRE      2021</v>
      </c>
      <c r="KZ1" s="1154"/>
      <c r="LA1" s="1154"/>
      <c r="LB1" s="1154"/>
      <c r="LC1" s="1154"/>
      <c r="LD1" s="1154"/>
      <c r="LE1" s="1154"/>
      <c r="LF1" s="378">
        <f>KV1+1</f>
        <v>31</v>
      </c>
      <c r="LG1" s="633"/>
      <c r="LI1" s="1154" t="str">
        <f>KY1</f>
        <v>ENTRADAS DEL MES DE   DICIEMBRE      2021</v>
      </c>
      <c r="LJ1" s="1154"/>
      <c r="LK1" s="1154"/>
      <c r="LL1" s="1154"/>
      <c r="LM1" s="1154"/>
      <c r="LN1" s="1154"/>
      <c r="LO1" s="1154"/>
      <c r="LP1" s="378">
        <f>LF1+1</f>
        <v>32</v>
      </c>
      <c r="LQ1" s="633"/>
      <c r="LS1" s="1154" t="str">
        <f>LI1</f>
        <v>ENTRADAS DEL MES DE   DICIEMBRE      2021</v>
      </c>
      <c r="LT1" s="1154"/>
      <c r="LU1" s="1154"/>
      <c r="LV1" s="1154"/>
      <c r="LW1" s="1154"/>
      <c r="LX1" s="1154"/>
      <c r="LY1" s="1154"/>
      <c r="LZ1" s="378">
        <f>LP1+1</f>
        <v>33</v>
      </c>
      <c r="MC1" s="1154" t="str">
        <f>LS1</f>
        <v>ENTRADAS DEL MES DE   DICIEMBRE      2021</v>
      </c>
      <c r="MD1" s="1154"/>
      <c r="ME1" s="1154"/>
      <c r="MF1" s="1154"/>
      <c r="MG1" s="1154"/>
      <c r="MH1" s="1154"/>
      <c r="MI1" s="1154"/>
      <c r="MJ1" s="378">
        <f>LZ1+1</f>
        <v>34</v>
      </c>
      <c r="MK1" s="378"/>
      <c r="MM1" s="1154" t="str">
        <f>MC1</f>
        <v>ENTRADAS DEL MES DE   DICIEMBRE      2021</v>
      </c>
      <c r="MN1" s="1154"/>
      <c r="MO1" s="1154"/>
      <c r="MP1" s="1154"/>
      <c r="MQ1" s="1154"/>
      <c r="MR1" s="1154"/>
      <c r="MS1" s="1154"/>
      <c r="MT1" s="378">
        <f>MJ1+1</f>
        <v>35</v>
      </c>
      <c r="MU1" s="378"/>
      <c r="MW1" s="1154" t="str">
        <f>MM1</f>
        <v>ENTRADAS DEL MES DE   DICIEMBRE      2021</v>
      </c>
      <c r="MX1" s="1154"/>
      <c r="MY1" s="1154"/>
      <c r="MZ1" s="1154"/>
      <c r="NA1" s="1154"/>
      <c r="NB1" s="1154"/>
      <c r="NC1" s="1154"/>
      <c r="ND1" s="378">
        <f>MT1+1</f>
        <v>36</v>
      </c>
      <c r="NE1" s="378"/>
      <c r="NG1" s="1154" t="str">
        <f>MW1</f>
        <v>ENTRADAS DEL MES DE   DICIEMBRE      2021</v>
      </c>
      <c r="NH1" s="1154"/>
      <c r="NI1" s="1154"/>
      <c r="NJ1" s="1154"/>
      <c r="NK1" s="1154"/>
      <c r="NL1" s="1154"/>
      <c r="NM1" s="1154"/>
      <c r="NN1" s="378">
        <f>ND1+1</f>
        <v>37</v>
      </c>
      <c r="NO1" s="378"/>
      <c r="NQ1" s="1154" t="str">
        <f>NG1</f>
        <v>ENTRADAS DEL MES DE   DICIEMBRE      2021</v>
      </c>
      <c r="NR1" s="1154"/>
      <c r="NS1" s="1154"/>
      <c r="NT1" s="1154"/>
      <c r="NU1" s="1154"/>
      <c r="NV1" s="1154"/>
      <c r="NW1" s="1154"/>
      <c r="NX1" s="378">
        <f>NN1+1</f>
        <v>38</v>
      </c>
      <c r="NY1" s="378"/>
      <c r="OA1" s="1154" t="str">
        <f>NQ1</f>
        <v>ENTRADAS DEL MES DE   DICIEMBRE      2021</v>
      </c>
      <c r="OB1" s="1154"/>
      <c r="OC1" s="1154"/>
      <c r="OD1" s="1154"/>
      <c r="OE1" s="1154"/>
      <c r="OF1" s="1154"/>
      <c r="OG1" s="1154"/>
      <c r="OH1" s="378">
        <f>NX1+1</f>
        <v>39</v>
      </c>
      <c r="OI1" s="378"/>
      <c r="OK1" s="1154" t="str">
        <f>OA1</f>
        <v>ENTRADAS DEL MES DE   DICIEMBRE      2021</v>
      </c>
      <c r="OL1" s="1154"/>
      <c r="OM1" s="1154"/>
      <c r="ON1" s="1154"/>
      <c r="OO1" s="1154"/>
      <c r="OP1" s="1154"/>
      <c r="OQ1" s="1154"/>
      <c r="OR1" s="378">
        <f>OH1+1</f>
        <v>40</v>
      </c>
      <c r="OS1" s="378"/>
      <c r="OU1" s="1154" t="str">
        <f>OK1</f>
        <v>ENTRADAS DEL MES DE   DICIEMBRE      2021</v>
      </c>
      <c r="OV1" s="1154"/>
      <c r="OW1" s="1154"/>
      <c r="OX1" s="1154"/>
      <c r="OY1" s="1154"/>
      <c r="OZ1" s="1154"/>
      <c r="PA1" s="1154"/>
      <c r="PB1" s="378">
        <f>OR1+1</f>
        <v>41</v>
      </c>
      <c r="PC1" s="378"/>
      <c r="PE1" s="1154" t="str">
        <f>OU1</f>
        <v>ENTRADAS DEL MES DE   DICIEMBRE      2021</v>
      </c>
      <c r="PF1" s="1154"/>
      <c r="PG1" s="1154"/>
      <c r="PH1" s="1154"/>
      <c r="PI1" s="1154"/>
      <c r="PJ1" s="1154"/>
      <c r="PK1" s="1154"/>
      <c r="PL1" s="378">
        <f>PB1+1</f>
        <v>42</v>
      </c>
      <c r="PM1" s="378"/>
      <c r="PO1" s="1154" t="str">
        <f>PE1</f>
        <v>ENTRADAS DEL MES DE   DICIEMBRE      2021</v>
      </c>
      <c r="PP1" s="1154"/>
      <c r="PQ1" s="1154"/>
      <c r="PR1" s="1154"/>
      <c r="PS1" s="1154"/>
      <c r="PT1" s="1154"/>
      <c r="PU1" s="1154"/>
      <c r="PV1" s="378">
        <f>PL1+1</f>
        <v>43</v>
      </c>
      <c r="PX1" s="1154" t="str">
        <f>PO1</f>
        <v>ENTRADAS DEL MES DE   DICIEMBRE      2021</v>
      </c>
      <c r="PY1" s="1154"/>
      <c r="PZ1" s="1154"/>
      <c r="QA1" s="1154"/>
      <c r="QB1" s="1154"/>
      <c r="QC1" s="1154"/>
      <c r="QD1" s="1154"/>
      <c r="QE1" s="378">
        <f>PV1+1</f>
        <v>44</v>
      </c>
      <c r="QG1" s="1154" t="str">
        <f>PX1</f>
        <v>ENTRADAS DEL MES DE   DICIEMBRE      2021</v>
      </c>
      <c r="QH1" s="1154"/>
      <c r="QI1" s="1154"/>
      <c r="QJ1" s="1154"/>
      <c r="QK1" s="1154"/>
      <c r="QL1" s="1154"/>
      <c r="QM1" s="1154"/>
      <c r="QN1" s="378">
        <f>QE1+1</f>
        <v>45</v>
      </c>
      <c r="QP1" s="1154" t="str">
        <f>QG1</f>
        <v>ENTRADAS DEL MES DE   DICIEMBRE      2021</v>
      </c>
      <c r="QQ1" s="1154"/>
      <c r="QR1" s="1154"/>
      <c r="QS1" s="1154"/>
      <c r="QT1" s="1154"/>
      <c r="QU1" s="1154"/>
      <c r="QV1" s="1154"/>
      <c r="QW1" s="378">
        <f>QN1+1</f>
        <v>46</v>
      </c>
      <c r="QY1" s="1154" t="str">
        <f>QP1</f>
        <v>ENTRADAS DEL MES DE   DICIEMBRE      2021</v>
      </c>
      <c r="QZ1" s="1154"/>
      <c r="RA1" s="1154"/>
      <c r="RB1" s="1154"/>
      <c r="RC1" s="1154"/>
      <c r="RD1" s="1154"/>
      <c r="RE1" s="1154"/>
      <c r="RF1" s="378">
        <f>QW1+1</f>
        <v>47</v>
      </c>
      <c r="RH1" s="1154" t="str">
        <f>QY1</f>
        <v>ENTRADAS DEL MES DE   DICIEMBRE      2021</v>
      </c>
      <c r="RI1" s="1154"/>
      <c r="RJ1" s="1154"/>
      <c r="RK1" s="1154"/>
      <c r="RL1" s="1154"/>
      <c r="RM1" s="1154"/>
      <c r="RN1" s="1154"/>
      <c r="RO1" s="378">
        <f>RF1+1</f>
        <v>48</v>
      </c>
      <c r="RQ1" s="1154" t="str">
        <f>RH1</f>
        <v>ENTRADAS DEL MES DE   DICIEMBRE      2021</v>
      </c>
      <c r="RR1" s="1154"/>
      <c r="RS1" s="1154"/>
      <c r="RT1" s="1154"/>
      <c r="RU1" s="1154"/>
      <c r="RV1" s="1154"/>
      <c r="RW1" s="1154"/>
      <c r="RX1" s="378">
        <f>RO1+1</f>
        <v>49</v>
      </c>
      <c r="RZ1" s="1154" t="str">
        <f>RQ1</f>
        <v>ENTRADAS DEL MES DE   DICIEMBRE      2021</v>
      </c>
      <c r="SA1" s="1154"/>
      <c r="SB1" s="1154"/>
      <c r="SC1" s="1154"/>
      <c r="SD1" s="1154"/>
      <c r="SE1" s="1154"/>
      <c r="SF1" s="1154"/>
      <c r="SG1" s="378">
        <f>RX1+1</f>
        <v>50</v>
      </c>
      <c r="SI1" s="1154" t="str">
        <f>RZ1</f>
        <v>ENTRADAS DEL MES DE   DICIEMBRE      2021</v>
      </c>
      <c r="SJ1" s="1154"/>
      <c r="SK1" s="1154"/>
      <c r="SL1" s="1154"/>
      <c r="SM1" s="1154"/>
      <c r="SN1" s="1154"/>
      <c r="SO1" s="1154"/>
      <c r="SP1" s="378">
        <f>SG1+1</f>
        <v>51</v>
      </c>
      <c r="SR1" s="1154" t="str">
        <f>SI1</f>
        <v>ENTRADAS DEL MES DE   DICIEMBRE      2021</v>
      </c>
      <c r="SS1" s="1154"/>
      <c r="ST1" s="1154"/>
      <c r="SU1" s="1154"/>
      <c r="SV1" s="1154"/>
      <c r="SW1" s="1154"/>
      <c r="SX1" s="1154"/>
      <c r="SY1" s="378">
        <f>SP1+1</f>
        <v>52</v>
      </c>
      <c r="TA1" s="1154" t="str">
        <f>SR1</f>
        <v>ENTRADAS DEL MES DE   DICIEMBRE      2021</v>
      </c>
      <c r="TB1" s="1154"/>
      <c r="TC1" s="1154"/>
      <c r="TD1" s="1154"/>
      <c r="TE1" s="1154"/>
      <c r="TF1" s="1154"/>
      <c r="TG1" s="1154"/>
      <c r="TH1" s="378">
        <f>SY1+1</f>
        <v>53</v>
      </c>
      <c r="TJ1" s="1154" t="str">
        <f>TA1</f>
        <v>ENTRADAS DEL MES DE   DICIEMBRE      2021</v>
      </c>
      <c r="TK1" s="1154"/>
      <c r="TL1" s="1154"/>
      <c r="TM1" s="1154"/>
      <c r="TN1" s="1154"/>
      <c r="TO1" s="1154"/>
      <c r="TP1" s="1154"/>
      <c r="TQ1" s="378">
        <f>TH1+1</f>
        <v>54</v>
      </c>
      <c r="TS1" s="1154" t="str">
        <f>TJ1</f>
        <v>ENTRADAS DEL MES DE   DICIEMBRE      2021</v>
      </c>
      <c r="TT1" s="1154"/>
      <c r="TU1" s="1154"/>
      <c r="TV1" s="1154"/>
      <c r="TW1" s="1154"/>
      <c r="TX1" s="1154"/>
      <c r="TY1" s="1154"/>
      <c r="TZ1" s="378">
        <f>TQ1+1</f>
        <v>55</v>
      </c>
      <c r="UB1" s="1154" t="str">
        <f>TS1</f>
        <v>ENTRADAS DEL MES DE   DICIEMBRE      2021</v>
      </c>
      <c r="UC1" s="1154"/>
      <c r="UD1" s="1154"/>
      <c r="UE1" s="1154"/>
      <c r="UF1" s="1154"/>
      <c r="UG1" s="1154"/>
      <c r="UH1" s="1154"/>
      <c r="UI1" s="378">
        <f>TZ1+1</f>
        <v>56</v>
      </c>
      <c r="UK1" s="1154" t="str">
        <f>UB1</f>
        <v>ENTRADAS DEL MES DE   DICIEMBRE      2021</v>
      </c>
      <c r="UL1" s="1154"/>
      <c r="UM1" s="1154"/>
      <c r="UN1" s="1154"/>
      <c r="UO1" s="1154"/>
      <c r="UP1" s="1154"/>
      <c r="UQ1" s="1154"/>
      <c r="UR1" s="378">
        <f>UI1+1</f>
        <v>57</v>
      </c>
      <c r="UT1" s="1154" t="str">
        <f>UK1</f>
        <v>ENTRADAS DEL MES DE   DICIEMBRE      2021</v>
      </c>
      <c r="UU1" s="1154"/>
      <c r="UV1" s="1154"/>
      <c r="UW1" s="1154"/>
      <c r="UX1" s="1154"/>
      <c r="UY1" s="1154"/>
      <c r="UZ1" s="1154"/>
      <c r="VA1" s="378">
        <f>UR1+1</f>
        <v>58</v>
      </c>
      <c r="VC1" s="1154" t="str">
        <f>UT1</f>
        <v>ENTRADAS DEL MES DE   DICIEMBRE      2021</v>
      </c>
      <c r="VD1" s="1154"/>
      <c r="VE1" s="1154"/>
      <c r="VF1" s="1154"/>
      <c r="VG1" s="1154"/>
      <c r="VH1" s="1154"/>
      <c r="VI1" s="1154"/>
      <c r="VJ1" s="378">
        <f>VA1+1</f>
        <v>59</v>
      </c>
      <c r="VL1" s="1154" t="str">
        <f>VC1</f>
        <v>ENTRADAS DEL MES DE   DICIEMBRE      2021</v>
      </c>
      <c r="VM1" s="1154"/>
      <c r="VN1" s="1154"/>
      <c r="VO1" s="1154"/>
      <c r="VP1" s="1154"/>
      <c r="VQ1" s="1154"/>
      <c r="VR1" s="1154"/>
      <c r="VS1" s="378">
        <f>VJ1+1</f>
        <v>60</v>
      </c>
      <c r="VU1" s="1154" t="str">
        <f>VL1</f>
        <v>ENTRADAS DEL MES DE   DICIEMBRE      2021</v>
      </c>
      <c r="VV1" s="1154"/>
      <c r="VW1" s="1154"/>
      <c r="VX1" s="1154"/>
      <c r="VY1" s="1154"/>
      <c r="VZ1" s="1154"/>
      <c r="WA1" s="1154"/>
      <c r="WB1" s="378">
        <f>VS1+1</f>
        <v>61</v>
      </c>
      <c r="WD1" s="1154" t="str">
        <f>VU1</f>
        <v>ENTRADAS DEL MES DE   DICIEMBRE      2021</v>
      </c>
      <c r="WE1" s="1154"/>
      <c r="WF1" s="1154"/>
      <c r="WG1" s="1154"/>
      <c r="WH1" s="1154"/>
      <c r="WI1" s="1154"/>
      <c r="WJ1" s="1154"/>
      <c r="WK1" s="378">
        <f>WB1+1</f>
        <v>62</v>
      </c>
      <c r="WM1" s="1154" t="str">
        <f>WD1</f>
        <v>ENTRADAS DEL MES DE   DICIEMBRE      2021</v>
      </c>
      <c r="WN1" s="1154"/>
      <c r="WO1" s="1154"/>
      <c r="WP1" s="1154"/>
      <c r="WQ1" s="1154"/>
      <c r="WR1" s="1154"/>
      <c r="WS1" s="1154"/>
      <c r="WT1" s="378">
        <f>WK1+1</f>
        <v>63</v>
      </c>
      <c r="WV1" s="1154" t="str">
        <f>WM1</f>
        <v>ENTRADAS DEL MES DE   DICIEMBRE      2021</v>
      </c>
      <c r="WW1" s="1154"/>
      <c r="WX1" s="1154"/>
      <c r="WY1" s="1154"/>
      <c r="WZ1" s="1154"/>
      <c r="XA1" s="1154"/>
      <c r="XB1" s="1154"/>
      <c r="XC1" s="378">
        <f>WT1+1</f>
        <v>64</v>
      </c>
      <c r="XE1" s="1154" t="str">
        <f>WV1</f>
        <v>ENTRADAS DEL MES DE   DICIEMBRE      2021</v>
      </c>
      <c r="XF1" s="1154"/>
      <c r="XG1" s="1154"/>
      <c r="XH1" s="1154"/>
      <c r="XI1" s="1154"/>
      <c r="XJ1" s="1154"/>
      <c r="XK1" s="1154"/>
      <c r="XL1" s="378">
        <f>XC1+1</f>
        <v>65</v>
      </c>
      <c r="XN1" s="1154" t="str">
        <f>XE1</f>
        <v>ENTRADAS DEL MES DE   DICIEMBRE      2021</v>
      </c>
      <c r="XO1" s="1154"/>
      <c r="XP1" s="1154"/>
      <c r="XQ1" s="1154"/>
      <c r="XR1" s="1154"/>
      <c r="XS1" s="1154"/>
      <c r="XT1" s="1154"/>
      <c r="XU1" s="378">
        <f>XL1+1</f>
        <v>66</v>
      </c>
      <c r="XW1" s="1154" t="str">
        <f>XN1</f>
        <v>ENTRADAS DEL MES DE   DICIEMBRE      2021</v>
      </c>
      <c r="XX1" s="1154"/>
      <c r="XY1" s="1154"/>
      <c r="XZ1" s="1154"/>
      <c r="YA1" s="1154"/>
      <c r="YB1" s="1154"/>
      <c r="YC1" s="1154"/>
      <c r="YD1" s="378">
        <f>XU1+1</f>
        <v>67</v>
      </c>
      <c r="YF1" s="1154" t="str">
        <f>XW1</f>
        <v>ENTRADAS DEL MES DE   DICIEMBRE      2021</v>
      </c>
      <c r="YG1" s="1154"/>
      <c r="YH1" s="1154"/>
      <c r="YI1" s="1154"/>
      <c r="YJ1" s="1154"/>
      <c r="YK1" s="1154"/>
      <c r="YL1" s="1154"/>
      <c r="YM1" s="378">
        <f>YD1+1</f>
        <v>68</v>
      </c>
      <c r="YO1" s="1154" t="str">
        <f>YF1</f>
        <v>ENTRADAS DEL MES DE   DICIEMBRE      2021</v>
      </c>
      <c r="YP1" s="1154"/>
      <c r="YQ1" s="1154"/>
      <c r="YR1" s="1154"/>
      <c r="YS1" s="1154"/>
      <c r="YT1" s="1154"/>
      <c r="YU1" s="1154"/>
      <c r="YV1" s="378">
        <f>YM1+1</f>
        <v>69</v>
      </c>
      <c r="YX1" s="1154" t="str">
        <f>YO1</f>
        <v>ENTRADAS DEL MES DE   DICIEMBRE      2021</v>
      </c>
      <c r="YY1" s="1154"/>
      <c r="YZ1" s="1154"/>
      <c r="ZA1" s="1154"/>
      <c r="ZB1" s="1154"/>
      <c r="ZC1" s="1154"/>
      <c r="ZD1" s="1154"/>
      <c r="ZE1" s="378">
        <f>YV1+1</f>
        <v>70</v>
      </c>
      <c r="ZG1" s="1154" t="str">
        <f>YX1</f>
        <v>ENTRADAS DEL MES DE   DICIEMBRE      2021</v>
      </c>
      <c r="ZH1" s="1154"/>
      <c r="ZI1" s="1154"/>
      <c r="ZJ1" s="1154"/>
      <c r="ZK1" s="1154"/>
      <c r="ZL1" s="1154"/>
      <c r="ZM1" s="1154"/>
      <c r="ZN1" s="378">
        <f>ZE1+1</f>
        <v>71</v>
      </c>
      <c r="ZP1" s="1154" t="str">
        <f>ZG1</f>
        <v>ENTRADAS DEL MES DE   DICIEMBRE      2021</v>
      </c>
      <c r="ZQ1" s="1154"/>
      <c r="ZR1" s="1154"/>
      <c r="ZS1" s="1154"/>
      <c r="ZT1" s="1154"/>
      <c r="ZU1" s="1154"/>
      <c r="ZV1" s="1154"/>
      <c r="ZW1" s="378">
        <f>ZN1+1</f>
        <v>72</v>
      </c>
      <c r="ZY1" s="1154" t="str">
        <f>ZP1</f>
        <v>ENTRADAS DEL MES DE   DICIEMBRE      2021</v>
      </c>
      <c r="ZZ1" s="1154"/>
      <c r="AAA1" s="1154"/>
      <c r="AAB1" s="1154"/>
      <c r="AAC1" s="1154"/>
      <c r="AAD1" s="1154"/>
      <c r="AAE1" s="1154"/>
      <c r="AAF1" s="378">
        <f>ZW1+1</f>
        <v>73</v>
      </c>
      <c r="AAH1" s="1154" t="str">
        <f>ZY1</f>
        <v>ENTRADAS DEL MES DE   DICIEMBRE      2021</v>
      </c>
      <c r="AAI1" s="1154"/>
      <c r="AAJ1" s="1154"/>
      <c r="AAK1" s="1154"/>
      <c r="AAL1" s="1154"/>
      <c r="AAM1" s="1154"/>
      <c r="AAN1" s="1154"/>
      <c r="AAO1" s="378">
        <f>AAF1+1</f>
        <v>74</v>
      </c>
      <c r="AAQ1" s="1154" t="str">
        <f>AAH1</f>
        <v>ENTRADAS DEL MES DE   DICIEMBRE      2021</v>
      </c>
      <c r="AAR1" s="1154"/>
      <c r="AAS1" s="1154"/>
      <c r="AAT1" s="1154"/>
      <c r="AAU1" s="1154"/>
      <c r="AAV1" s="1154"/>
      <c r="AAW1" s="1154"/>
      <c r="AAX1" s="378">
        <f>AAO1+1</f>
        <v>75</v>
      </c>
      <c r="AAZ1" s="1154" t="str">
        <f>AAQ1</f>
        <v>ENTRADAS DEL MES DE   DICIEMBRE      2021</v>
      </c>
      <c r="ABA1" s="1154"/>
      <c r="ABB1" s="1154"/>
      <c r="ABC1" s="1154"/>
      <c r="ABD1" s="1154"/>
      <c r="ABE1" s="1154"/>
      <c r="ABF1" s="1154"/>
      <c r="ABG1" s="378">
        <f>AAX1+1</f>
        <v>76</v>
      </c>
      <c r="ABI1" s="1154" t="str">
        <f>AAZ1</f>
        <v>ENTRADAS DEL MES DE   DICIEMBRE      2021</v>
      </c>
      <c r="ABJ1" s="1154"/>
      <c r="ABK1" s="1154"/>
      <c r="ABL1" s="1154"/>
      <c r="ABM1" s="1154"/>
      <c r="ABN1" s="1154"/>
      <c r="ABO1" s="1154"/>
      <c r="ABP1" s="378">
        <f>ABG1+1</f>
        <v>77</v>
      </c>
      <c r="ABR1" s="1154" t="str">
        <f>ABI1</f>
        <v>ENTRADAS DEL MES DE   DICIEMBRE      2021</v>
      </c>
      <c r="ABS1" s="1154"/>
      <c r="ABT1" s="1154"/>
      <c r="ABU1" s="1154"/>
      <c r="ABV1" s="1154"/>
      <c r="ABW1" s="1154"/>
      <c r="ABX1" s="1154"/>
      <c r="ABY1" s="378">
        <f>ABP1+1</f>
        <v>78</v>
      </c>
      <c r="ACA1" s="1154" t="str">
        <f>ABR1</f>
        <v>ENTRADAS DEL MES DE   DICIEMBRE      2021</v>
      </c>
      <c r="ACB1" s="1154"/>
      <c r="ACC1" s="1154"/>
      <c r="ACD1" s="1154"/>
      <c r="ACE1" s="1154"/>
      <c r="ACF1" s="1154"/>
      <c r="ACG1" s="1154"/>
      <c r="ACH1" s="378">
        <f>ABY1+1</f>
        <v>79</v>
      </c>
      <c r="ACJ1" s="1154" t="str">
        <f>ACA1</f>
        <v>ENTRADAS DEL MES DE   DICIEMBRE      2021</v>
      </c>
      <c r="ACK1" s="1154"/>
      <c r="ACL1" s="1154"/>
      <c r="ACM1" s="1154"/>
      <c r="ACN1" s="1154"/>
      <c r="ACO1" s="1154"/>
      <c r="ACP1" s="1154"/>
      <c r="ACQ1" s="378">
        <f>ACH1+1</f>
        <v>80</v>
      </c>
      <c r="ACS1" s="1154" t="str">
        <f>ACJ1</f>
        <v>ENTRADAS DEL MES DE   DICIEMBRE      2021</v>
      </c>
      <c r="ACT1" s="1154"/>
      <c r="ACU1" s="1154"/>
      <c r="ACV1" s="1154"/>
      <c r="ACW1" s="1154"/>
      <c r="ACX1" s="1154"/>
      <c r="ACY1" s="1154"/>
      <c r="ACZ1" s="378">
        <f>ACQ1+1</f>
        <v>81</v>
      </c>
      <c r="ADB1" s="1154" t="str">
        <f>ACS1</f>
        <v>ENTRADAS DEL MES DE   DICIEMBRE      2021</v>
      </c>
      <c r="ADC1" s="1154"/>
      <c r="ADD1" s="1154"/>
      <c r="ADE1" s="1154"/>
      <c r="ADF1" s="1154"/>
      <c r="ADG1" s="1154"/>
      <c r="ADH1" s="1154"/>
      <c r="ADI1" s="378">
        <f>ACZ1+1</f>
        <v>82</v>
      </c>
      <c r="ADK1" s="1154" t="str">
        <f>ADB1</f>
        <v>ENTRADAS DEL MES DE   DICIEMBRE      2021</v>
      </c>
      <c r="ADL1" s="1154"/>
      <c r="ADM1" s="1154"/>
      <c r="ADN1" s="1154"/>
      <c r="ADO1" s="1154"/>
      <c r="ADP1" s="1154"/>
      <c r="ADQ1" s="1154"/>
      <c r="ADR1" s="378">
        <f>ADI1+1</f>
        <v>83</v>
      </c>
      <c r="ADT1" s="1154" t="str">
        <f>ADK1</f>
        <v>ENTRADAS DEL MES DE   DICIEMBRE      2021</v>
      </c>
      <c r="ADU1" s="1154"/>
      <c r="ADV1" s="1154"/>
      <c r="ADW1" s="1154"/>
      <c r="ADX1" s="1154"/>
      <c r="ADY1" s="1154"/>
      <c r="ADZ1" s="1154"/>
      <c r="AEA1" s="378">
        <f>ADR1+1</f>
        <v>84</v>
      </c>
      <c r="AEC1" s="1154" t="str">
        <f>ADT1</f>
        <v>ENTRADAS DEL MES DE   DICIEMBRE      2021</v>
      </c>
      <c r="AED1" s="1154"/>
      <c r="AEE1" s="1154"/>
      <c r="AEF1" s="1154"/>
      <c r="AEG1" s="1154"/>
      <c r="AEH1" s="1154"/>
      <c r="AEI1" s="1154"/>
      <c r="AEJ1" s="378">
        <f>AEA1+1</f>
        <v>85</v>
      </c>
      <c r="AEL1" s="1154" t="str">
        <f>AEC1</f>
        <v>ENTRADAS DEL MES DE   DICIEMBRE      2021</v>
      </c>
      <c r="AEM1" s="1154"/>
      <c r="AEN1" s="1154"/>
      <c r="AEO1" s="1154"/>
      <c r="AEP1" s="1154"/>
      <c r="AEQ1" s="1154"/>
      <c r="AER1" s="1154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4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4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4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4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4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4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4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4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4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4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4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4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4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4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4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4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4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4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4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4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4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4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4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4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4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4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4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8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8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8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8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8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8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8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8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8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8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40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8"/>
      <c r="KF4" s="76" t="s">
        <v>23</v>
      </c>
      <c r="KK4" s="372"/>
      <c r="KO4" s="74"/>
      <c r="KP4" s="74" t="s">
        <v>23</v>
      </c>
      <c r="KU4" s="74"/>
      <c r="KV4" s="134"/>
      <c r="KW4" s="647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163</v>
      </c>
      <c r="L5" s="940" t="s">
        <v>164</v>
      </c>
      <c r="M5" s="260" t="s">
        <v>250</v>
      </c>
      <c r="N5" s="261">
        <v>44535</v>
      </c>
      <c r="O5" s="259">
        <v>18834.02</v>
      </c>
      <c r="P5" s="256">
        <v>21</v>
      </c>
      <c r="Q5" s="1080">
        <v>18864.900000000001</v>
      </c>
      <c r="R5" s="144">
        <f>O5-Q5</f>
        <v>-30.880000000001019</v>
      </c>
      <c r="S5" s="635"/>
      <c r="T5" s="255"/>
      <c r="U5" s="263" t="s">
        <v>163</v>
      </c>
      <c r="V5" s="940" t="s">
        <v>164</v>
      </c>
      <c r="W5" s="260" t="s">
        <v>263</v>
      </c>
      <c r="X5" s="261">
        <v>44536</v>
      </c>
      <c r="Y5" s="259">
        <v>19015.13</v>
      </c>
      <c r="Z5" s="256">
        <v>21</v>
      </c>
      <c r="AA5" s="1085">
        <v>19041.599999999999</v>
      </c>
      <c r="AB5" s="144">
        <f>Y5-AA5</f>
        <v>-26.469999999997526</v>
      </c>
      <c r="AC5" s="635"/>
      <c r="AD5" s="255"/>
      <c r="AE5" s="255" t="s">
        <v>163</v>
      </c>
      <c r="AF5" s="940" t="s">
        <v>164</v>
      </c>
      <c r="AG5" s="260" t="s">
        <v>266</v>
      </c>
      <c r="AH5" s="258">
        <v>44537</v>
      </c>
      <c r="AI5" s="259">
        <v>19130.48</v>
      </c>
      <c r="AJ5" s="256">
        <v>21</v>
      </c>
      <c r="AK5" s="1080">
        <v>19179.7</v>
      </c>
      <c r="AL5" s="144">
        <f>AI5-AK5</f>
        <v>-49.220000000001164</v>
      </c>
      <c r="AM5" s="144"/>
      <c r="AN5" s="255"/>
      <c r="AO5" s="255" t="s">
        <v>268</v>
      </c>
      <c r="AP5" s="1018" t="s">
        <v>271</v>
      </c>
      <c r="AQ5" s="260" t="s">
        <v>273</v>
      </c>
      <c r="AR5" s="258">
        <v>44538</v>
      </c>
      <c r="AS5" s="259">
        <v>18428.150000000001</v>
      </c>
      <c r="AT5" s="256">
        <v>20</v>
      </c>
      <c r="AU5" s="1080">
        <v>18493.310000000001</v>
      </c>
      <c r="AV5" s="144">
        <f>AS5-AU5</f>
        <v>-65.159999999999854</v>
      </c>
      <c r="AW5" s="635"/>
      <c r="AX5" s="255"/>
      <c r="AY5" s="1158" t="s">
        <v>268</v>
      </c>
      <c r="AZ5" s="1018" t="s">
        <v>271</v>
      </c>
      <c r="BA5" s="257" t="s">
        <v>274</v>
      </c>
      <c r="BB5" s="258">
        <v>44539</v>
      </c>
      <c r="BC5" s="259">
        <v>18444.29</v>
      </c>
      <c r="BD5" s="256">
        <v>20</v>
      </c>
      <c r="BE5" s="1080">
        <v>18463.38</v>
      </c>
      <c r="BF5" s="144">
        <f>BC5-BE5</f>
        <v>-19.090000000000146</v>
      </c>
      <c r="BG5" s="635"/>
      <c r="BH5" s="255"/>
      <c r="BI5" s="1158" t="s">
        <v>275</v>
      </c>
      <c r="BJ5" s="1019" t="s">
        <v>276</v>
      </c>
      <c r="BK5" s="257" t="s">
        <v>277</v>
      </c>
      <c r="BL5" s="258">
        <v>44510</v>
      </c>
      <c r="BM5" s="259">
        <v>18330.04</v>
      </c>
      <c r="BN5" s="256">
        <v>20</v>
      </c>
      <c r="BO5" s="1080">
        <v>18375.900000000001</v>
      </c>
      <c r="BP5" s="144">
        <f>BM5-BO5</f>
        <v>-45.860000000000582</v>
      </c>
      <c r="BQ5" s="635"/>
      <c r="BR5" s="255"/>
      <c r="BS5" s="340" t="s">
        <v>163</v>
      </c>
      <c r="BT5" s="1020" t="s">
        <v>164</v>
      </c>
      <c r="BU5" s="260" t="s">
        <v>278</v>
      </c>
      <c r="BV5" s="261">
        <v>44541</v>
      </c>
      <c r="BW5" s="259">
        <v>18880.55</v>
      </c>
      <c r="BX5" s="256">
        <v>21</v>
      </c>
      <c r="BY5" s="1079">
        <v>19005</v>
      </c>
      <c r="BZ5" s="144">
        <f>BW5-BY5</f>
        <v>-124.45000000000073</v>
      </c>
      <c r="CA5" s="338"/>
      <c r="CB5" s="338"/>
      <c r="CC5" s="263" t="s">
        <v>163</v>
      </c>
      <c r="CD5" s="1020" t="s">
        <v>164</v>
      </c>
      <c r="CE5" s="260" t="s">
        <v>279</v>
      </c>
      <c r="CF5" s="261">
        <v>44541</v>
      </c>
      <c r="CG5" s="259">
        <v>19120.43</v>
      </c>
      <c r="CH5" s="256">
        <v>21</v>
      </c>
      <c r="CI5" s="1079">
        <v>19204.5</v>
      </c>
      <c r="CJ5" s="144">
        <f>CG5-CI5</f>
        <v>-84.069999999999709</v>
      </c>
      <c r="CK5" s="338"/>
      <c r="CL5" s="338"/>
      <c r="CM5" s="1158" t="s">
        <v>163</v>
      </c>
      <c r="CN5" s="1020" t="s">
        <v>164</v>
      </c>
      <c r="CO5" s="257" t="s">
        <v>310</v>
      </c>
      <c r="CP5" s="261">
        <v>44544</v>
      </c>
      <c r="CQ5" s="259">
        <v>19062.13</v>
      </c>
      <c r="CR5" s="256">
        <v>21</v>
      </c>
      <c r="CS5" s="1079">
        <v>19061.900000000001</v>
      </c>
      <c r="CT5" s="144">
        <f>CQ5-CS5</f>
        <v>0.22999999999956344</v>
      </c>
      <c r="CU5" s="635"/>
      <c r="CV5" s="255"/>
      <c r="CW5" s="1159" t="s">
        <v>163</v>
      </c>
      <c r="CX5" s="940" t="s">
        <v>164</v>
      </c>
      <c r="CY5" s="257" t="s">
        <v>311</v>
      </c>
      <c r="CZ5" s="261">
        <v>44544</v>
      </c>
      <c r="DA5" s="259">
        <v>18870.150000000001</v>
      </c>
      <c r="DB5" s="256">
        <v>21</v>
      </c>
      <c r="DC5" s="1079">
        <v>18841.400000000001</v>
      </c>
      <c r="DD5" s="144">
        <f>DA5-DC5</f>
        <v>28.75</v>
      </c>
      <c r="DE5" s="635"/>
      <c r="DF5" s="255"/>
      <c r="DG5" s="255" t="s">
        <v>163</v>
      </c>
      <c r="DH5" s="1020" t="s">
        <v>164</v>
      </c>
      <c r="DI5" s="260" t="s">
        <v>312</v>
      </c>
      <c r="DJ5" s="261">
        <v>44544</v>
      </c>
      <c r="DK5" s="259">
        <v>18879.93</v>
      </c>
      <c r="DL5" s="256">
        <v>21</v>
      </c>
      <c r="DM5" s="1079">
        <v>18878.400000000001</v>
      </c>
      <c r="DN5" s="144">
        <f>DK5-DM5</f>
        <v>1.5299999999988358</v>
      </c>
      <c r="DO5" s="635"/>
      <c r="DP5" s="255"/>
      <c r="DQ5" s="1161" t="s">
        <v>268</v>
      </c>
      <c r="DR5" s="1035" t="s">
        <v>271</v>
      </c>
      <c r="DS5" s="260" t="s">
        <v>313</v>
      </c>
      <c r="DT5" s="261">
        <v>44545</v>
      </c>
      <c r="DU5" s="259">
        <v>18662.64</v>
      </c>
      <c r="DV5" s="256">
        <v>20</v>
      </c>
      <c r="DW5" s="1079">
        <v>18667.04</v>
      </c>
      <c r="DX5" s="144">
        <f>DU5-DW5</f>
        <v>-4.4000000000014552</v>
      </c>
      <c r="DY5" s="338"/>
      <c r="DZ5" s="255"/>
      <c r="EA5" s="255" t="s">
        <v>163</v>
      </c>
      <c r="EB5" s="940" t="s">
        <v>164</v>
      </c>
      <c r="EC5" s="260" t="s">
        <v>314</v>
      </c>
      <c r="ED5" s="261">
        <v>44546</v>
      </c>
      <c r="EE5" s="259">
        <v>18925.2</v>
      </c>
      <c r="EF5" s="256">
        <v>21</v>
      </c>
      <c r="EG5" s="1079">
        <v>18989.5</v>
      </c>
      <c r="EH5" s="144">
        <f>EE5-EG5</f>
        <v>-64.299999999999272</v>
      </c>
      <c r="EI5" s="635"/>
      <c r="EJ5" s="255" t="s">
        <v>52</v>
      </c>
      <c r="EK5" s="76" t="s">
        <v>315</v>
      </c>
      <c r="EL5" s="940" t="s">
        <v>164</v>
      </c>
      <c r="EM5" s="262" t="s">
        <v>316</v>
      </c>
      <c r="EN5" s="261">
        <v>44546</v>
      </c>
      <c r="EO5" s="259">
        <v>18946.189999999999</v>
      </c>
      <c r="EP5" s="256">
        <v>21</v>
      </c>
      <c r="EQ5" s="1103">
        <v>18995.2</v>
      </c>
      <c r="ER5" s="144">
        <f>EO5-EQ5</f>
        <v>-49.010000000002037</v>
      </c>
      <c r="ES5" s="635"/>
      <c r="ET5" s="255"/>
      <c r="EU5" s="1158" t="s">
        <v>163</v>
      </c>
      <c r="EV5" s="940" t="s">
        <v>164</v>
      </c>
      <c r="EW5" s="260" t="s">
        <v>339</v>
      </c>
      <c r="EX5" s="261">
        <v>44547</v>
      </c>
      <c r="EY5" s="259">
        <v>18982.43</v>
      </c>
      <c r="EZ5" s="256">
        <v>21</v>
      </c>
      <c r="FA5" s="1079">
        <v>19009.400000000001</v>
      </c>
      <c r="FB5" s="144">
        <f>EY5-FA5</f>
        <v>-26.970000000001164</v>
      </c>
      <c r="FC5" s="635"/>
      <c r="FD5" s="255"/>
      <c r="FE5" s="255" t="s">
        <v>163</v>
      </c>
      <c r="FF5" s="940" t="s">
        <v>164</v>
      </c>
      <c r="FG5" s="260" t="s">
        <v>343</v>
      </c>
      <c r="FH5" s="261">
        <v>44548</v>
      </c>
      <c r="FI5" s="259">
        <v>18979.97</v>
      </c>
      <c r="FJ5" s="256">
        <v>21</v>
      </c>
      <c r="FK5" s="1103">
        <v>18965.2</v>
      </c>
      <c r="FL5" s="144">
        <f>FI5-FK5</f>
        <v>14.770000000000437</v>
      </c>
      <c r="FM5" s="635"/>
      <c r="FN5" s="255"/>
      <c r="FO5" s="564" t="s">
        <v>163</v>
      </c>
      <c r="FP5" s="940" t="s">
        <v>164</v>
      </c>
      <c r="FQ5" s="260" t="s">
        <v>344</v>
      </c>
      <c r="FR5" s="261">
        <v>44548</v>
      </c>
      <c r="FS5" s="259">
        <v>16374.71</v>
      </c>
      <c r="FT5" s="256">
        <v>18</v>
      </c>
      <c r="FU5" s="1079">
        <v>16413.599999999999</v>
      </c>
      <c r="FV5" s="144">
        <f>FS5-FU5</f>
        <v>-38.889999999999418</v>
      </c>
      <c r="FW5" s="635"/>
      <c r="FX5" s="255"/>
      <c r="FY5" s="263" t="s">
        <v>163</v>
      </c>
      <c r="FZ5" s="940" t="s">
        <v>164</v>
      </c>
      <c r="GA5" s="262" t="s">
        <v>346</v>
      </c>
      <c r="GB5" s="261">
        <v>44551</v>
      </c>
      <c r="GC5" s="259">
        <v>18911.37</v>
      </c>
      <c r="GD5" s="256">
        <v>21</v>
      </c>
      <c r="GE5" s="1079">
        <v>18931.5</v>
      </c>
      <c r="GF5" s="144">
        <f>GC5-GE5</f>
        <v>-20.130000000001019</v>
      </c>
      <c r="GG5" s="635"/>
      <c r="GH5" s="255"/>
      <c r="GI5" s="255" t="s">
        <v>163</v>
      </c>
      <c r="GJ5" s="940" t="s">
        <v>348</v>
      </c>
      <c r="GK5" s="260" t="s">
        <v>347</v>
      </c>
      <c r="GL5" s="258">
        <v>44551</v>
      </c>
      <c r="GM5" s="259">
        <v>19160.599999999999</v>
      </c>
      <c r="GN5" s="256">
        <v>21</v>
      </c>
      <c r="GO5" s="1079">
        <v>19165.099999999999</v>
      </c>
      <c r="GP5" s="144">
        <f>GM5-GO5</f>
        <v>-4.5</v>
      </c>
      <c r="GQ5" s="635"/>
      <c r="GR5" s="255"/>
      <c r="GS5" s="1158" t="s">
        <v>163</v>
      </c>
      <c r="GT5" s="940" t="s">
        <v>164</v>
      </c>
      <c r="GU5" s="256" t="s">
        <v>349</v>
      </c>
      <c r="GV5" s="258">
        <v>44551</v>
      </c>
      <c r="GW5" s="259">
        <v>19089.04</v>
      </c>
      <c r="GX5" s="256">
        <v>21</v>
      </c>
      <c r="GY5" s="1079">
        <v>19026.8</v>
      </c>
      <c r="GZ5" s="144">
        <f>GW5-GY5</f>
        <v>62.240000000001601</v>
      </c>
      <c r="HA5" s="635"/>
      <c r="HB5" s="255"/>
      <c r="HC5" s="1156" t="s">
        <v>163</v>
      </c>
      <c r="HD5" s="940" t="s">
        <v>164</v>
      </c>
      <c r="HE5" s="260" t="s">
        <v>351</v>
      </c>
      <c r="HF5" s="258">
        <v>44552</v>
      </c>
      <c r="HG5" s="259">
        <v>18916.740000000002</v>
      </c>
      <c r="HH5" s="256">
        <v>21</v>
      </c>
      <c r="HI5" s="1079">
        <v>18916.7</v>
      </c>
      <c r="HJ5" s="144">
        <f>HG5-HI5</f>
        <v>4.0000000000873115E-2</v>
      </c>
      <c r="HK5" s="635"/>
      <c r="HL5" s="255"/>
      <c r="HM5" s="255" t="s">
        <v>268</v>
      </c>
      <c r="HN5" s="1018" t="s">
        <v>271</v>
      </c>
      <c r="HO5" s="260" t="s">
        <v>352</v>
      </c>
      <c r="HP5" s="261">
        <v>44552</v>
      </c>
      <c r="HQ5" s="259">
        <v>18545.189999999999</v>
      </c>
      <c r="HR5" s="256">
        <v>20</v>
      </c>
      <c r="HS5" s="1103">
        <v>18538.59</v>
      </c>
      <c r="HT5" s="144">
        <f>HQ5-HS5</f>
        <v>6.5999999999985448</v>
      </c>
      <c r="HU5" s="635"/>
      <c r="HV5" s="255"/>
      <c r="HW5" s="1157" t="s">
        <v>353</v>
      </c>
      <c r="HX5" s="1018" t="s">
        <v>271</v>
      </c>
      <c r="HY5" s="260" t="s">
        <v>354</v>
      </c>
      <c r="HZ5" s="261">
        <v>44553</v>
      </c>
      <c r="IA5" s="259">
        <v>18339.52</v>
      </c>
      <c r="IB5" s="256">
        <v>20</v>
      </c>
      <c r="IC5" s="1079">
        <v>18447.490000000002</v>
      </c>
      <c r="ID5" s="144">
        <f>IA5-IC5</f>
        <v>-107.97000000000116</v>
      </c>
      <c r="IE5" s="635"/>
      <c r="IF5" s="255"/>
      <c r="IG5" s="255" t="s">
        <v>268</v>
      </c>
      <c r="IH5" s="1018" t="s">
        <v>271</v>
      </c>
      <c r="II5" s="260" t="s">
        <v>355</v>
      </c>
      <c r="IJ5" s="261">
        <v>44553</v>
      </c>
      <c r="IK5" s="259">
        <v>18453.52</v>
      </c>
      <c r="IL5" s="256">
        <v>20</v>
      </c>
      <c r="IM5" s="1079">
        <v>18532.759999999998</v>
      </c>
      <c r="IN5" s="144">
        <f>IK5-IM5</f>
        <v>-79.239999999997963</v>
      </c>
      <c r="IO5" s="635"/>
      <c r="IP5" s="255"/>
      <c r="IQ5" s="1158" t="s">
        <v>163</v>
      </c>
      <c r="IR5" s="1044" t="s">
        <v>356</v>
      </c>
      <c r="IS5" s="262" t="s">
        <v>272</v>
      </c>
      <c r="IT5" s="258">
        <v>44554</v>
      </c>
      <c r="IU5" s="259">
        <v>18701.990000000002</v>
      </c>
      <c r="IV5" s="256">
        <v>21</v>
      </c>
      <c r="IW5" s="1079">
        <v>18740</v>
      </c>
      <c r="IX5" s="144">
        <f>IU5-IW5</f>
        <v>-38.009999999998399</v>
      </c>
      <c r="IY5" s="635"/>
      <c r="IZ5" s="255"/>
      <c r="JA5" s="255" t="s">
        <v>163</v>
      </c>
      <c r="JB5" s="940" t="s">
        <v>164</v>
      </c>
      <c r="JC5" s="262" t="s">
        <v>357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5"/>
      <c r="JJ5" s="255"/>
      <c r="JK5" s="966" t="s">
        <v>163</v>
      </c>
      <c r="JL5" s="1050" t="s">
        <v>164</v>
      </c>
      <c r="JM5" s="260" t="s">
        <v>358</v>
      </c>
      <c r="JN5" s="261">
        <v>44554</v>
      </c>
      <c r="JO5" s="259">
        <v>19104.060000000001</v>
      </c>
      <c r="JP5" s="256">
        <v>21</v>
      </c>
      <c r="JQ5" s="1103">
        <v>19110.400000000001</v>
      </c>
      <c r="JR5" s="144">
        <f>JO5-JQ5</f>
        <v>-6.3400000000001455</v>
      </c>
      <c r="JS5" s="635"/>
      <c r="JT5" s="255"/>
      <c r="JU5" s="263" t="s">
        <v>163</v>
      </c>
      <c r="JV5" s="940" t="s">
        <v>164</v>
      </c>
      <c r="JW5" s="262" t="s">
        <v>359</v>
      </c>
      <c r="JX5" s="261">
        <v>44554</v>
      </c>
      <c r="JY5" s="259">
        <v>19049.900000000001</v>
      </c>
      <c r="JZ5" s="256">
        <v>21</v>
      </c>
      <c r="KA5" s="1079">
        <v>19048.8</v>
      </c>
      <c r="KB5" s="144">
        <f>JY5-KA5</f>
        <v>1.1000000000021828</v>
      </c>
      <c r="KC5" s="635"/>
      <c r="KD5" s="255"/>
      <c r="KE5" s="1159" t="s">
        <v>163</v>
      </c>
      <c r="KF5" s="940" t="s">
        <v>164</v>
      </c>
      <c r="KG5" s="262" t="s">
        <v>360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5"/>
      <c r="KN5" s="255"/>
      <c r="KO5" s="263" t="s">
        <v>163</v>
      </c>
      <c r="KP5" s="940" t="s">
        <v>164</v>
      </c>
      <c r="KQ5" s="262" t="s">
        <v>401</v>
      </c>
      <c r="KR5" s="261">
        <v>44558</v>
      </c>
      <c r="KS5" s="259">
        <v>18868.09</v>
      </c>
      <c r="KT5" s="256">
        <v>21</v>
      </c>
      <c r="KU5" s="1079">
        <v>18937.2</v>
      </c>
      <c r="KV5" s="144">
        <f>KS5-KU5</f>
        <v>-69.110000000000582</v>
      </c>
      <c r="KW5" s="635"/>
      <c r="KX5" s="255"/>
      <c r="KY5" s="263" t="s">
        <v>353</v>
      </c>
      <c r="KZ5" s="1018" t="s">
        <v>271</v>
      </c>
      <c r="LA5" s="262" t="s">
        <v>402</v>
      </c>
      <c r="LB5" s="258">
        <v>44558</v>
      </c>
      <c r="LC5" s="259">
        <v>18387.689999999999</v>
      </c>
      <c r="LD5" s="256">
        <v>20</v>
      </c>
      <c r="LE5" s="1079">
        <v>18445.669999999998</v>
      </c>
      <c r="LF5" s="144">
        <f>LC5-LE5</f>
        <v>-57.979999999999563</v>
      </c>
      <c r="LG5" s="635"/>
      <c r="LH5" s="255" t="s">
        <v>41</v>
      </c>
      <c r="LI5" s="255" t="s">
        <v>353</v>
      </c>
      <c r="LJ5" s="1018" t="s">
        <v>271</v>
      </c>
      <c r="LK5" s="260" t="s">
        <v>403</v>
      </c>
      <c r="LL5" s="261">
        <v>44559</v>
      </c>
      <c r="LM5" s="259">
        <v>18533.84</v>
      </c>
      <c r="LN5" s="256">
        <v>20</v>
      </c>
      <c r="LO5" s="1079">
        <v>18548.650000000001</v>
      </c>
      <c r="LP5" s="144">
        <f>LM5-LO5</f>
        <v>-14.81000000000131</v>
      </c>
      <c r="LQ5" s="635"/>
      <c r="LS5" s="255" t="s">
        <v>163</v>
      </c>
      <c r="LT5" s="940" t="s">
        <v>164</v>
      </c>
      <c r="LU5" s="257" t="s">
        <v>404</v>
      </c>
      <c r="LV5" s="261">
        <v>44559</v>
      </c>
      <c r="LW5" s="259">
        <v>18934.95</v>
      </c>
      <c r="LX5" s="256">
        <v>21</v>
      </c>
      <c r="LY5" s="1079">
        <v>19077.5</v>
      </c>
      <c r="LZ5" s="144">
        <f>LW5-LY5</f>
        <v>-142.54999999999927</v>
      </c>
      <c r="MA5" s="635"/>
      <c r="MB5" s="338"/>
      <c r="MC5" s="255" t="s">
        <v>163</v>
      </c>
      <c r="MD5" s="940" t="s">
        <v>164</v>
      </c>
      <c r="ME5" s="257" t="s">
        <v>405</v>
      </c>
      <c r="MF5" s="258">
        <v>44560</v>
      </c>
      <c r="MG5" s="259">
        <v>18933.580000000002</v>
      </c>
      <c r="MH5" s="256">
        <v>21</v>
      </c>
      <c r="MI5" s="1079">
        <v>18995.599999999999</v>
      </c>
      <c r="MJ5" s="144">
        <f>MG5-MI5</f>
        <v>-62.019999999996799</v>
      </c>
      <c r="MK5" s="144"/>
      <c r="MM5" s="255" t="s">
        <v>419</v>
      </c>
      <c r="MN5" s="1240" t="s">
        <v>420</v>
      </c>
      <c r="MO5" s="260" t="s">
        <v>421</v>
      </c>
      <c r="MP5" s="258">
        <v>44560</v>
      </c>
      <c r="MQ5" s="259">
        <v>18503.34</v>
      </c>
      <c r="MR5" s="256">
        <v>20</v>
      </c>
      <c r="MS5" s="254">
        <v>18531.39</v>
      </c>
      <c r="MT5" s="144">
        <f>MQ5-MS5</f>
        <v>-28.049999999999272</v>
      </c>
      <c r="MU5" s="144"/>
      <c r="MW5" s="255" t="s">
        <v>163</v>
      </c>
      <c r="MX5" s="940" t="s">
        <v>164</v>
      </c>
      <c r="MY5" s="260" t="s">
        <v>406</v>
      </c>
      <c r="MZ5" s="258">
        <v>44561</v>
      </c>
      <c r="NA5" s="259">
        <v>18788.04</v>
      </c>
      <c r="NB5" s="256">
        <v>21</v>
      </c>
      <c r="NC5" s="254">
        <v>18849.7</v>
      </c>
      <c r="ND5" s="144">
        <f>NA5-NC5</f>
        <v>-61.659999999999854</v>
      </c>
      <c r="NE5" s="144"/>
      <c r="NG5" s="255" t="s">
        <v>163</v>
      </c>
      <c r="NH5" s="940" t="s">
        <v>164</v>
      </c>
      <c r="NI5" s="257" t="s">
        <v>422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163</v>
      </c>
      <c r="NR5" s="940" t="s">
        <v>164</v>
      </c>
      <c r="NS5" s="257" t="s">
        <v>423</v>
      </c>
      <c r="NT5" s="258">
        <v>44563</v>
      </c>
      <c r="NU5" s="259">
        <v>18944.310000000001</v>
      </c>
      <c r="NV5" s="256">
        <v>21</v>
      </c>
      <c r="NW5" s="254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9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58"/>
      <c r="AZ6" s="364"/>
      <c r="BA6" s="255"/>
      <c r="BB6" s="255"/>
      <c r="BC6" s="255"/>
      <c r="BD6" s="255"/>
      <c r="BE6" s="256"/>
      <c r="BF6" s="255"/>
      <c r="BG6" s="338"/>
      <c r="BH6" s="255"/>
      <c r="BI6" s="1158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58"/>
      <c r="CN6" s="693"/>
      <c r="CO6" s="255"/>
      <c r="CP6" s="255"/>
      <c r="CQ6" s="255"/>
      <c r="CR6" s="255"/>
      <c r="CS6" s="256"/>
      <c r="CT6" s="255"/>
      <c r="CU6" s="338"/>
      <c r="CV6" s="255"/>
      <c r="CW6" s="1159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61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58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58"/>
      <c r="GT6" s="264"/>
      <c r="GU6" s="255"/>
      <c r="GV6" s="255"/>
      <c r="GW6" s="255"/>
      <c r="GX6" s="255"/>
      <c r="GY6" s="256"/>
      <c r="GZ6" s="255"/>
      <c r="HA6" s="338"/>
      <c r="HB6" s="255"/>
      <c r="HC6" s="1156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57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58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6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59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9"/>
      <c r="MB6" s="629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7"/>
      <c r="OL6" s="267"/>
      <c r="OM6" s="255"/>
      <c r="ON6" s="255"/>
      <c r="OO6" s="255"/>
      <c r="OP6" s="255"/>
      <c r="OQ6" s="256"/>
      <c r="OU6" s="667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6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6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75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6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6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6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6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6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6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6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6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6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6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6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6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6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6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6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6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6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6"/>
      <c r="IQ7" s="627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6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6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6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6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6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6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6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6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6"/>
      <c r="MB7" s="636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459</v>
      </c>
      <c r="R8" s="72">
        <v>37</v>
      </c>
      <c r="S8" s="629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474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463</v>
      </c>
      <c r="AL8" s="72">
        <v>37</v>
      </c>
      <c r="AM8" s="632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487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465</v>
      </c>
      <c r="BF8" s="400">
        <v>36</v>
      </c>
      <c r="BG8" s="648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507</v>
      </c>
      <c r="BP8" s="400">
        <v>36</v>
      </c>
      <c r="BQ8" s="861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467</v>
      </c>
      <c r="BZ8" s="403">
        <v>36</v>
      </c>
      <c r="CA8" s="629">
        <f>BZ8*BX8</f>
        <v>33490.799999999996</v>
      </c>
      <c r="CC8" s="62"/>
      <c r="CD8" s="913"/>
      <c r="CE8" s="15">
        <v>1</v>
      </c>
      <c r="CF8" s="93">
        <v>867.7</v>
      </c>
      <c r="CG8" s="401">
        <v>44542</v>
      </c>
      <c r="CH8" s="93">
        <v>867.7</v>
      </c>
      <c r="CI8" s="404" t="s">
        <v>517</v>
      </c>
      <c r="CJ8" s="403">
        <v>36</v>
      </c>
      <c r="CK8" s="629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102" t="s">
        <v>530</v>
      </c>
      <c r="CT8" s="403">
        <v>38</v>
      </c>
      <c r="CU8" s="637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523</v>
      </c>
      <c r="DD8" s="72">
        <v>38</v>
      </c>
      <c r="DE8" s="629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482</v>
      </c>
      <c r="DN8" s="403">
        <v>38</v>
      </c>
      <c r="DO8" s="637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483</v>
      </c>
      <c r="DX8" s="403">
        <v>38</v>
      </c>
      <c r="DY8" s="629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539</v>
      </c>
      <c r="EH8" s="72">
        <v>38</v>
      </c>
      <c r="EI8" s="629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536</v>
      </c>
      <c r="ER8" s="279">
        <v>38</v>
      </c>
      <c r="ES8" s="629">
        <f>ER8*EP8</f>
        <v>33421</v>
      </c>
      <c r="EU8" s="62"/>
      <c r="EV8" s="108"/>
      <c r="EW8" s="15">
        <v>1</v>
      </c>
      <c r="EX8" s="93">
        <v>900.4</v>
      </c>
      <c r="EY8" s="1234">
        <v>900.4</v>
      </c>
      <c r="EZ8" s="1235">
        <v>900.4</v>
      </c>
      <c r="FA8" s="1236" t="s">
        <v>556</v>
      </c>
      <c r="FB8" s="1237">
        <v>38</v>
      </c>
      <c r="FC8" s="1238">
        <f>FB8*EZ8</f>
        <v>34215.199999999997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545</v>
      </c>
      <c r="FL8" s="279">
        <v>38</v>
      </c>
      <c r="FM8" s="629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578</v>
      </c>
      <c r="FV8" s="72">
        <v>38</v>
      </c>
      <c r="FW8" s="629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570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573</v>
      </c>
      <c r="GP8" s="72">
        <v>39</v>
      </c>
      <c r="GQ8" s="629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62">
        <v>868.2</v>
      </c>
      <c r="GY8" s="334" t="s">
        <v>575</v>
      </c>
      <c r="GZ8" s="279">
        <v>39</v>
      </c>
      <c r="HA8" s="629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587</v>
      </c>
      <c r="HJ8" s="72">
        <v>41</v>
      </c>
      <c r="HK8" s="629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584</v>
      </c>
      <c r="HT8" s="279">
        <v>41</v>
      </c>
      <c r="HU8" s="629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597</v>
      </c>
      <c r="ID8" s="72">
        <v>42</v>
      </c>
      <c r="IE8" s="629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604</v>
      </c>
      <c r="IN8" s="72">
        <v>41</v>
      </c>
      <c r="IO8" s="629">
        <f>IN8*IL8</f>
        <v>37826.6</v>
      </c>
      <c r="IQ8" s="886"/>
      <c r="IR8" s="108"/>
      <c r="IS8" s="15">
        <v>1</v>
      </c>
      <c r="IT8" s="292">
        <v>929</v>
      </c>
      <c r="IU8" s="258">
        <v>44554</v>
      </c>
      <c r="IV8" s="292">
        <v>929</v>
      </c>
      <c r="IW8" s="552" t="s">
        <v>616</v>
      </c>
      <c r="IX8" s="279">
        <v>41</v>
      </c>
      <c r="IY8" s="338">
        <f>IX8*IV8</f>
        <v>38089</v>
      </c>
      <c r="IZ8" s="93"/>
      <c r="JA8" s="62"/>
      <c r="JB8" s="108"/>
      <c r="JC8" s="15">
        <v>1</v>
      </c>
      <c r="JD8" s="93">
        <v>874.1</v>
      </c>
      <c r="JE8" s="357">
        <v>44554</v>
      </c>
      <c r="JF8" s="93">
        <v>874.1</v>
      </c>
      <c r="JG8" s="71" t="s">
        <v>618</v>
      </c>
      <c r="JH8" s="72">
        <v>41</v>
      </c>
      <c r="JI8" s="629">
        <f>JH8*JF8</f>
        <v>35838.1</v>
      </c>
      <c r="JJ8" s="407"/>
      <c r="JK8" s="408"/>
      <c r="JL8" s="409"/>
      <c r="JM8" s="15">
        <v>1</v>
      </c>
      <c r="JN8" s="93">
        <v>914</v>
      </c>
      <c r="JO8" s="341">
        <v>44554</v>
      </c>
      <c r="JP8" s="93">
        <v>914</v>
      </c>
      <c r="JQ8" s="71" t="s">
        <v>609</v>
      </c>
      <c r="JR8" s="72">
        <v>41</v>
      </c>
      <c r="JS8" s="629">
        <f>JR8*JP8</f>
        <v>37474</v>
      </c>
      <c r="JU8" s="62"/>
      <c r="JV8" s="108"/>
      <c r="JW8" s="15">
        <v>1</v>
      </c>
      <c r="JX8" s="93">
        <v>867.7</v>
      </c>
      <c r="JY8" s="357">
        <v>44554</v>
      </c>
      <c r="JZ8" s="292">
        <v>867.7</v>
      </c>
      <c r="KA8" s="71" t="s">
        <v>614</v>
      </c>
      <c r="KB8" s="72">
        <v>41</v>
      </c>
      <c r="KC8" s="629">
        <f>KB8*JZ8</f>
        <v>35575.700000000004</v>
      </c>
      <c r="KE8" s="62"/>
      <c r="KF8" s="108"/>
      <c r="KG8" s="15">
        <v>1</v>
      </c>
      <c r="KH8" s="93">
        <v>906.3</v>
      </c>
      <c r="KI8" s="357">
        <v>44556</v>
      </c>
      <c r="KJ8" s="292">
        <v>906.3</v>
      </c>
      <c r="KK8" s="71" t="s">
        <v>623</v>
      </c>
      <c r="KL8" s="72">
        <v>41</v>
      </c>
      <c r="KM8" s="629">
        <f>KL8*KJ8</f>
        <v>37158.299999999996</v>
      </c>
      <c r="KO8" s="62"/>
      <c r="KP8" s="108"/>
      <c r="KQ8" s="15">
        <v>1</v>
      </c>
      <c r="KR8" s="93">
        <v>896.7</v>
      </c>
      <c r="KS8" s="357">
        <v>44558</v>
      </c>
      <c r="KT8" s="292">
        <v>896.7</v>
      </c>
      <c r="KU8" s="71" t="s">
        <v>643</v>
      </c>
      <c r="KV8" s="72">
        <v>42</v>
      </c>
      <c r="KW8" s="629">
        <f>KV8*KT8</f>
        <v>37661.4</v>
      </c>
      <c r="KY8" s="62"/>
      <c r="KZ8" s="108"/>
      <c r="LA8" s="15">
        <v>1</v>
      </c>
      <c r="LB8" s="93">
        <v>902.64</v>
      </c>
      <c r="LC8" s="341">
        <v>44558</v>
      </c>
      <c r="LD8" s="93">
        <v>902.64</v>
      </c>
      <c r="LE8" s="96" t="s">
        <v>649</v>
      </c>
      <c r="LF8" s="72">
        <v>42</v>
      </c>
      <c r="LG8" s="629">
        <f>LF8*LD8</f>
        <v>37910.879999999997</v>
      </c>
      <c r="LI8" s="62"/>
      <c r="LJ8" s="108"/>
      <c r="LK8" s="15">
        <v>1</v>
      </c>
      <c r="LL8" s="93">
        <v>922.6</v>
      </c>
      <c r="LM8" s="341">
        <v>44559</v>
      </c>
      <c r="LN8" s="292">
        <v>922.6</v>
      </c>
      <c r="LO8" s="96" t="s">
        <v>658</v>
      </c>
      <c r="LP8" s="72">
        <v>42</v>
      </c>
      <c r="LQ8" s="629">
        <f>LP8*LN8</f>
        <v>38749.200000000004</v>
      </c>
      <c r="LS8" s="62"/>
      <c r="LT8" s="108"/>
      <c r="LU8" s="15">
        <v>1</v>
      </c>
      <c r="LV8" s="93">
        <v>882.2</v>
      </c>
      <c r="LW8" s="341">
        <v>44559</v>
      </c>
      <c r="LX8" s="93">
        <v>882.2</v>
      </c>
      <c r="LY8" s="96" t="s">
        <v>656</v>
      </c>
      <c r="LZ8" s="72">
        <v>42</v>
      </c>
      <c r="MA8" s="629">
        <f>LZ8*LX8</f>
        <v>37052.400000000001</v>
      </c>
      <c r="MB8" s="629"/>
      <c r="MC8" s="62"/>
      <c r="MD8" s="108"/>
      <c r="ME8" s="15">
        <v>1</v>
      </c>
      <c r="MF8" s="399">
        <v>924.9</v>
      </c>
      <c r="MG8" s="341">
        <v>44560</v>
      </c>
      <c r="MH8" s="399">
        <v>924.9</v>
      </c>
      <c r="MI8" s="96" t="s">
        <v>666</v>
      </c>
      <c r="MJ8" s="72">
        <v>43</v>
      </c>
      <c r="MK8" s="72">
        <f>MJ8*MH8</f>
        <v>39770.699999999997</v>
      </c>
      <c r="MM8" s="62"/>
      <c r="MN8" s="108"/>
      <c r="MO8" s="15">
        <v>1</v>
      </c>
      <c r="MP8" s="93">
        <v>948.93</v>
      </c>
      <c r="MQ8" s="341">
        <v>44560</v>
      </c>
      <c r="MR8" s="93">
        <v>948.93</v>
      </c>
      <c r="MS8" s="96" t="s">
        <v>671</v>
      </c>
      <c r="MT8" s="72">
        <v>43</v>
      </c>
      <c r="MU8" s="72">
        <f>MT8*MR8</f>
        <v>40803.99</v>
      </c>
      <c r="MW8" s="62"/>
      <c r="MX8" s="108"/>
      <c r="MY8" s="15">
        <v>1</v>
      </c>
      <c r="MZ8" s="93">
        <v>936.2</v>
      </c>
      <c r="NA8" s="341"/>
      <c r="NB8" s="93"/>
      <c r="NC8" s="96"/>
      <c r="ND8" s="72"/>
      <c r="NE8" s="72">
        <f>ND8*NB8</f>
        <v>0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/>
      <c r="NV8" s="93"/>
      <c r="NW8" s="96"/>
      <c r="NX8" s="72"/>
      <c r="NY8" s="72">
        <f>NX8*NV8</f>
        <v>0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459</v>
      </c>
      <c r="R9" s="72">
        <v>37</v>
      </c>
      <c r="S9" s="629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474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463</v>
      </c>
      <c r="AL9" s="72">
        <v>37</v>
      </c>
      <c r="AM9" s="632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487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498</v>
      </c>
      <c r="BF9" s="400">
        <v>36</v>
      </c>
      <c r="BG9" s="648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507</v>
      </c>
      <c r="BP9" s="400">
        <v>36</v>
      </c>
      <c r="BQ9" s="861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467</v>
      </c>
      <c r="BZ9" s="403">
        <v>36</v>
      </c>
      <c r="CA9" s="629">
        <f t="shared" ref="CA9:CA28" si="12">BZ9*BX9</f>
        <v>33084</v>
      </c>
      <c r="CD9" s="913"/>
      <c r="CE9" s="15">
        <v>2</v>
      </c>
      <c r="CF9" s="93">
        <v>915.8</v>
      </c>
      <c r="CG9" s="401">
        <v>44542</v>
      </c>
      <c r="CH9" s="93">
        <v>915.8</v>
      </c>
      <c r="CI9" s="404" t="s">
        <v>500</v>
      </c>
      <c r="CJ9" s="403">
        <v>36</v>
      </c>
      <c r="CK9" s="629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530</v>
      </c>
      <c r="CT9" s="403">
        <v>38</v>
      </c>
      <c r="CU9" s="637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523</v>
      </c>
      <c r="DD9" s="72">
        <v>38</v>
      </c>
      <c r="DE9" s="629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482</v>
      </c>
      <c r="DN9" s="403">
        <v>38</v>
      </c>
      <c r="DO9" s="637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483</v>
      </c>
      <c r="DX9" s="403">
        <v>38</v>
      </c>
      <c r="DY9" s="629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539</v>
      </c>
      <c r="EH9" s="72">
        <v>38</v>
      </c>
      <c r="EI9" s="629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536</v>
      </c>
      <c r="ER9" s="279">
        <v>38</v>
      </c>
      <c r="ES9" s="629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556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545</v>
      </c>
      <c r="FL9" s="279">
        <v>38</v>
      </c>
      <c r="FM9" s="629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550</v>
      </c>
      <c r="FV9" s="72">
        <v>38</v>
      </c>
      <c r="FW9" s="629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570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573</v>
      </c>
      <c r="GP9" s="72">
        <v>39</v>
      </c>
      <c r="GQ9" s="629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575</v>
      </c>
      <c r="GZ9" s="279">
        <v>39</v>
      </c>
      <c r="HA9" s="629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587</v>
      </c>
      <c r="HJ9" s="72">
        <v>41</v>
      </c>
      <c r="HK9" s="629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584</v>
      </c>
      <c r="HT9" s="279">
        <v>41</v>
      </c>
      <c r="HU9" s="629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597</v>
      </c>
      <c r="ID9" s="72">
        <v>42</v>
      </c>
      <c r="IE9" s="629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604</v>
      </c>
      <c r="IN9" s="72">
        <v>41</v>
      </c>
      <c r="IO9" s="629">
        <f t="shared" ref="IO9:IO29" si="28">IN9*IL9</f>
        <v>37417.42</v>
      </c>
      <c r="IQ9" s="887"/>
      <c r="IR9" s="95"/>
      <c r="IS9" s="15">
        <v>2</v>
      </c>
      <c r="IT9" s="292">
        <v>913.5</v>
      </c>
      <c r="IU9" s="258">
        <v>44554</v>
      </c>
      <c r="IV9" s="292">
        <v>913.5</v>
      </c>
      <c r="IW9" s="552" t="s">
        <v>616</v>
      </c>
      <c r="IX9" s="279">
        <v>41</v>
      </c>
      <c r="IY9" s="338">
        <f t="shared" ref="IY9:IY29" si="29">IX9*IV9</f>
        <v>37453.5</v>
      </c>
      <c r="IZ9" s="93"/>
      <c r="JA9" s="93"/>
      <c r="JB9" s="95"/>
      <c r="JC9" s="15">
        <v>2</v>
      </c>
      <c r="JD9" s="93">
        <v>924.4</v>
      </c>
      <c r="JE9" s="357">
        <v>44554</v>
      </c>
      <c r="JF9" s="93">
        <v>924.4</v>
      </c>
      <c r="JG9" s="71" t="s">
        <v>618</v>
      </c>
      <c r="JH9" s="72">
        <v>41</v>
      </c>
      <c r="JI9" s="629">
        <f t="shared" ref="JI9:JI29" si="30">JH9*JF9</f>
        <v>37900.400000000001</v>
      </c>
      <c r="JJ9" s="70"/>
      <c r="JL9" s="95"/>
      <c r="JM9" s="15">
        <v>2</v>
      </c>
      <c r="JN9" s="93">
        <v>876.3</v>
      </c>
      <c r="JO9" s="341">
        <v>44554</v>
      </c>
      <c r="JP9" s="93">
        <v>876.3</v>
      </c>
      <c r="JQ9" s="71" t="s">
        <v>609</v>
      </c>
      <c r="JR9" s="72">
        <v>41</v>
      </c>
      <c r="JS9" s="629">
        <f t="shared" ref="JS9:JS27" si="31">JR9*JP9</f>
        <v>35928.299999999996</v>
      </c>
      <c r="JV9" s="108"/>
      <c r="JW9" s="15">
        <v>2</v>
      </c>
      <c r="JX9" s="70">
        <v>871.3</v>
      </c>
      <c r="JY9" s="357">
        <v>44554</v>
      </c>
      <c r="JZ9" s="70">
        <v>871.3</v>
      </c>
      <c r="KA9" s="71" t="s">
        <v>614</v>
      </c>
      <c r="KB9" s="72">
        <v>41</v>
      </c>
      <c r="KC9" s="629">
        <f t="shared" ref="KC9:KC28" si="32">KB9*JZ9</f>
        <v>35723.299999999996</v>
      </c>
      <c r="KF9" s="108"/>
      <c r="KG9" s="15">
        <v>2</v>
      </c>
      <c r="KH9" s="70">
        <v>936.2</v>
      </c>
      <c r="KI9" s="357">
        <v>44556</v>
      </c>
      <c r="KJ9" s="70">
        <v>936.2</v>
      </c>
      <c r="KK9" s="71" t="s">
        <v>623</v>
      </c>
      <c r="KL9" s="72">
        <v>41</v>
      </c>
      <c r="KM9" s="629">
        <f t="shared" ref="KM9:KM28" si="33">KL9*KJ9</f>
        <v>38384.200000000004</v>
      </c>
      <c r="KP9" s="108"/>
      <c r="KQ9" s="15">
        <v>2</v>
      </c>
      <c r="KR9" s="70">
        <v>907.6</v>
      </c>
      <c r="KS9" s="357">
        <v>44558</v>
      </c>
      <c r="KT9" s="70">
        <v>907.6</v>
      </c>
      <c r="KU9" s="71" t="s">
        <v>643</v>
      </c>
      <c r="KV9" s="72">
        <v>42</v>
      </c>
      <c r="KW9" s="629">
        <f t="shared" ref="KW9:KW28" si="34">KV9*KT9</f>
        <v>38119.200000000004</v>
      </c>
      <c r="KZ9" s="95"/>
      <c r="LA9" s="15">
        <v>2</v>
      </c>
      <c r="LB9" s="93">
        <v>875.43</v>
      </c>
      <c r="LC9" s="341">
        <v>44558</v>
      </c>
      <c r="LD9" s="93">
        <v>875.43</v>
      </c>
      <c r="LE9" s="96" t="s">
        <v>649</v>
      </c>
      <c r="LF9" s="72">
        <v>42</v>
      </c>
      <c r="LG9" s="629">
        <f t="shared" ref="LG9:LG28" si="35">LF9*LD9</f>
        <v>36768.06</v>
      </c>
      <c r="LJ9" s="95"/>
      <c r="LK9" s="15">
        <v>2</v>
      </c>
      <c r="LL9" s="93">
        <v>947.55</v>
      </c>
      <c r="LM9" s="341">
        <v>44559</v>
      </c>
      <c r="LN9" s="93">
        <v>947.55</v>
      </c>
      <c r="LO9" s="96" t="s">
        <v>658</v>
      </c>
      <c r="LP9" s="72">
        <v>42</v>
      </c>
      <c r="LQ9" s="629">
        <f t="shared" ref="LQ9:LQ29" si="36">LP9*LN9</f>
        <v>39797.1</v>
      </c>
      <c r="LT9" s="95"/>
      <c r="LU9" s="15">
        <v>2</v>
      </c>
      <c r="LV9" s="93">
        <v>919</v>
      </c>
      <c r="LW9" s="341">
        <v>44559</v>
      </c>
      <c r="LX9" s="93">
        <v>919</v>
      </c>
      <c r="LY9" s="96" t="s">
        <v>656</v>
      </c>
      <c r="LZ9" s="72">
        <v>42</v>
      </c>
      <c r="MA9" s="629">
        <f t="shared" ref="MA9:MA29" si="37">LZ9*LX9</f>
        <v>38598</v>
      </c>
      <c r="MB9" s="629"/>
      <c r="MD9" s="95"/>
      <c r="ME9" s="15">
        <v>2</v>
      </c>
      <c r="MF9" s="412">
        <v>896.3</v>
      </c>
      <c r="MG9" s="341">
        <v>44560</v>
      </c>
      <c r="MH9" s="412">
        <v>896.3</v>
      </c>
      <c r="MI9" s="96" t="s">
        <v>666</v>
      </c>
      <c r="MJ9" s="72">
        <v>43</v>
      </c>
      <c r="MK9" s="72">
        <f t="shared" ref="MK9:MK28" si="38">MJ9*MH9</f>
        <v>38540.9</v>
      </c>
      <c r="MN9" s="95"/>
      <c r="MO9" s="15">
        <v>2</v>
      </c>
      <c r="MP9" s="93">
        <v>911.74</v>
      </c>
      <c r="MQ9" s="341">
        <v>44560</v>
      </c>
      <c r="MR9" s="93">
        <v>911.74</v>
      </c>
      <c r="MS9" s="96" t="s">
        <v>671</v>
      </c>
      <c r="MT9" s="72">
        <v>43</v>
      </c>
      <c r="MU9" s="72">
        <f t="shared" ref="MU9:MU28" si="39">MT9*MR9</f>
        <v>39204.82</v>
      </c>
      <c r="MX9" s="95"/>
      <c r="MY9" s="15">
        <v>2</v>
      </c>
      <c r="MZ9" s="93">
        <v>924</v>
      </c>
      <c r="NA9" s="341"/>
      <c r="NB9" s="93"/>
      <c r="NC9" s="96"/>
      <c r="ND9" s="72"/>
      <c r="NE9" s="72">
        <f t="shared" ref="NE9:NE28" si="40">ND9*NB9</f>
        <v>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/>
      <c r="NV9" s="93"/>
      <c r="NW9" s="96"/>
      <c r="NX9" s="72"/>
      <c r="NY9" s="72">
        <f t="shared" ref="NY9:NY28" si="42">NX9*NV9</f>
        <v>0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459</v>
      </c>
      <c r="R10" s="72">
        <v>37</v>
      </c>
      <c r="S10" s="629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474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463</v>
      </c>
      <c r="AL10" s="72">
        <v>37</v>
      </c>
      <c r="AM10" s="632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487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498</v>
      </c>
      <c r="BF10" s="400">
        <v>36</v>
      </c>
      <c r="BG10" s="648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507</v>
      </c>
      <c r="BP10" s="400">
        <v>36</v>
      </c>
      <c r="BQ10" s="861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467</v>
      </c>
      <c r="BZ10" s="403">
        <v>36</v>
      </c>
      <c r="CA10" s="629">
        <f t="shared" si="12"/>
        <v>33555.599999999999</v>
      </c>
      <c r="CD10" s="913"/>
      <c r="CE10" s="15">
        <v>3</v>
      </c>
      <c r="CF10" s="93">
        <v>912.6</v>
      </c>
      <c r="CG10" s="401">
        <v>44542</v>
      </c>
      <c r="CH10" s="93">
        <v>912.6</v>
      </c>
      <c r="CI10" s="404" t="s">
        <v>500</v>
      </c>
      <c r="CJ10" s="403">
        <v>36</v>
      </c>
      <c r="CK10" s="629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530</v>
      </c>
      <c r="CT10" s="403">
        <v>38</v>
      </c>
      <c r="CU10" s="637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523</v>
      </c>
      <c r="DD10" s="72">
        <v>38</v>
      </c>
      <c r="DE10" s="629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482</v>
      </c>
      <c r="DN10" s="403">
        <v>38</v>
      </c>
      <c r="DO10" s="637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483</v>
      </c>
      <c r="DX10" s="403">
        <v>38</v>
      </c>
      <c r="DY10" s="629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539</v>
      </c>
      <c r="EH10" s="72">
        <v>38</v>
      </c>
      <c r="EI10" s="629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536</v>
      </c>
      <c r="ER10" s="279">
        <v>38</v>
      </c>
      <c r="ES10" s="629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547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545</v>
      </c>
      <c r="FL10" s="279">
        <v>38</v>
      </c>
      <c r="FM10" s="629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550</v>
      </c>
      <c r="FV10" s="72">
        <v>38</v>
      </c>
      <c r="FW10" s="629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570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572</v>
      </c>
      <c r="GP10" s="72">
        <v>39</v>
      </c>
      <c r="GQ10" s="629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574</v>
      </c>
      <c r="GZ10" s="279">
        <v>39</v>
      </c>
      <c r="HA10" s="629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587</v>
      </c>
      <c r="HJ10" s="72">
        <v>41</v>
      </c>
      <c r="HK10" s="629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584</v>
      </c>
      <c r="HT10" s="279">
        <v>41</v>
      </c>
      <c r="HU10" s="629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597</v>
      </c>
      <c r="ID10" s="72">
        <v>42</v>
      </c>
      <c r="IE10" s="629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604</v>
      </c>
      <c r="IN10" s="72">
        <v>41</v>
      </c>
      <c r="IO10" s="629">
        <f t="shared" si="28"/>
        <v>38291.54</v>
      </c>
      <c r="IQ10" s="888"/>
      <c r="IR10" s="95"/>
      <c r="IS10" s="15">
        <v>3</v>
      </c>
      <c r="IT10" s="292">
        <v>890.9</v>
      </c>
      <c r="IU10" s="258">
        <v>44554</v>
      </c>
      <c r="IV10" s="292">
        <v>890.9</v>
      </c>
      <c r="IW10" s="552" t="s">
        <v>616</v>
      </c>
      <c r="IX10" s="279">
        <v>41</v>
      </c>
      <c r="IY10" s="338">
        <f t="shared" si="29"/>
        <v>36526.9</v>
      </c>
      <c r="IZ10" s="93"/>
      <c r="JA10" s="70"/>
      <c r="JB10" s="95"/>
      <c r="JC10" s="15">
        <v>3</v>
      </c>
      <c r="JD10" s="93">
        <v>905.4</v>
      </c>
      <c r="JE10" s="357">
        <v>44554</v>
      </c>
      <c r="JF10" s="93">
        <v>905.4</v>
      </c>
      <c r="JG10" s="71" t="s">
        <v>618</v>
      </c>
      <c r="JH10" s="72">
        <v>41</v>
      </c>
      <c r="JI10" s="629">
        <f t="shared" si="30"/>
        <v>37121.4</v>
      </c>
      <c r="JJ10" s="70"/>
      <c r="JL10" s="95"/>
      <c r="JM10" s="15">
        <v>3</v>
      </c>
      <c r="JN10" s="93">
        <v>924</v>
      </c>
      <c r="JO10" s="341">
        <v>44554</v>
      </c>
      <c r="JP10" s="93">
        <v>924</v>
      </c>
      <c r="JQ10" s="71" t="s">
        <v>609</v>
      </c>
      <c r="JR10" s="72">
        <v>41</v>
      </c>
      <c r="JS10" s="629">
        <f t="shared" si="31"/>
        <v>37884</v>
      </c>
      <c r="JV10" s="108"/>
      <c r="JW10" s="15">
        <v>3</v>
      </c>
      <c r="JX10" s="70">
        <v>921.7</v>
      </c>
      <c r="JY10" s="357">
        <v>44554</v>
      </c>
      <c r="JZ10" s="70">
        <v>921.7</v>
      </c>
      <c r="KA10" s="71" t="s">
        <v>614</v>
      </c>
      <c r="KB10" s="72">
        <v>41</v>
      </c>
      <c r="KC10" s="629">
        <f t="shared" si="32"/>
        <v>37789.700000000004</v>
      </c>
      <c r="KF10" s="108"/>
      <c r="KG10" s="15">
        <v>3</v>
      </c>
      <c r="KH10" s="70">
        <v>869.5</v>
      </c>
      <c r="KI10" s="357">
        <v>44556</v>
      </c>
      <c r="KJ10" s="70">
        <v>869.5</v>
      </c>
      <c r="KK10" s="71" t="s">
        <v>623</v>
      </c>
      <c r="KL10" s="72">
        <v>41</v>
      </c>
      <c r="KM10" s="629">
        <f t="shared" si="33"/>
        <v>35649.5</v>
      </c>
      <c r="KP10" s="108"/>
      <c r="KQ10" s="15">
        <v>3</v>
      </c>
      <c r="KR10" s="70">
        <v>953</v>
      </c>
      <c r="KS10" s="357">
        <v>44558</v>
      </c>
      <c r="KT10" s="70">
        <v>953</v>
      </c>
      <c r="KU10" s="71" t="s">
        <v>643</v>
      </c>
      <c r="KV10" s="72">
        <v>42</v>
      </c>
      <c r="KW10" s="629">
        <f t="shared" si="34"/>
        <v>40026</v>
      </c>
      <c r="KZ10" s="95"/>
      <c r="LA10" s="15">
        <v>3</v>
      </c>
      <c r="LB10" s="93">
        <v>970.68</v>
      </c>
      <c r="LC10" s="341">
        <v>44558</v>
      </c>
      <c r="LD10" s="93">
        <v>970.68</v>
      </c>
      <c r="LE10" s="96" t="s">
        <v>649</v>
      </c>
      <c r="LF10" s="72">
        <v>42</v>
      </c>
      <c r="LG10" s="629">
        <f t="shared" si="35"/>
        <v>40768.559999999998</v>
      </c>
      <c r="LJ10" s="95"/>
      <c r="LK10" s="15">
        <v>3</v>
      </c>
      <c r="LL10" s="93">
        <v>943.47</v>
      </c>
      <c r="LM10" s="341">
        <v>44559</v>
      </c>
      <c r="LN10" s="93">
        <v>943.47</v>
      </c>
      <c r="LO10" s="96" t="s">
        <v>658</v>
      </c>
      <c r="LP10" s="72">
        <v>42</v>
      </c>
      <c r="LQ10" s="629">
        <f t="shared" si="36"/>
        <v>39625.74</v>
      </c>
      <c r="LT10" s="95"/>
      <c r="LU10" s="15">
        <v>3</v>
      </c>
      <c r="LV10" s="93">
        <v>864.5</v>
      </c>
      <c r="LW10" s="341">
        <v>44559</v>
      </c>
      <c r="LX10" s="93">
        <v>864.5</v>
      </c>
      <c r="LY10" s="96" t="s">
        <v>656</v>
      </c>
      <c r="LZ10" s="72">
        <v>42</v>
      </c>
      <c r="MA10" s="629">
        <f t="shared" si="37"/>
        <v>36309</v>
      </c>
      <c r="MB10" s="629"/>
      <c r="MD10" s="95"/>
      <c r="ME10" s="15">
        <v>3</v>
      </c>
      <c r="MF10" s="412">
        <v>894</v>
      </c>
      <c r="MG10" s="341">
        <v>44560</v>
      </c>
      <c r="MH10" s="412">
        <v>894</v>
      </c>
      <c r="MI10" s="96" t="s">
        <v>666</v>
      </c>
      <c r="MJ10" s="72">
        <v>43</v>
      </c>
      <c r="MK10" s="72">
        <f t="shared" si="38"/>
        <v>38442</v>
      </c>
      <c r="MN10" s="95"/>
      <c r="MO10" s="15">
        <v>3</v>
      </c>
      <c r="MP10" s="93">
        <v>879.08</v>
      </c>
      <c r="MQ10" s="341">
        <v>44560</v>
      </c>
      <c r="MR10" s="93">
        <v>879.08</v>
      </c>
      <c r="MS10" s="96" t="s">
        <v>671</v>
      </c>
      <c r="MT10" s="72">
        <v>43</v>
      </c>
      <c r="MU10" s="72">
        <f t="shared" si="39"/>
        <v>37800.44</v>
      </c>
      <c r="MX10" s="95"/>
      <c r="MY10" s="15">
        <v>3</v>
      </c>
      <c r="MZ10" s="93">
        <v>867.3</v>
      </c>
      <c r="NA10" s="341"/>
      <c r="NB10" s="93"/>
      <c r="NC10" s="96"/>
      <c r="ND10" s="72"/>
      <c r="NE10" s="72">
        <f t="shared" si="40"/>
        <v>0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/>
      <c r="NV10" s="93"/>
      <c r="NW10" s="96"/>
      <c r="NX10" s="72"/>
      <c r="NY10" s="72">
        <f t="shared" si="42"/>
        <v>0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459</v>
      </c>
      <c r="R11" s="72">
        <v>37</v>
      </c>
      <c r="S11" s="629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474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463</v>
      </c>
      <c r="AL11" s="72">
        <v>37</v>
      </c>
      <c r="AM11" s="632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487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498</v>
      </c>
      <c r="BF11" s="400">
        <v>36</v>
      </c>
      <c r="BG11" s="648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507</v>
      </c>
      <c r="BP11" s="400">
        <v>36</v>
      </c>
      <c r="BQ11" s="861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467</v>
      </c>
      <c r="BZ11" s="403">
        <v>36</v>
      </c>
      <c r="CA11" s="629">
        <f t="shared" si="12"/>
        <v>33703.200000000004</v>
      </c>
      <c r="CC11" s="62"/>
      <c r="CD11" s="913"/>
      <c r="CE11" s="15">
        <v>4</v>
      </c>
      <c r="CF11" s="93">
        <v>911.3</v>
      </c>
      <c r="CG11" s="401">
        <v>44542</v>
      </c>
      <c r="CH11" s="93">
        <v>911.3</v>
      </c>
      <c r="CI11" s="404" t="s">
        <v>500</v>
      </c>
      <c r="CJ11" s="403">
        <v>36</v>
      </c>
      <c r="CK11" s="629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530</v>
      </c>
      <c r="CT11" s="403">
        <v>38</v>
      </c>
      <c r="CU11" s="637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523</v>
      </c>
      <c r="DD11" s="72">
        <v>38</v>
      </c>
      <c r="DE11" s="629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482</v>
      </c>
      <c r="DN11" s="403">
        <v>38</v>
      </c>
      <c r="DO11" s="637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483</v>
      </c>
      <c r="DX11" s="403">
        <v>38</v>
      </c>
      <c r="DY11" s="629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539</v>
      </c>
      <c r="EH11" s="72">
        <v>38</v>
      </c>
      <c r="EI11" s="629">
        <f t="shared" si="17"/>
        <v>35229.800000000003</v>
      </c>
      <c r="EK11" s="1026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536</v>
      </c>
      <c r="ER11" s="279">
        <v>38</v>
      </c>
      <c r="ES11" s="629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547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545</v>
      </c>
      <c r="FL11" s="279">
        <v>38</v>
      </c>
      <c r="FM11" s="629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550</v>
      </c>
      <c r="FV11" s="72">
        <v>38</v>
      </c>
      <c r="FW11" s="629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570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573</v>
      </c>
      <c r="GP11" s="72">
        <v>39</v>
      </c>
      <c r="GQ11" s="629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574</v>
      </c>
      <c r="GZ11" s="279">
        <v>39</v>
      </c>
      <c r="HA11" s="629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587</v>
      </c>
      <c r="HJ11" s="72">
        <v>41</v>
      </c>
      <c r="HK11" s="629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584</v>
      </c>
      <c r="HT11" s="279">
        <v>41</v>
      </c>
      <c r="HU11" s="629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597</v>
      </c>
      <c r="ID11" s="72">
        <v>42</v>
      </c>
      <c r="IE11" s="629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604</v>
      </c>
      <c r="IN11" s="72">
        <v>41</v>
      </c>
      <c r="IO11" s="629">
        <f t="shared" si="28"/>
        <v>37454.729999999996</v>
      </c>
      <c r="IQ11" s="889"/>
      <c r="IR11" s="108"/>
      <c r="IS11" s="15">
        <v>4</v>
      </c>
      <c r="IT11" s="292">
        <v>883.6</v>
      </c>
      <c r="IU11" s="258">
        <v>44554</v>
      </c>
      <c r="IV11" s="292">
        <v>883.6</v>
      </c>
      <c r="IW11" s="552" t="s">
        <v>616</v>
      </c>
      <c r="IX11" s="279">
        <v>41</v>
      </c>
      <c r="IY11" s="338">
        <f t="shared" si="29"/>
        <v>36227.599999999999</v>
      </c>
      <c r="IZ11" s="93"/>
      <c r="JA11" s="70"/>
      <c r="JB11" s="108"/>
      <c r="JC11" s="15">
        <v>4</v>
      </c>
      <c r="JD11" s="93">
        <v>875.4</v>
      </c>
      <c r="JE11" s="357">
        <v>44554</v>
      </c>
      <c r="JF11" s="93">
        <v>875.4</v>
      </c>
      <c r="JG11" s="71" t="s">
        <v>618</v>
      </c>
      <c r="JH11" s="72">
        <v>41</v>
      </c>
      <c r="JI11" s="629">
        <f t="shared" si="30"/>
        <v>35891.4</v>
      </c>
      <c r="JJ11" s="70"/>
      <c r="JK11" s="62"/>
      <c r="JL11" s="108"/>
      <c r="JM11" s="15">
        <v>4</v>
      </c>
      <c r="JN11" s="93">
        <v>891.3</v>
      </c>
      <c r="JO11" s="341">
        <v>44554</v>
      </c>
      <c r="JP11" s="93">
        <v>891.3</v>
      </c>
      <c r="JQ11" s="71" t="s">
        <v>609</v>
      </c>
      <c r="JR11" s="72">
        <v>41</v>
      </c>
      <c r="JS11" s="629">
        <f t="shared" si="31"/>
        <v>36543.299999999996</v>
      </c>
      <c r="JU11" s="62"/>
      <c r="JV11" s="108"/>
      <c r="JW11" s="15">
        <v>4</v>
      </c>
      <c r="JX11" s="70">
        <v>881.8</v>
      </c>
      <c r="JY11" s="357">
        <v>44554</v>
      </c>
      <c r="JZ11" s="70">
        <v>881.8</v>
      </c>
      <c r="KA11" s="71" t="s">
        <v>614</v>
      </c>
      <c r="KB11" s="72">
        <v>41</v>
      </c>
      <c r="KC11" s="629">
        <f t="shared" si="32"/>
        <v>36153.799999999996</v>
      </c>
      <c r="KE11" s="62"/>
      <c r="KF11" s="108"/>
      <c r="KG11" s="15">
        <v>4</v>
      </c>
      <c r="KH11" s="70">
        <v>933.9</v>
      </c>
      <c r="KI11" s="357">
        <v>44556</v>
      </c>
      <c r="KJ11" s="70">
        <v>933.9</v>
      </c>
      <c r="KK11" s="71" t="s">
        <v>623</v>
      </c>
      <c r="KL11" s="72">
        <v>41</v>
      </c>
      <c r="KM11" s="629">
        <f t="shared" si="33"/>
        <v>38289.9</v>
      </c>
      <c r="KO11" s="62"/>
      <c r="KP11" s="108"/>
      <c r="KQ11" s="15">
        <v>4</v>
      </c>
      <c r="KR11" s="70">
        <v>894</v>
      </c>
      <c r="KS11" s="357">
        <v>44558</v>
      </c>
      <c r="KT11" s="70">
        <v>894</v>
      </c>
      <c r="KU11" s="71" t="s">
        <v>643</v>
      </c>
      <c r="KV11" s="72">
        <v>42</v>
      </c>
      <c r="KW11" s="629">
        <f t="shared" si="34"/>
        <v>37548</v>
      </c>
      <c r="KY11" s="62"/>
      <c r="KZ11" s="108"/>
      <c r="LA11" s="15">
        <v>4</v>
      </c>
      <c r="LB11" s="93">
        <v>945.28</v>
      </c>
      <c r="LC11" s="341">
        <v>44558</v>
      </c>
      <c r="LD11" s="93">
        <v>945.28</v>
      </c>
      <c r="LE11" s="96" t="s">
        <v>649</v>
      </c>
      <c r="LF11" s="72">
        <v>42</v>
      </c>
      <c r="LG11" s="629">
        <f t="shared" si="35"/>
        <v>39701.760000000002</v>
      </c>
      <c r="LI11" s="62"/>
      <c r="LJ11" s="108"/>
      <c r="LK11" s="15">
        <v>4</v>
      </c>
      <c r="LL11" s="93">
        <v>934.85</v>
      </c>
      <c r="LM11" s="341">
        <v>44559</v>
      </c>
      <c r="LN11" s="93">
        <v>934.85</v>
      </c>
      <c r="LO11" s="96" t="s">
        <v>658</v>
      </c>
      <c r="LP11" s="72">
        <v>42</v>
      </c>
      <c r="LQ11" s="629">
        <f t="shared" si="36"/>
        <v>39263.700000000004</v>
      </c>
      <c r="LS11" s="62"/>
      <c r="LT11" s="108"/>
      <c r="LU11" s="15">
        <v>4</v>
      </c>
      <c r="LV11" s="93">
        <v>866.4</v>
      </c>
      <c r="LW11" s="341">
        <v>44559</v>
      </c>
      <c r="LX11" s="93">
        <v>866.4</v>
      </c>
      <c r="LY11" s="96" t="s">
        <v>656</v>
      </c>
      <c r="LZ11" s="72">
        <v>42</v>
      </c>
      <c r="MA11" s="629">
        <f t="shared" si="37"/>
        <v>36388.799999999996</v>
      </c>
      <c r="MB11" s="629"/>
      <c r="MC11" s="62"/>
      <c r="MD11" s="108"/>
      <c r="ME11" s="15">
        <v>4</v>
      </c>
      <c r="MF11" s="412">
        <v>870.9</v>
      </c>
      <c r="MG11" s="341">
        <v>44560</v>
      </c>
      <c r="MH11" s="412">
        <v>870.9</v>
      </c>
      <c r="MI11" s="96" t="s">
        <v>666</v>
      </c>
      <c r="MJ11" s="72">
        <v>43</v>
      </c>
      <c r="MK11" s="72">
        <f t="shared" si="38"/>
        <v>37448.699999999997</v>
      </c>
      <c r="MM11" s="62"/>
      <c r="MN11" s="108"/>
      <c r="MO11" s="15">
        <v>4</v>
      </c>
      <c r="MP11" s="93">
        <v>882.25</v>
      </c>
      <c r="MQ11" s="341">
        <v>44560</v>
      </c>
      <c r="MR11" s="93">
        <v>882.25</v>
      </c>
      <c r="MS11" s="96" t="s">
        <v>671</v>
      </c>
      <c r="MT11" s="72">
        <v>43</v>
      </c>
      <c r="MU11" s="72">
        <f t="shared" si="39"/>
        <v>37936.75</v>
      </c>
      <c r="MW11" s="62"/>
      <c r="MX11" s="108"/>
      <c r="MY11" s="15">
        <v>4</v>
      </c>
      <c r="MZ11" s="93">
        <v>863.2</v>
      </c>
      <c r="NA11" s="341"/>
      <c r="NB11" s="93"/>
      <c r="NC11" s="96"/>
      <c r="ND11" s="72"/>
      <c r="NE11" s="72">
        <f t="shared" si="40"/>
        <v>0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/>
      <c r="NV11" s="93"/>
      <c r="NW11" s="96"/>
      <c r="NX11" s="72"/>
      <c r="NY11" s="72">
        <f t="shared" si="42"/>
        <v>0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459</v>
      </c>
      <c r="R12" s="72">
        <v>37</v>
      </c>
      <c r="S12" s="629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474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463</v>
      </c>
      <c r="AL12" s="72">
        <v>37</v>
      </c>
      <c r="AM12" s="632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487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498</v>
      </c>
      <c r="BF12" s="400">
        <v>36</v>
      </c>
      <c r="BG12" s="648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507</v>
      </c>
      <c r="BP12" s="400">
        <v>36</v>
      </c>
      <c r="BQ12" s="861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467</v>
      </c>
      <c r="BZ12" s="403">
        <v>36</v>
      </c>
      <c r="CA12" s="629">
        <f t="shared" si="12"/>
        <v>32641.200000000001</v>
      </c>
      <c r="CD12" s="913"/>
      <c r="CE12" s="15">
        <v>5</v>
      </c>
      <c r="CF12" s="93">
        <v>936.2</v>
      </c>
      <c r="CG12" s="401">
        <v>44542</v>
      </c>
      <c r="CH12" s="93">
        <v>936.2</v>
      </c>
      <c r="CI12" s="404" t="s">
        <v>500</v>
      </c>
      <c r="CJ12" s="403">
        <v>36</v>
      </c>
      <c r="CK12" s="629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530</v>
      </c>
      <c r="CT12" s="403">
        <v>38</v>
      </c>
      <c r="CU12" s="637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523</v>
      </c>
      <c r="DD12" s="72">
        <v>38</v>
      </c>
      <c r="DE12" s="629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482</v>
      </c>
      <c r="DN12" s="403">
        <v>38</v>
      </c>
      <c r="DO12" s="637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483</v>
      </c>
      <c r="DX12" s="403">
        <v>38</v>
      </c>
      <c r="DY12" s="629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539</v>
      </c>
      <c r="EH12" s="72">
        <v>38</v>
      </c>
      <c r="EI12" s="629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536</v>
      </c>
      <c r="ER12" s="279">
        <v>38</v>
      </c>
      <c r="ES12" s="629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547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545</v>
      </c>
      <c r="FL12" s="279">
        <v>38</v>
      </c>
      <c r="FM12" s="629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550</v>
      </c>
      <c r="FV12" s="72">
        <v>38</v>
      </c>
      <c r="FW12" s="629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570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573</v>
      </c>
      <c r="GP12" s="72">
        <v>39</v>
      </c>
      <c r="GQ12" s="629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574</v>
      </c>
      <c r="GZ12" s="279">
        <v>39</v>
      </c>
      <c r="HA12" s="629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587</v>
      </c>
      <c r="HJ12" s="72">
        <v>41</v>
      </c>
      <c r="HK12" s="629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584</v>
      </c>
      <c r="HT12" s="279">
        <v>41</v>
      </c>
      <c r="HU12" s="629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597</v>
      </c>
      <c r="ID12" s="72">
        <v>42</v>
      </c>
      <c r="IE12" s="629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604</v>
      </c>
      <c r="IN12" s="72">
        <v>41</v>
      </c>
      <c r="IO12" s="629">
        <f t="shared" si="28"/>
        <v>38793.79</v>
      </c>
      <c r="IQ12" s="888"/>
      <c r="IR12" s="108"/>
      <c r="IS12" s="15">
        <v>5</v>
      </c>
      <c r="IT12" s="292">
        <v>909.4</v>
      </c>
      <c r="IU12" s="258">
        <v>44554</v>
      </c>
      <c r="IV12" s="292">
        <v>909.4</v>
      </c>
      <c r="IW12" s="552" t="s">
        <v>616</v>
      </c>
      <c r="IX12" s="279">
        <v>41</v>
      </c>
      <c r="IY12" s="338">
        <f t="shared" si="29"/>
        <v>37285.4</v>
      </c>
      <c r="IZ12" s="93"/>
      <c r="JA12" s="70"/>
      <c r="JB12" s="108"/>
      <c r="JC12" s="15">
        <v>5</v>
      </c>
      <c r="JD12" s="93">
        <v>912.2</v>
      </c>
      <c r="JE12" s="357">
        <v>44554</v>
      </c>
      <c r="JF12" s="93">
        <v>912.2</v>
      </c>
      <c r="JG12" s="71" t="s">
        <v>618</v>
      </c>
      <c r="JH12" s="72">
        <v>41</v>
      </c>
      <c r="JI12" s="629">
        <f t="shared" si="30"/>
        <v>37400.200000000004</v>
      </c>
      <c r="JJ12" s="70"/>
      <c r="JL12" s="108"/>
      <c r="JM12" s="15">
        <v>5</v>
      </c>
      <c r="JN12" s="93">
        <v>934.8</v>
      </c>
      <c r="JO12" s="341">
        <v>44554</v>
      </c>
      <c r="JP12" s="93">
        <v>934.8</v>
      </c>
      <c r="JQ12" s="71" t="s">
        <v>609</v>
      </c>
      <c r="JR12" s="72">
        <v>41</v>
      </c>
      <c r="JS12" s="629">
        <f t="shared" si="31"/>
        <v>38326.799999999996</v>
      </c>
      <c r="JV12" s="108"/>
      <c r="JW12" s="15">
        <v>5</v>
      </c>
      <c r="JX12" s="70">
        <v>910.8</v>
      </c>
      <c r="JY12" s="357">
        <v>44554</v>
      </c>
      <c r="JZ12" s="70">
        <v>910.8</v>
      </c>
      <c r="KA12" s="71" t="s">
        <v>614</v>
      </c>
      <c r="KB12" s="72">
        <v>41</v>
      </c>
      <c r="KC12" s="629">
        <f t="shared" si="32"/>
        <v>37342.799999999996</v>
      </c>
      <c r="KF12" s="108"/>
      <c r="KG12" s="15">
        <v>5</v>
      </c>
      <c r="KH12" s="70">
        <v>870</v>
      </c>
      <c r="KI12" s="357">
        <v>44556</v>
      </c>
      <c r="KJ12" s="70">
        <v>870</v>
      </c>
      <c r="KK12" s="71" t="s">
        <v>623</v>
      </c>
      <c r="KL12" s="72">
        <v>41</v>
      </c>
      <c r="KM12" s="629">
        <f t="shared" si="33"/>
        <v>35670</v>
      </c>
      <c r="KP12" s="108"/>
      <c r="KQ12" s="15">
        <v>5</v>
      </c>
      <c r="KR12" s="70">
        <v>900.8</v>
      </c>
      <c r="KS12" s="357">
        <v>44558</v>
      </c>
      <c r="KT12" s="70">
        <v>900.8</v>
      </c>
      <c r="KU12" s="71" t="s">
        <v>643</v>
      </c>
      <c r="KV12" s="72">
        <v>42</v>
      </c>
      <c r="KW12" s="629">
        <f t="shared" si="34"/>
        <v>37833.599999999999</v>
      </c>
      <c r="KZ12" s="108"/>
      <c r="LA12" s="15">
        <v>5</v>
      </c>
      <c r="LB12" s="93">
        <v>938.02</v>
      </c>
      <c r="LC12" s="341">
        <v>44558</v>
      </c>
      <c r="LD12" s="93">
        <v>938.02</v>
      </c>
      <c r="LE12" s="96" t="s">
        <v>649</v>
      </c>
      <c r="LF12" s="72">
        <v>42</v>
      </c>
      <c r="LG12" s="629">
        <f t="shared" si="35"/>
        <v>39396.839999999997</v>
      </c>
      <c r="LJ12" s="108"/>
      <c r="LK12" s="15">
        <v>5</v>
      </c>
      <c r="LL12" s="93">
        <v>938.93</v>
      </c>
      <c r="LM12" s="341">
        <v>44559</v>
      </c>
      <c r="LN12" s="93">
        <v>938.93</v>
      </c>
      <c r="LO12" s="96" t="s">
        <v>658</v>
      </c>
      <c r="LP12" s="72">
        <v>42</v>
      </c>
      <c r="LQ12" s="629">
        <f t="shared" si="36"/>
        <v>39435.06</v>
      </c>
      <c r="LT12" s="108"/>
      <c r="LU12" s="15">
        <v>5</v>
      </c>
      <c r="LV12" s="93">
        <v>895.4</v>
      </c>
      <c r="LW12" s="341">
        <v>44559</v>
      </c>
      <c r="LX12" s="93">
        <v>895.4</v>
      </c>
      <c r="LY12" s="96" t="s">
        <v>656</v>
      </c>
      <c r="LZ12" s="72">
        <v>42</v>
      </c>
      <c r="MA12" s="629">
        <f t="shared" si="37"/>
        <v>37606.799999999996</v>
      </c>
      <c r="MB12" s="629"/>
      <c r="MD12" s="108"/>
      <c r="ME12" s="15">
        <v>5</v>
      </c>
      <c r="MF12" s="412">
        <v>886.3</v>
      </c>
      <c r="MG12" s="341">
        <v>44560</v>
      </c>
      <c r="MH12" s="412">
        <v>886.3</v>
      </c>
      <c r="MI12" s="96" t="s">
        <v>666</v>
      </c>
      <c r="MJ12" s="72">
        <v>43</v>
      </c>
      <c r="MK12" s="72">
        <f t="shared" si="38"/>
        <v>38110.9</v>
      </c>
      <c r="MN12" s="108"/>
      <c r="MO12" s="15">
        <v>5</v>
      </c>
      <c r="MP12" s="93">
        <v>911.28</v>
      </c>
      <c r="MQ12" s="341">
        <v>44560</v>
      </c>
      <c r="MR12" s="93">
        <v>911.28</v>
      </c>
      <c r="MS12" s="96" t="s">
        <v>671</v>
      </c>
      <c r="MT12" s="72">
        <v>43</v>
      </c>
      <c r="MU12" s="72">
        <f t="shared" si="39"/>
        <v>39185.040000000001</v>
      </c>
      <c r="MX12" s="108"/>
      <c r="MY12" s="15">
        <v>5</v>
      </c>
      <c r="MZ12" s="93">
        <v>884.5</v>
      </c>
      <c r="NA12" s="341"/>
      <c r="NB12" s="93"/>
      <c r="NC12" s="96"/>
      <c r="ND12" s="72"/>
      <c r="NE12" s="72">
        <f t="shared" si="40"/>
        <v>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/>
      <c r="NV12" s="93"/>
      <c r="NW12" s="96"/>
      <c r="NX12" s="72"/>
      <c r="NY12" s="72">
        <f t="shared" si="42"/>
        <v>0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459</v>
      </c>
      <c r="R13" s="72">
        <v>37</v>
      </c>
      <c r="S13" s="629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474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463</v>
      </c>
      <c r="AL13" s="72">
        <v>37</v>
      </c>
      <c r="AM13" s="632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487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498</v>
      </c>
      <c r="BF13" s="400">
        <v>36</v>
      </c>
      <c r="BG13" s="648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507</v>
      </c>
      <c r="BP13" s="400">
        <v>36</v>
      </c>
      <c r="BQ13" s="861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467</v>
      </c>
      <c r="BZ13" s="403">
        <v>36</v>
      </c>
      <c r="CA13" s="629">
        <f t="shared" si="12"/>
        <v>32446.799999999999</v>
      </c>
      <c r="CD13" s="913"/>
      <c r="CE13" s="15">
        <v>6</v>
      </c>
      <c r="CF13" s="93">
        <v>926.7</v>
      </c>
      <c r="CG13" s="401">
        <v>44542</v>
      </c>
      <c r="CH13" s="93">
        <v>926.7</v>
      </c>
      <c r="CI13" s="404" t="s">
        <v>500</v>
      </c>
      <c r="CJ13" s="403">
        <v>36</v>
      </c>
      <c r="CK13" s="629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530</v>
      </c>
      <c r="CT13" s="403">
        <v>38</v>
      </c>
      <c r="CU13" s="637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523</v>
      </c>
      <c r="DD13" s="72">
        <v>38</v>
      </c>
      <c r="DE13" s="629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482</v>
      </c>
      <c r="DN13" s="403">
        <v>38</v>
      </c>
      <c r="DO13" s="637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483</v>
      </c>
      <c r="DX13" s="403">
        <v>38</v>
      </c>
      <c r="DY13" s="629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539</v>
      </c>
      <c r="EH13" s="72">
        <v>38</v>
      </c>
      <c r="EI13" s="629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536</v>
      </c>
      <c r="ER13" s="279">
        <v>38</v>
      </c>
      <c r="ES13" s="629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547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545</v>
      </c>
      <c r="FL13" s="279">
        <v>38</v>
      </c>
      <c r="FM13" s="629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550</v>
      </c>
      <c r="FV13" s="72">
        <v>38</v>
      </c>
      <c r="FW13" s="629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570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573</v>
      </c>
      <c r="GP13" s="72">
        <v>39</v>
      </c>
      <c r="GQ13" s="629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574</v>
      </c>
      <c r="GZ13" s="279">
        <v>39</v>
      </c>
      <c r="HA13" s="629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587</v>
      </c>
      <c r="HJ13" s="72">
        <v>41</v>
      </c>
      <c r="HK13" s="629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584</v>
      </c>
      <c r="HT13" s="279">
        <v>41</v>
      </c>
      <c r="HU13" s="629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597</v>
      </c>
      <c r="ID13" s="72">
        <v>42</v>
      </c>
      <c r="IE13" s="629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604</v>
      </c>
      <c r="IN13" s="72">
        <v>41</v>
      </c>
      <c r="IO13" s="629">
        <f t="shared" si="28"/>
        <v>38328.85</v>
      </c>
      <c r="IQ13" s="888"/>
      <c r="IR13" s="108"/>
      <c r="IS13" s="15">
        <v>6</v>
      </c>
      <c r="IT13" s="292">
        <v>878.6</v>
      </c>
      <c r="IU13" s="258">
        <v>44554</v>
      </c>
      <c r="IV13" s="292">
        <v>878.6</v>
      </c>
      <c r="IW13" s="552" t="s">
        <v>616</v>
      </c>
      <c r="IX13" s="279">
        <v>41</v>
      </c>
      <c r="IY13" s="338">
        <f t="shared" si="29"/>
        <v>36022.6</v>
      </c>
      <c r="IZ13" s="93"/>
      <c r="JA13" s="70"/>
      <c r="JB13" s="108"/>
      <c r="JC13" s="15">
        <v>6</v>
      </c>
      <c r="JD13" s="93">
        <v>879.1</v>
      </c>
      <c r="JE13" s="357">
        <v>44554</v>
      </c>
      <c r="JF13" s="93">
        <v>879.1</v>
      </c>
      <c r="JG13" s="71" t="s">
        <v>618</v>
      </c>
      <c r="JH13" s="72">
        <v>41</v>
      </c>
      <c r="JI13" s="629">
        <f t="shared" si="30"/>
        <v>36043.1</v>
      </c>
      <c r="JJ13" s="70"/>
      <c r="JL13" s="108"/>
      <c r="JM13" s="15">
        <v>6</v>
      </c>
      <c r="JN13" s="93">
        <v>935.8</v>
      </c>
      <c r="JO13" s="341">
        <v>44554</v>
      </c>
      <c r="JP13" s="93">
        <v>935.8</v>
      </c>
      <c r="JQ13" s="71" t="s">
        <v>609</v>
      </c>
      <c r="JR13" s="72">
        <v>41</v>
      </c>
      <c r="JS13" s="629">
        <f t="shared" si="31"/>
        <v>38367.799999999996</v>
      </c>
      <c r="JV13" s="108"/>
      <c r="JW13" s="15">
        <v>6</v>
      </c>
      <c r="JX13" s="70">
        <v>875</v>
      </c>
      <c r="JY13" s="357">
        <v>44554</v>
      </c>
      <c r="JZ13" s="70">
        <v>875</v>
      </c>
      <c r="KA13" s="71" t="s">
        <v>614</v>
      </c>
      <c r="KB13" s="72">
        <v>41</v>
      </c>
      <c r="KC13" s="629">
        <f t="shared" si="32"/>
        <v>35875</v>
      </c>
      <c r="KF13" s="108"/>
      <c r="KG13" s="15">
        <v>6</v>
      </c>
      <c r="KH13" s="70">
        <v>891.8</v>
      </c>
      <c r="KI13" s="357">
        <v>44556</v>
      </c>
      <c r="KJ13" s="70">
        <v>891.8</v>
      </c>
      <c r="KK13" s="71" t="s">
        <v>625</v>
      </c>
      <c r="KL13" s="72">
        <v>41</v>
      </c>
      <c r="KM13" s="629">
        <f t="shared" si="33"/>
        <v>36563.799999999996</v>
      </c>
      <c r="KP13" s="108"/>
      <c r="KQ13" s="15">
        <v>6</v>
      </c>
      <c r="KR13" s="70">
        <v>914.9</v>
      </c>
      <c r="KS13" s="357">
        <v>44558</v>
      </c>
      <c r="KT13" s="70">
        <v>914.9</v>
      </c>
      <c r="KU13" s="71" t="s">
        <v>643</v>
      </c>
      <c r="KV13" s="72">
        <v>42</v>
      </c>
      <c r="KW13" s="629">
        <f t="shared" si="34"/>
        <v>38425.799999999996</v>
      </c>
      <c r="KZ13" s="108"/>
      <c r="LA13" s="15">
        <v>6</v>
      </c>
      <c r="LB13" s="93">
        <v>927.59</v>
      </c>
      <c r="LC13" s="341">
        <v>44558</v>
      </c>
      <c r="LD13" s="93">
        <v>927.59</v>
      </c>
      <c r="LE13" s="96" t="s">
        <v>649</v>
      </c>
      <c r="LF13" s="72">
        <v>42</v>
      </c>
      <c r="LG13" s="629">
        <f t="shared" si="35"/>
        <v>38958.78</v>
      </c>
      <c r="LJ13" s="108"/>
      <c r="LK13" s="15">
        <v>6</v>
      </c>
      <c r="LL13" s="93">
        <v>923.96</v>
      </c>
      <c r="LM13" s="341">
        <v>44559</v>
      </c>
      <c r="LN13" s="93">
        <v>923.96</v>
      </c>
      <c r="LO13" s="96" t="s">
        <v>658</v>
      </c>
      <c r="LP13" s="72">
        <v>42</v>
      </c>
      <c r="LQ13" s="629">
        <f t="shared" si="36"/>
        <v>38806.32</v>
      </c>
      <c r="LT13" s="108"/>
      <c r="LU13" s="15">
        <v>6</v>
      </c>
      <c r="LV13" s="93">
        <v>915.8</v>
      </c>
      <c r="LW13" s="341">
        <v>44559</v>
      </c>
      <c r="LX13" s="93">
        <v>915.8</v>
      </c>
      <c r="LY13" s="96" t="s">
        <v>656</v>
      </c>
      <c r="LZ13" s="72">
        <v>42</v>
      </c>
      <c r="MA13" s="629">
        <f t="shared" si="37"/>
        <v>38463.599999999999</v>
      </c>
      <c r="MB13" s="629"/>
      <c r="MD13" s="108"/>
      <c r="ME13" s="15">
        <v>6</v>
      </c>
      <c r="MF13" s="412">
        <v>921.7</v>
      </c>
      <c r="MG13" s="341">
        <v>44560</v>
      </c>
      <c r="MH13" s="412">
        <v>921.7</v>
      </c>
      <c r="MI13" s="96" t="s">
        <v>666</v>
      </c>
      <c r="MJ13" s="72">
        <v>43</v>
      </c>
      <c r="MK13" s="72">
        <f t="shared" si="38"/>
        <v>39633.1</v>
      </c>
      <c r="MN13" s="108"/>
      <c r="MO13" s="15">
        <v>6</v>
      </c>
      <c r="MP13" s="93">
        <v>916.73</v>
      </c>
      <c r="MQ13" s="341">
        <v>44560</v>
      </c>
      <c r="MR13" s="93">
        <v>916.73</v>
      </c>
      <c r="MS13" s="96" t="s">
        <v>671</v>
      </c>
      <c r="MT13" s="72">
        <v>43</v>
      </c>
      <c r="MU13" s="72">
        <f t="shared" si="39"/>
        <v>39419.39</v>
      </c>
      <c r="MX13" s="108"/>
      <c r="MY13" s="15">
        <v>6</v>
      </c>
      <c r="MZ13" s="93">
        <v>894.9</v>
      </c>
      <c r="NA13" s="341"/>
      <c r="NB13" s="93"/>
      <c r="NC13" s="96"/>
      <c r="ND13" s="72"/>
      <c r="NE13" s="72">
        <f t="shared" si="40"/>
        <v>0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/>
      <c r="NV13" s="93"/>
      <c r="NW13" s="96"/>
      <c r="NX13" s="72"/>
      <c r="NY13" s="72">
        <f t="shared" si="42"/>
        <v>0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459</v>
      </c>
      <c r="R14" s="72">
        <v>37</v>
      </c>
      <c r="S14" s="629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474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463</v>
      </c>
      <c r="AL14" s="72">
        <v>37</v>
      </c>
      <c r="AM14" s="632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487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498</v>
      </c>
      <c r="BF14" s="400">
        <v>36</v>
      </c>
      <c r="BG14" s="648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507</v>
      </c>
      <c r="BP14" s="400">
        <v>36</v>
      </c>
      <c r="BQ14" s="861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467</v>
      </c>
      <c r="BZ14" s="403">
        <v>36</v>
      </c>
      <c r="CA14" s="629">
        <f t="shared" si="12"/>
        <v>33001.200000000004</v>
      </c>
      <c r="CD14" s="913"/>
      <c r="CE14" s="15">
        <v>7</v>
      </c>
      <c r="CF14" s="93">
        <v>937.1</v>
      </c>
      <c r="CG14" s="401">
        <v>44542</v>
      </c>
      <c r="CH14" s="93">
        <v>937.1</v>
      </c>
      <c r="CI14" s="404" t="s">
        <v>518</v>
      </c>
      <c r="CJ14" s="403">
        <v>36</v>
      </c>
      <c r="CK14" s="629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530</v>
      </c>
      <c r="CT14" s="403">
        <v>38</v>
      </c>
      <c r="CU14" s="637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523</v>
      </c>
      <c r="DD14" s="72">
        <v>38</v>
      </c>
      <c r="DE14" s="629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482</v>
      </c>
      <c r="DN14" s="403">
        <v>38</v>
      </c>
      <c r="DO14" s="637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483</v>
      </c>
      <c r="DX14" s="403">
        <v>38</v>
      </c>
      <c r="DY14" s="629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539</v>
      </c>
      <c r="EH14" s="72">
        <v>38</v>
      </c>
      <c r="EI14" s="629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536</v>
      </c>
      <c r="ER14" s="279">
        <v>38</v>
      </c>
      <c r="ES14" s="629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547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544</v>
      </c>
      <c r="FL14" s="279">
        <v>38</v>
      </c>
      <c r="FM14" s="629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550</v>
      </c>
      <c r="FV14" s="72">
        <v>38</v>
      </c>
      <c r="FW14" s="629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570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572</v>
      </c>
      <c r="GP14" s="72">
        <v>39</v>
      </c>
      <c r="GQ14" s="629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574</v>
      </c>
      <c r="GZ14" s="279">
        <v>39</v>
      </c>
      <c r="HA14" s="629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587</v>
      </c>
      <c r="HJ14" s="72">
        <v>41</v>
      </c>
      <c r="HK14" s="629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584</v>
      </c>
      <c r="HT14" s="279">
        <v>41</v>
      </c>
      <c r="HU14" s="629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597</v>
      </c>
      <c r="ID14" s="72">
        <v>42</v>
      </c>
      <c r="IE14" s="629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604</v>
      </c>
      <c r="IN14" s="72">
        <v>41</v>
      </c>
      <c r="IO14" s="629">
        <f t="shared" si="28"/>
        <v>38831.1</v>
      </c>
      <c r="IQ14" s="879"/>
      <c r="IR14" s="108"/>
      <c r="IS14" s="15">
        <v>7</v>
      </c>
      <c r="IT14" s="292">
        <v>919.4</v>
      </c>
      <c r="IU14" s="258">
        <v>44554</v>
      </c>
      <c r="IV14" s="292">
        <v>919.4</v>
      </c>
      <c r="IW14" s="552" t="s">
        <v>616</v>
      </c>
      <c r="IX14" s="279">
        <v>41</v>
      </c>
      <c r="IY14" s="338">
        <f t="shared" si="29"/>
        <v>37695.4</v>
      </c>
      <c r="IZ14" s="93"/>
      <c r="JA14" s="70"/>
      <c r="JB14" s="108"/>
      <c r="JC14" s="15">
        <v>7</v>
      </c>
      <c r="JD14" s="93">
        <v>882.2</v>
      </c>
      <c r="JE14" s="357">
        <v>44554</v>
      </c>
      <c r="JF14" s="93">
        <v>882.2</v>
      </c>
      <c r="JG14" s="71" t="s">
        <v>618</v>
      </c>
      <c r="JH14" s="72">
        <v>41</v>
      </c>
      <c r="JI14" s="629">
        <f t="shared" si="30"/>
        <v>36170.200000000004</v>
      </c>
      <c r="JJ14" s="70"/>
      <c r="JL14" s="108"/>
      <c r="JM14" s="15">
        <v>7</v>
      </c>
      <c r="JN14" s="93">
        <v>899.5</v>
      </c>
      <c r="JO14" s="341">
        <v>44554</v>
      </c>
      <c r="JP14" s="93">
        <v>899.5</v>
      </c>
      <c r="JQ14" s="71" t="s">
        <v>609</v>
      </c>
      <c r="JR14" s="72">
        <v>41</v>
      </c>
      <c r="JS14" s="629">
        <f t="shared" si="31"/>
        <v>36879.5</v>
      </c>
      <c r="JV14" s="108"/>
      <c r="JW14" s="15">
        <v>7</v>
      </c>
      <c r="JX14" s="70">
        <v>936.2</v>
      </c>
      <c r="JY14" s="357">
        <v>44554</v>
      </c>
      <c r="JZ14" s="70">
        <v>936.2</v>
      </c>
      <c r="KA14" s="71" t="s">
        <v>614</v>
      </c>
      <c r="KB14" s="72">
        <v>41</v>
      </c>
      <c r="KC14" s="629">
        <f t="shared" si="32"/>
        <v>38384.200000000004</v>
      </c>
      <c r="KF14" s="108"/>
      <c r="KG14" s="15">
        <v>7</v>
      </c>
      <c r="KH14" s="70">
        <v>863.2</v>
      </c>
      <c r="KI14" s="357">
        <v>44556</v>
      </c>
      <c r="KJ14" s="70">
        <v>863.2</v>
      </c>
      <c r="KK14" s="71" t="s">
        <v>623</v>
      </c>
      <c r="KL14" s="72">
        <v>41</v>
      </c>
      <c r="KM14" s="629">
        <f t="shared" si="33"/>
        <v>35391.200000000004</v>
      </c>
      <c r="KP14" s="108"/>
      <c r="KQ14" s="15">
        <v>7</v>
      </c>
      <c r="KR14" s="70">
        <v>904</v>
      </c>
      <c r="KS14" s="357">
        <v>44558</v>
      </c>
      <c r="KT14" s="70">
        <v>904</v>
      </c>
      <c r="KU14" s="71" t="s">
        <v>643</v>
      </c>
      <c r="KV14" s="72">
        <v>42</v>
      </c>
      <c r="KW14" s="629">
        <f t="shared" si="34"/>
        <v>37968</v>
      </c>
      <c r="KZ14" s="108"/>
      <c r="LA14" s="15">
        <v>7</v>
      </c>
      <c r="LB14" s="93">
        <v>913.98</v>
      </c>
      <c r="LC14" s="341">
        <v>44558</v>
      </c>
      <c r="LD14" s="93">
        <v>913.98</v>
      </c>
      <c r="LE14" s="96" t="s">
        <v>649</v>
      </c>
      <c r="LF14" s="72">
        <v>42</v>
      </c>
      <c r="LG14" s="629">
        <f t="shared" si="35"/>
        <v>38387.160000000003</v>
      </c>
      <c r="LJ14" s="108"/>
      <c r="LK14" s="15">
        <v>7</v>
      </c>
      <c r="LL14" s="93">
        <v>925.78</v>
      </c>
      <c r="LM14" s="341">
        <v>44559</v>
      </c>
      <c r="LN14" s="93">
        <v>925.78</v>
      </c>
      <c r="LO14" s="96" t="s">
        <v>658</v>
      </c>
      <c r="LP14" s="72">
        <v>42</v>
      </c>
      <c r="LQ14" s="629">
        <f t="shared" si="36"/>
        <v>38882.76</v>
      </c>
      <c r="LT14" s="108"/>
      <c r="LU14" s="15">
        <v>7</v>
      </c>
      <c r="LV14" s="93">
        <v>933.9</v>
      </c>
      <c r="LW14" s="341">
        <v>44559</v>
      </c>
      <c r="LX14" s="93">
        <v>933.9</v>
      </c>
      <c r="LY14" s="96" t="s">
        <v>656</v>
      </c>
      <c r="LZ14" s="72">
        <v>42</v>
      </c>
      <c r="MA14" s="629">
        <f t="shared" si="37"/>
        <v>39223.799999999996</v>
      </c>
      <c r="MB14" s="629"/>
      <c r="MD14" s="108"/>
      <c r="ME14" s="15">
        <v>7</v>
      </c>
      <c r="MF14" s="412">
        <v>902.2</v>
      </c>
      <c r="MG14" s="341">
        <v>44560</v>
      </c>
      <c r="MH14" s="412">
        <v>902.2</v>
      </c>
      <c r="MI14" s="96" t="s">
        <v>666</v>
      </c>
      <c r="MJ14" s="72">
        <v>43</v>
      </c>
      <c r="MK14" s="72">
        <f t="shared" si="38"/>
        <v>38794.6</v>
      </c>
      <c r="MN14" s="108"/>
      <c r="MO14" s="15">
        <v>7</v>
      </c>
      <c r="MP14" s="93">
        <v>932.6</v>
      </c>
      <c r="MQ14" s="341"/>
      <c r="MR14" s="93"/>
      <c r="MS14" s="96"/>
      <c r="MT14" s="72"/>
      <c r="MU14" s="72">
        <f t="shared" si="39"/>
        <v>0</v>
      </c>
      <c r="MX14" s="108"/>
      <c r="MY14" s="15">
        <v>7</v>
      </c>
      <c r="MZ14" s="93">
        <v>873.2</v>
      </c>
      <c r="NA14" s="341"/>
      <c r="NB14" s="93"/>
      <c r="NC14" s="96"/>
      <c r="ND14" s="72"/>
      <c r="NE14" s="72">
        <f t="shared" si="40"/>
        <v>0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/>
      <c r="NV14" s="93"/>
      <c r="NW14" s="96"/>
      <c r="NX14" s="72"/>
      <c r="NY14" s="72">
        <f t="shared" si="42"/>
        <v>0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459</v>
      </c>
      <c r="R15" s="72">
        <v>37</v>
      </c>
      <c r="S15" s="629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474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463</v>
      </c>
      <c r="AL15" s="72">
        <v>37</v>
      </c>
      <c r="AM15" s="632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487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498</v>
      </c>
      <c r="BF15" s="400">
        <v>36</v>
      </c>
      <c r="BG15" s="648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507</v>
      </c>
      <c r="BP15" s="400">
        <v>36</v>
      </c>
      <c r="BQ15" s="861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467</v>
      </c>
      <c r="BZ15" s="403">
        <v>36</v>
      </c>
      <c r="CA15" s="629">
        <f t="shared" si="12"/>
        <v>31255.200000000001</v>
      </c>
      <c r="CD15" s="913"/>
      <c r="CE15" s="15">
        <v>8</v>
      </c>
      <c r="CF15" s="93">
        <v>940.3</v>
      </c>
      <c r="CG15" s="401">
        <v>44542</v>
      </c>
      <c r="CH15" s="93">
        <v>940.3</v>
      </c>
      <c r="CI15" s="404" t="s">
        <v>519</v>
      </c>
      <c r="CJ15" s="403">
        <v>36</v>
      </c>
      <c r="CK15" s="629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530</v>
      </c>
      <c r="CT15" s="403">
        <v>38</v>
      </c>
      <c r="CU15" s="637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523</v>
      </c>
      <c r="DD15" s="72">
        <v>38</v>
      </c>
      <c r="DE15" s="629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482</v>
      </c>
      <c r="DN15" s="403">
        <v>38</v>
      </c>
      <c r="DO15" s="637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483</v>
      </c>
      <c r="DX15" s="403">
        <v>38</v>
      </c>
      <c r="DY15" s="629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539</v>
      </c>
      <c r="EH15" s="72">
        <v>38</v>
      </c>
      <c r="EI15" s="629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536</v>
      </c>
      <c r="ER15" s="279">
        <v>38</v>
      </c>
      <c r="ES15" s="629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547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544</v>
      </c>
      <c r="FL15" s="279">
        <v>38</v>
      </c>
      <c r="FM15" s="629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550</v>
      </c>
      <c r="FV15" s="72">
        <v>38</v>
      </c>
      <c r="FW15" s="629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570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572</v>
      </c>
      <c r="GP15" s="72">
        <v>39</v>
      </c>
      <c r="GQ15" s="629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574</v>
      </c>
      <c r="GZ15" s="279">
        <v>39</v>
      </c>
      <c r="HA15" s="629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587</v>
      </c>
      <c r="HJ15" s="72">
        <v>41</v>
      </c>
      <c r="HK15" s="629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584</v>
      </c>
      <c r="HT15" s="279">
        <v>41</v>
      </c>
      <c r="HU15" s="629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597</v>
      </c>
      <c r="ID15" s="72">
        <v>42</v>
      </c>
      <c r="IE15" s="629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604</v>
      </c>
      <c r="IN15" s="72">
        <v>41</v>
      </c>
      <c r="IO15" s="629">
        <f t="shared" si="28"/>
        <v>38458.82</v>
      </c>
      <c r="IR15" s="108"/>
      <c r="IS15" s="15">
        <v>8</v>
      </c>
      <c r="IT15" s="292">
        <v>886.3</v>
      </c>
      <c r="IU15" s="258">
        <v>44554</v>
      </c>
      <c r="IV15" s="292">
        <v>886.3</v>
      </c>
      <c r="IW15" s="552" t="s">
        <v>616</v>
      </c>
      <c r="IX15" s="279">
        <v>41</v>
      </c>
      <c r="IY15" s="338">
        <f t="shared" si="29"/>
        <v>36338.299999999996</v>
      </c>
      <c r="IZ15" s="93"/>
      <c r="JA15" s="70"/>
      <c r="JB15" s="108"/>
      <c r="JC15" s="15">
        <v>8</v>
      </c>
      <c r="JD15" s="93">
        <v>868.6</v>
      </c>
      <c r="JE15" s="357">
        <v>44554</v>
      </c>
      <c r="JF15" s="93">
        <v>868.6</v>
      </c>
      <c r="JG15" s="71" t="s">
        <v>618</v>
      </c>
      <c r="JH15" s="72">
        <v>41</v>
      </c>
      <c r="JI15" s="629">
        <f t="shared" si="30"/>
        <v>35612.6</v>
      </c>
      <c r="JJ15" s="70"/>
      <c r="JL15" s="108"/>
      <c r="JM15" s="15">
        <v>8</v>
      </c>
      <c r="JN15" s="93">
        <v>934.8</v>
      </c>
      <c r="JO15" s="341">
        <v>44554</v>
      </c>
      <c r="JP15" s="93">
        <v>934.8</v>
      </c>
      <c r="JQ15" s="71" t="s">
        <v>609</v>
      </c>
      <c r="JR15" s="72">
        <v>41</v>
      </c>
      <c r="JS15" s="629">
        <f t="shared" si="31"/>
        <v>38326.799999999996</v>
      </c>
      <c r="JV15" s="108"/>
      <c r="JW15" s="15">
        <v>8</v>
      </c>
      <c r="JX15" s="70">
        <v>889.9</v>
      </c>
      <c r="JY15" s="357">
        <v>44554</v>
      </c>
      <c r="JZ15" s="70">
        <v>889.9</v>
      </c>
      <c r="KA15" s="71" t="s">
        <v>614</v>
      </c>
      <c r="KB15" s="72">
        <v>41</v>
      </c>
      <c r="KC15" s="629">
        <f t="shared" si="32"/>
        <v>36485.9</v>
      </c>
      <c r="KF15" s="108"/>
      <c r="KG15" s="15">
        <v>8</v>
      </c>
      <c r="KH15" s="70">
        <v>901.7</v>
      </c>
      <c r="KI15" s="357">
        <v>44556</v>
      </c>
      <c r="KJ15" s="70">
        <v>901.7</v>
      </c>
      <c r="KK15" s="71" t="s">
        <v>623</v>
      </c>
      <c r="KL15" s="72">
        <v>41</v>
      </c>
      <c r="KM15" s="629">
        <f t="shared" si="33"/>
        <v>36969.700000000004</v>
      </c>
      <c r="KP15" s="108"/>
      <c r="KQ15" s="15">
        <v>8</v>
      </c>
      <c r="KR15" s="70">
        <v>896.7</v>
      </c>
      <c r="KS15" s="357">
        <v>44558</v>
      </c>
      <c r="KT15" s="70">
        <v>896.7</v>
      </c>
      <c r="KU15" s="71" t="s">
        <v>643</v>
      </c>
      <c r="KV15" s="72">
        <v>42</v>
      </c>
      <c r="KW15" s="629">
        <f t="shared" si="34"/>
        <v>37661.4</v>
      </c>
      <c r="KZ15" s="108"/>
      <c r="LA15" s="15">
        <v>8</v>
      </c>
      <c r="LB15" s="93">
        <v>938.02</v>
      </c>
      <c r="LC15" s="341">
        <v>44558</v>
      </c>
      <c r="LD15" s="93">
        <v>938.02</v>
      </c>
      <c r="LE15" s="96" t="s">
        <v>649</v>
      </c>
      <c r="LF15" s="72">
        <v>42</v>
      </c>
      <c r="LG15" s="629">
        <f t="shared" si="35"/>
        <v>39396.839999999997</v>
      </c>
      <c r="LJ15" s="108"/>
      <c r="LK15" s="15">
        <v>8</v>
      </c>
      <c r="LL15" s="93">
        <v>914.89</v>
      </c>
      <c r="LM15" s="341">
        <v>44559</v>
      </c>
      <c r="LN15" s="93">
        <v>914.89</v>
      </c>
      <c r="LO15" s="96" t="s">
        <v>658</v>
      </c>
      <c r="LP15" s="72">
        <v>42</v>
      </c>
      <c r="LQ15" s="629">
        <f t="shared" si="36"/>
        <v>38425.379999999997</v>
      </c>
      <c r="LT15" s="108"/>
      <c r="LU15" s="15">
        <v>8</v>
      </c>
      <c r="LV15" s="93">
        <v>917.6</v>
      </c>
      <c r="LW15" s="341">
        <v>44559</v>
      </c>
      <c r="LX15" s="93">
        <v>917.6</v>
      </c>
      <c r="LY15" s="96" t="s">
        <v>656</v>
      </c>
      <c r="LZ15" s="72">
        <v>42</v>
      </c>
      <c r="MA15" s="629">
        <f t="shared" si="37"/>
        <v>38539.200000000004</v>
      </c>
      <c r="MB15" s="629"/>
      <c r="MD15" s="108"/>
      <c r="ME15" s="15">
        <v>8</v>
      </c>
      <c r="MF15" s="412">
        <v>902.2</v>
      </c>
      <c r="MG15" s="341">
        <v>44560</v>
      </c>
      <c r="MH15" s="412">
        <v>902.2</v>
      </c>
      <c r="MI15" s="96" t="s">
        <v>666</v>
      </c>
      <c r="MJ15" s="72">
        <v>43</v>
      </c>
      <c r="MK15" s="72">
        <f t="shared" si="38"/>
        <v>38794.6</v>
      </c>
      <c r="MN15" s="108"/>
      <c r="MO15" s="15">
        <v>8</v>
      </c>
      <c r="MP15" s="93">
        <v>953.92</v>
      </c>
      <c r="MQ15" s="341">
        <v>44560</v>
      </c>
      <c r="MR15" s="93">
        <v>953.92</v>
      </c>
      <c r="MS15" s="96" t="s">
        <v>670</v>
      </c>
      <c r="MT15" s="72">
        <v>43</v>
      </c>
      <c r="MU15" s="72">
        <f t="shared" si="39"/>
        <v>41018.559999999998</v>
      </c>
      <c r="MX15" s="108"/>
      <c r="MY15" s="15">
        <v>8</v>
      </c>
      <c r="MZ15" s="93">
        <v>895.4</v>
      </c>
      <c r="NA15" s="341"/>
      <c r="NB15" s="93"/>
      <c r="NC15" s="96"/>
      <c r="ND15" s="72"/>
      <c r="NE15" s="72">
        <f t="shared" si="40"/>
        <v>0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/>
      <c r="NV15" s="93"/>
      <c r="NW15" s="96"/>
      <c r="NX15" s="72"/>
      <c r="NY15" s="72">
        <f t="shared" si="42"/>
        <v>0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459</v>
      </c>
      <c r="R16" s="72">
        <v>37</v>
      </c>
      <c r="S16" s="629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474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463</v>
      </c>
      <c r="AL16" s="72">
        <v>37</v>
      </c>
      <c r="AM16" s="632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487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498</v>
      </c>
      <c r="BF16" s="400">
        <v>36</v>
      </c>
      <c r="BG16" s="648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507</v>
      </c>
      <c r="BP16" s="400">
        <v>36</v>
      </c>
      <c r="BQ16" s="861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467</v>
      </c>
      <c r="BZ16" s="403">
        <v>36</v>
      </c>
      <c r="CA16" s="629">
        <f t="shared" si="12"/>
        <v>33490.799999999996</v>
      </c>
      <c r="CD16" s="913"/>
      <c r="CE16" s="15">
        <v>9</v>
      </c>
      <c r="CF16" s="93">
        <v>926.7</v>
      </c>
      <c r="CG16" s="401">
        <v>44542</v>
      </c>
      <c r="CH16" s="93">
        <v>926.7</v>
      </c>
      <c r="CI16" s="404" t="s">
        <v>518</v>
      </c>
      <c r="CJ16" s="403">
        <v>36</v>
      </c>
      <c r="CK16" s="629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531</v>
      </c>
      <c r="CT16" s="403">
        <v>38</v>
      </c>
      <c r="CU16" s="637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523</v>
      </c>
      <c r="DD16" s="72">
        <v>38</v>
      </c>
      <c r="DE16" s="629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482</v>
      </c>
      <c r="DN16" s="403">
        <v>38</v>
      </c>
      <c r="DO16" s="637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483</v>
      </c>
      <c r="DX16" s="403">
        <v>38</v>
      </c>
      <c r="DY16" s="629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539</v>
      </c>
      <c r="EH16" s="72">
        <v>38</v>
      </c>
      <c r="EI16" s="629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536</v>
      </c>
      <c r="ER16" s="279">
        <v>38</v>
      </c>
      <c r="ES16" s="629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547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544</v>
      </c>
      <c r="FL16" s="279">
        <v>38</v>
      </c>
      <c r="FM16" s="629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550</v>
      </c>
      <c r="FV16" s="72">
        <v>38</v>
      </c>
      <c r="FW16" s="629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570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572</v>
      </c>
      <c r="GP16" s="72">
        <v>39</v>
      </c>
      <c r="GQ16" s="629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574</v>
      </c>
      <c r="GZ16" s="279">
        <v>39</v>
      </c>
      <c r="HA16" s="629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587</v>
      </c>
      <c r="HJ16" s="72">
        <v>41</v>
      </c>
      <c r="HK16" s="629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584</v>
      </c>
      <c r="HT16" s="279">
        <v>41</v>
      </c>
      <c r="HU16" s="629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597</v>
      </c>
      <c r="ID16" s="72">
        <v>42</v>
      </c>
      <c r="IE16" s="629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604</v>
      </c>
      <c r="IN16" s="72">
        <v>41</v>
      </c>
      <c r="IO16" s="629">
        <f t="shared" si="28"/>
        <v>37324.35</v>
      </c>
      <c r="IR16" s="108"/>
      <c r="IS16" s="15">
        <v>9</v>
      </c>
      <c r="IT16" s="292">
        <v>884.5</v>
      </c>
      <c r="IU16" s="258">
        <v>44554</v>
      </c>
      <c r="IV16" s="292">
        <v>884.5</v>
      </c>
      <c r="IW16" s="552" t="s">
        <v>616</v>
      </c>
      <c r="IX16" s="279">
        <v>41</v>
      </c>
      <c r="IY16" s="338">
        <f t="shared" si="29"/>
        <v>36264.5</v>
      </c>
      <c r="IZ16" s="93"/>
      <c r="JA16" s="70"/>
      <c r="JB16" s="108"/>
      <c r="JC16" s="15">
        <v>9</v>
      </c>
      <c r="JD16" s="93">
        <v>864.1</v>
      </c>
      <c r="JE16" s="357">
        <v>44554</v>
      </c>
      <c r="JF16" s="93">
        <v>864.1</v>
      </c>
      <c r="JG16" s="71" t="s">
        <v>618</v>
      </c>
      <c r="JH16" s="72">
        <v>41</v>
      </c>
      <c r="JI16" s="629">
        <f t="shared" si="30"/>
        <v>35428.1</v>
      </c>
      <c r="JJ16" s="70"/>
      <c r="JL16" s="108"/>
      <c r="JM16" s="15">
        <v>9</v>
      </c>
      <c r="JN16" s="93">
        <v>914.4</v>
      </c>
      <c r="JO16" s="341">
        <v>44554</v>
      </c>
      <c r="JP16" s="93">
        <v>914.4</v>
      </c>
      <c r="JQ16" s="71" t="s">
        <v>609</v>
      </c>
      <c r="JR16" s="72">
        <v>41</v>
      </c>
      <c r="JS16" s="629">
        <f t="shared" si="31"/>
        <v>37490.400000000001</v>
      </c>
      <c r="JV16" s="108"/>
      <c r="JW16" s="15">
        <v>9</v>
      </c>
      <c r="JX16" s="70">
        <v>893.6</v>
      </c>
      <c r="JY16" s="357">
        <v>44554</v>
      </c>
      <c r="JZ16" s="70">
        <v>893.6</v>
      </c>
      <c r="KA16" s="71" t="s">
        <v>614</v>
      </c>
      <c r="KB16" s="72">
        <v>41</v>
      </c>
      <c r="KC16" s="629">
        <f t="shared" si="32"/>
        <v>36637.599999999999</v>
      </c>
      <c r="KF16" s="108"/>
      <c r="KG16" s="15">
        <v>9</v>
      </c>
      <c r="KH16" s="70">
        <v>932.6</v>
      </c>
      <c r="KI16" s="357">
        <v>44556</v>
      </c>
      <c r="KJ16" s="70">
        <v>932.6</v>
      </c>
      <c r="KK16" s="71" t="s">
        <v>625</v>
      </c>
      <c r="KL16" s="72">
        <v>41</v>
      </c>
      <c r="KM16" s="629">
        <f t="shared" si="33"/>
        <v>38236.6</v>
      </c>
      <c r="KP16" s="108"/>
      <c r="KQ16" s="15">
        <v>9</v>
      </c>
      <c r="KR16" s="70">
        <v>905.8</v>
      </c>
      <c r="KS16" s="357">
        <v>44558</v>
      </c>
      <c r="KT16" s="70">
        <v>905.8</v>
      </c>
      <c r="KU16" s="71" t="s">
        <v>643</v>
      </c>
      <c r="KV16" s="72">
        <v>42</v>
      </c>
      <c r="KW16" s="629">
        <f t="shared" si="34"/>
        <v>38043.599999999999</v>
      </c>
      <c r="KZ16" s="108"/>
      <c r="LA16" s="15">
        <v>9</v>
      </c>
      <c r="LB16" s="93">
        <v>938.02</v>
      </c>
      <c r="LC16" s="341">
        <v>44558</v>
      </c>
      <c r="LD16" s="93">
        <v>938.02</v>
      </c>
      <c r="LE16" s="96" t="s">
        <v>649</v>
      </c>
      <c r="LF16" s="72">
        <v>42</v>
      </c>
      <c r="LG16" s="629">
        <f t="shared" si="35"/>
        <v>39396.839999999997</v>
      </c>
      <c r="LJ16" s="108"/>
      <c r="LK16" s="15">
        <v>9</v>
      </c>
      <c r="LL16" s="93">
        <v>932.13</v>
      </c>
      <c r="LM16" s="341">
        <v>44559</v>
      </c>
      <c r="LN16" s="292">
        <v>932.13</v>
      </c>
      <c r="LO16" s="96" t="s">
        <v>661</v>
      </c>
      <c r="LP16" s="72">
        <v>42</v>
      </c>
      <c r="LQ16" s="629">
        <f t="shared" si="36"/>
        <v>39149.46</v>
      </c>
      <c r="LT16" s="108"/>
      <c r="LU16" s="15">
        <v>9</v>
      </c>
      <c r="LV16" s="93">
        <v>919</v>
      </c>
      <c r="LW16" s="341">
        <v>44559</v>
      </c>
      <c r="LX16" s="93">
        <v>919</v>
      </c>
      <c r="LY16" s="96" t="s">
        <v>656</v>
      </c>
      <c r="LZ16" s="72">
        <v>42</v>
      </c>
      <c r="MA16" s="629">
        <f t="shared" si="37"/>
        <v>38598</v>
      </c>
      <c r="MB16" s="629"/>
      <c r="MD16" s="108"/>
      <c r="ME16" s="15">
        <v>9</v>
      </c>
      <c r="MF16" s="412">
        <v>896.3</v>
      </c>
      <c r="MG16" s="341">
        <v>44560</v>
      </c>
      <c r="MH16" s="412">
        <v>896.3</v>
      </c>
      <c r="MI16" s="96" t="s">
        <v>666</v>
      </c>
      <c r="MJ16" s="72">
        <v>43</v>
      </c>
      <c r="MK16" s="72">
        <f t="shared" si="38"/>
        <v>38540.9</v>
      </c>
      <c r="MN16" s="108"/>
      <c r="MO16" s="15">
        <v>9</v>
      </c>
      <c r="MP16" s="93">
        <v>895.86</v>
      </c>
      <c r="MQ16" s="341">
        <v>44560</v>
      </c>
      <c r="MR16" s="93">
        <v>895.86</v>
      </c>
      <c r="MS16" s="96" t="s">
        <v>671</v>
      </c>
      <c r="MT16" s="72">
        <v>43</v>
      </c>
      <c r="MU16" s="72">
        <f t="shared" si="39"/>
        <v>38521.980000000003</v>
      </c>
      <c r="MX16" s="108"/>
      <c r="MY16" s="15">
        <v>9</v>
      </c>
      <c r="MZ16" s="93">
        <v>867.7</v>
      </c>
      <c r="NA16" s="341"/>
      <c r="NB16" s="93"/>
      <c r="NC16" s="96"/>
      <c r="ND16" s="72"/>
      <c r="NE16" s="72">
        <f t="shared" si="40"/>
        <v>0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/>
      <c r="NV16" s="93"/>
      <c r="NW16" s="96"/>
      <c r="NX16" s="72"/>
      <c r="NY16" s="72">
        <f t="shared" si="42"/>
        <v>0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459</v>
      </c>
      <c r="R17" s="72">
        <v>37</v>
      </c>
      <c r="S17" s="629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474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463</v>
      </c>
      <c r="AL17" s="72">
        <v>37</v>
      </c>
      <c r="AM17" s="632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487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498</v>
      </c>
      <c r="BF17" s="400">
        <v>36</v>
      </c>
      <c r="BG17" s="648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507</v>
      </c>
      <c r="BP17" s="400">
        <v>36</v>
      </c>
      <c r="BQ17" s="861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467</v>
      </c>
      <c r="BZ17" s="403">
        <v>36</v>
      </c>
      <c r="CA17" s="629">
        <f t="shared" si="12"/>
        <v>32104.799999999999</v>
      </c>
      <c r="CD17" s="913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519</v>
      </c>
      <c r="CJ17" s="403">
        <v>36</v>
      </c>
      <c r="CK17" s="629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530</v>
      </c>
      <c r="CT17" s="403">
        <v>38</v>
      </c>
      <c r="CU17" s="637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523</v>
      </c>
      <c r="DD17" s="72">
        <v>38</v>
      </c>
      <c r="DE17" s="629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482</v>
      </c>
      <c r="DN17" s="403">
        <v>38</v>
      </c>
      <c r="DO17" s="637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483</v>
      </c>
      <c r="DX17" s="403">
        <v>38</v>
      </c>
      <c r="DY17" s="629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539</v>
      </c>
      <c r="EH17" s="72">
        <v>38</v>
      </c>
      <c r="EI17" s="629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536</v>
      </c>
      <c r="ER17" s="279">
        <v>38</v>
      </c>
      <c r="ES17" s="629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547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544</v>
      </c>
      <c r="FL17" s="279">
        <v>38</v>
      </c>
      <c r="FM17" s="629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578</v>
      </c>
      <c r="FV17" s="72">
        <v>38</v>
      </c>
      <c r="FW17" s="629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570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572</v>
      </c>
      <c r="GP17" s="72">
        <v>39</v>
      </c>
      <c r="GQ17" s="629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574</v>
      </c>
      <c r="GZ17" s="279">
        <v>39</v>
      </c>
      <c r="HA17" s="629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587</v>
      </c>
      <c r="HJ17" s="72">
        <v>41</v>
      </c>
      <c r="HK17" s="629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584</v>
      </c>
      <c r="HT17" s="279">
        <v>41</v>
      </c>
      <c r="HU17" s="629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597</v>
      </c>
      <c r="ID17" s="72">
        <v>42</v>
      </c>
      <c r="IE17" s="629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604</v>
      </c>
      <c r="IN17" s="72">
        <v>41</v>
      </c>
      <c r="IO17" s="629">
        <f t="shared" si="28"/>
        <v>37677.770000000004</v>
      </c>
      <c r="IR17" s="108"/>
      <c r="IS17" s="15">
        <v>10</v>
      </c>
      <c r="IT17" s="292">
        <v>864.1</v>
      </c>
      <c r="IU17" s="258">
        <v>44554</v>
      </c>
      <c r="IV17" s="292">
        <v>864.1</v>
      </c>
      <c r="IW17" s="552" t="s">
        <v>616</v>
      </c>
      <c r="IX17" s="279">
        <v>41</v>
      </c>
      <c r="IY17" s="338">
        <f t="shared" si="29"/>
        <v>35428.1</v>
      </c>
      <c r="IZ17" s="93"/>
      <c r="JA17" s="70"/>
      <c r="JB17" s="108"/>
      <c r="JC17" s="15">
        <v>10</v>
      </c>
      <c r="JD17" s="93">
        <v>885.9</v>
      </c>
      <c r="JE17" s="357">
        <v>44554</v>
      </c>
      <c r="JF17" s="93">
        <v>885.9</v>
      </c>
      <c r="JG17" s="71" t="s">
        <v>618</v>
      </c>
      <c r="JH17" s="72">
        <v>41</v>
      </c>
      <c r="JI17" s="629">
        <f t="shared" si="30"/>
        <v>36321.9</v>
      </c>
      <c r="JJ17" s="70"/>
      <c r="JL17" s="108"/>
      <c r="JM17" s="15">
        <v>10</v>
      </c>
      <c r="JN17" s="93">
        <v>924.9</v>
      </c>
      <c r="JO17" s="341">
        <v>44554</v>
      </c>
      <c r="JP17" s="93">
        <v>924.9</v>
      </c>
      <c r="JQ17" s="71" t="s">
        <v>609</v>
      </c>
      <c r="JR17" s="72">
        <v>41</v>
      </c>
      <c r="JS17" s="629">
        <f t="shared" si="31"/>
        <v>37920.9</v>
      </c>
      <c r="JV17" s="108"/>
      <c r="JW17" s="15">
        <v>10</v>
      </c>
      <c r="JX17" s="70">
        <v>939.4</v>
      </c>
      <c r="JY17" s="357">
        <v>44554</v>
      </c>
      <c r="JZ17" s="70">
        <v>939.4</v>
      </c>
      <c r="KA17" s="71" t="s">
        <v>614</v>
      </c>
      <c r="KB17" s="72">
        <v>41</v>
      </c>
      <c r="KC17" s="629">
        <f t="shared" si="32"/>
        <v>38515.4</v>
      </c>
      <c r="KF17" s="108"/>
      <c r="KG17" s="15">
        <v>10</v>
      </c>
      <c r="KH17" s="70">
        <v>886.3</v>
      </c>
      <c r="KI17" s="357">
        <v>44556</v>
      </c>
      <c r="KJ17" s="70">
        <v>886.3</v>
      </c>
      <c r="KK17" s="71" t="s">
        <v>623</v>
      </c>
      <c r="KL17" s="72">
        <v>41</v>
      </c>
      <c r="KM17" s="629">
        <f t="shared" si="33"/>
        <v>36338.299999999996</v>
      </c>
      <c r="KP17" s="108"/>
      <c r="KQ17" s="15">
        <v>10</v>
      </c>
      <c r="KR17" s="70">
        <v>868.6</v>
      </c>
      <c r="KS17" s="357">
        <v>44558</v>
      </c>
      <c r="KT17" s="70">
        <v>868.6</v>
      </c>
      <c r="KU17" s="71" t="s">
        <v>643</v>
      </c>
      <c r="KV17" s="72">
        <v>42</v>
      </c>
      <c r="KW17" s="629">
        <f t="shared" si="34"/>
        <v>36481.200000000004</v>
      </c>
      <c r="KZ17" s="108"/>
      <c r="LA17" s="15">
        <v>10</v>
      </c>
      <c r="LB17" s="93">
        <v>934.85</v>
      </c>
      <c r="LC17" s="341">
        <v>44558</v>
      </c>
      <c r="LD17" s="93">
        <v>934.85</v>
      </c>
      <c r="LE17" s="96" t="s">
        <v>649</v>
      </c>
      <c r="LF17" s="72">
        <v>42</v>
      </c>
      <c r="LG17" s="629">
        <f t="shared" si="35"/>
        <v>39263.700000000004</v>
      </c>
      <c r="LJ17" s="108"/>
      <c r="LK17" s="15">
        <v>10</v>
      </c>
      <c r="LL17" s="93">
        <v>899.02</v>
      </c>
      <c r="LM17" s="341">
        <v>44559</v>
      </c>
      <c r="LN17" s="93">
        <v>899.02</v>
      </c>
      <c r="LO17" s="96" t="s">
        <v>658</v>
      </c>
      <c r="LP17" s="72">
        <v>42</v>
      </c>
      <c r="LQ17" s="629">
        <f t="shared" si="36"/>
        <v>37758.839999999997</v>
      </c>
      <c r="LT17" s="108"/>
      <c r="LU17" s="15">
        <v>10</v>
      </c>
      <c r="LV17" s="70">
        <v>931.2</v>
      </c>
      <c r="LW17" s="341">
        <v>44559</v>
      </c>
      <c r="LX17" s="70">
        <v>931.2</v>
      </c>
      <c r="LY17" s="96" t="s">
        <v>656</v>
      </c>
      <c r="LZ17" s="72">
        <v>42</v>
      </c>
      <c r="MA17" s="629">
        <f t="shared" si="37"/>
        <v>39110.400000000001</v>
      </c>
      <c r="MB17" s="629"/>
      <c r="MD17" s="108"/>
      <c r="ME17" s="15">
        <v>10</v>
      </c>
      <c r="MF17" s="412">
        <v>904.9</v>
      </c>
      <c r="MG17" s="341">
        <v>44560</v>
      </c>
      <c r="MH17" s="412">
        <v>904.9</v>
      </c>
      <c r="MI17" s="96" t="s">
        <v>666</v>
      </c>
      <c r="MJ17" s="72">
        <v>43</v>
      </c>
      <c r="MK17" s="72">
        <f t="shared" si="38"/>
        <v>38910.699999999997</v>
      </c>
      <c r="MN17" s="108"/>
      <c r="MO17" s="15">
        <v>10</v>
      </c>
      <c r="MP17" s="70">
        <v>937.59</v>
      </c>
      <c r="MQ17" s="341">
        <v>44560</v>
      </c>
      <c r="MR17" s="70">
        <v>937.59</v>
      </c>
      <c r="MS17" s="96" t="s">
        <v>671</v>
      </c>
      <c r="MT17" s="72">
        <v>43</v>
      </c>
      <c r="MU17" s="72">
        <f t="shared" si="39"/>
        <v>40316.370000000003</v>
      </c>
      <c r="MX17" s="108"/>
      <c r="MY17" s="15">
        <v>10</v>
      </c>
      <c r="MZ17" s="70">
        <v>903.1</v>
      </c>
      <c r="NA17" s="341"/>
      <c r="NB17" s="70"/>
      <c r="NC17" s="96"/>
      <c r="ND17" s="72"/>
      <c r="NE17" s="72">
        <f t="shared" si="40"/>
        <v>0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/>
      <c r="NV17" s="70"/>
      <c r="NW17" s="96"/>
      <c r="NX17" s="72"/>
      <c r="NY17" s="72">
        <f t="shared" si="42"/>
        <v>0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459</v>
      </c>
      <c r="R18" s="72">
        <v>37</v>
      </c>
      <c r="S18" s="629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475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471</v>
      </c>
      <c r="AL18" s="72">
        <v>37</v>
      </c>
      <c r="AM18" s="632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494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465</v>
      </c>
      <c r="BF18" s="400">
        <v>36</v>
      </c>
      <c r="BG18" s="648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489</v>
      </c>
      <c r="BP18" s="400">
        <v>36</v>
      </c>
      <c r="BQ18" s="861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514</v>
      </c>
      <c r="BZ18" s="403">
        <v>36</v>
      </c>
      <c r="CA18" s="629">
        <f t="shared" si="12"/>
        <v>31237.200000000001</v>
      </c>
      <c r="CD18" s="913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519</v>
      </c>
      <c r="CJ18" s="403">
        <v>36</v>
      </c>
      <c r="CK18" s="629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530</v>
      </c>
      <c r="CT18" s="403">
        <v>38</v>
      </c>
      <c r="CU18" s="637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522</v>
      </c>
      <c r="DD18" s="72">
        <v>38</v>
      </c>
      <c r="DE18" s="629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482</v>
      </c>
      <c r="DN18" s="403">
        <v>38</v>
      </c>
      <c r="DO18" s="637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483</v>
      </c>
      <c r="DX18" s="403">
        <v>38</v>
      </c>
      <c r="DY18" s="629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538</v>
      </c>
      <c r="EH18" s="72">
        <v>38</v>
      </c>
      <c r="EI18" s="629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537</v>
      </c>
      <c r="ER18" s="279">
        <v>38</v>
      </c>
      <c r="ES18" s="629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547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544</v>
      </c>
      <c r="FL18" s="279">
        <v>38</v>
      </c>
      <c r="FM18" s="629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578</v>
      </c>
      <c r="FV18" s="72">
        <v>38</v>
      </c>
      <c r="FW18" s="629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571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572</v>
      </c>
      <c r="GP18" s="72">
        <v>39</v>
      </c>
      <c r="GQ18" s="629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574</v>
      </c>
      <c r="GZ18" s="279">
        <v>39</v>
      </c>
      <c r="HA18" s="629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588</v>
      </c>
      <c r="HJ18" s="72">
        <v>41</v>
      </c>
      <c r="HK18" s="629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585</v>
      </c>
      <c r="HT18" s="279">
        <v>41</v>
      </c>
      <c r="HU18" s="629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598</v>
      </c>
      <c r="ID18" s="72">
        <v>42</v>
      </c>
      <c r="IE18" s="629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605</v>
      </c>
      <c r="IN18" s="72">
        <v>41</v>
      </c>
      <c r="IO18" s="629">
        <f t="shared" si="28"/>
        <v>38198.47</v>
      </c>
      <c r="IR18" s="108"/>
      <c r="IS18" s="15">
        <v>11</v>
      </c>
      <c r="IT18" s="292">
        <v>884</v>
      </c>
      <c r="IU18" s="258">
        <v>44554</v>
      </c>
      <c r="IV18" s="292">
        <v>884</v>
      </c>
      <c r="IW18" s="552" t="s">
        <v>617</v>
      </c>
      <c r="IX18" s="279">
        <v>41</v>
      </c>
      <c r="IY18" s="338">
        <f t="shared" si="29"/>
        <v>36244</v>
      </c>
      <c r="IZ18" s="93"/>
      <c r="JA18" s="70"/>
      <c r="JB18" s="108"/>
      <c r="JC18" s="15">
        <v>11</v>
      </c>
      <c r="JD18" s="93">
        <v>937.6</v>
      </c>
      <c r="JE18" s="357">
        <v>44554</v>
      </c>
      <c r="JF18" s="93">
        <v>937.6</v>
      </c>
      <c r="JG18" s="71" t="s">
        <v>619</v>
      </c>
      <c r="JH18" s="72">
        <v>41</v>
      </c>
      <c r="JI18" s="629">
        <f t="shared" si="30"/>
        <v>38441.599999999999</v>
      </c>
      <c r="JJ18" s="107"/>
      <c r="JL18" s="108"/>
      <c r="JM18" s="15">
        <v>11</v>
      </c>
      <c r="JN18" s="93">
        <v>937.6</v>
      </c>
      <c r="JO18" s="341">
        <v>44554</v>
      </c>
      <c r="JP18" s="93">
        <v>937.6</v>
      </c>
      <c r="JQ18" s="71" t="s">
        <v>610</v>
      </c>
      <c r="JR18" s="72">
        <v>41</v>
      </c>
      <c r="JS18" s="629">
        <f t="shared" si="31"/>
        <v>38441.599999999999</v>
      </c>
      <c r="JV18" s="108"/>
      <c r="JW18" s="15">
        <v>11</v>
      </c>
      <c r="JX18" s="70">
        <v>911.3</v>
      </c>
      <c r="JY18" s="357">
        <v>44554</v>
      </c>
      <c r="JZ18" s="70">
        <v>911.3</v>
      </c>
      <c r="KA18" s="71" t="s">
        <v>611</v>
      </c>
      <c r="KB18" s="72">
        <v>41</v>
      </c>
      <c r="KC18" s="629">
        <f t="shared" si="32"/>
        <v>37363.299999999996</v>
      </c>
      <c r="KF18" s="108"/>
      <c r="KG18" s="15">
        <v>11</v>
      </c>
      <c r="KH18" s="70">
        <v>931.2</v>
      </c>
      <c r="KI18" s="357">
        <v>44556</v>
      </c>
      <c r="KJ18" s="70">
        <v>931.2</v>
      </c>
      <c r="KK18" s="71" t="s">
        <v>623</v>
      </c>
      <c r="KL18" s="72">
        <v>41</v>
      </c>
      <c r="KM18" s="629">
        <f t="shared" si="33"/>
        <v>38179.200000000004</v>
      </c>
      <c r="KP18" s="108"/>
      <c r="KQ18" s="15">
        <v>11</v>
      </c>
      <c r="KR18" s="70">
        <v>905.8</v>
      </c>
      <c r="KS18" s="357">
        <v>44558</v>
      </c>
      <c r="KT18" s="70">
        <v>905.8</v>
      </c>
      <c r="KU18" s="71" t="s">
        <v>642</v>
      </c>
      <c r="KV18" s="72">
        <v>42</v>
      </c>
      <c r="KW18" s="629">
        <f t="shared" si="34"/>
        <v>38043.599999999999</v>
      </c>
      <c r="KZ18" s="108"/>
      <c r="LA18" s="15">
        <v>11</v>
      </c>
      <c r="LB18" s="93">
        <v>872.71</v>
      </c>
      <c r="LC18" s="341">
        <v>44558</v>
      </c>
      <c r="LD18" s="93">
        <v>872.71</v>
      </c>
      <c r="LE18" s="96" t="s">
        <v>648</v>
      </c>
      <c r="LF18" s="72">
        <v>42</v>
      </c>
      <c r="LG18" s="629">
        <f t="shared" si="35"/>
        <v>36653.82</v>
      </c>
      <c r="LJ18" s="108"/>
      <c r="LK18" s="15">
        <v>11</v>
      </c>
      <c r="LL18" s="292">
        <v>911.26</v>
      </c>
      <c r="LM18" s="341">
        <v>44559</v>
      </c>
      <c r="LN18" s="292">
        <v>911.26</v>
      </c>
      <c r="LO18" s="96" t="s">
        <v>658</v>
      </c>
      <c r="LP18" s="72">
        <v>42</v>
      </c>
      <c r="LQ18" s="629">
        <f t="shared" si="36"/>
        <v>38272.92</v>
      </c>
      <c r="LT18" s="108"/>
      <c r="LU18" s="15">
        <v>11</v>
      </c>
      <c r="LV18" s="93">
        <v>932.6</v>
      </c>
      <c r="LW18" s="341">
        <v>44559</v>
      </c>
      <c r="LX18" s="93">
        <v>932.6</v>
      </c>
      <c r="LY18" s="96" t="s">
        <v>655</v>
      </c>
      <c r="LZ18" s="72">
        <v>42</v>
      </c>
      <c r="MA18" s="629">
        <f t="shared" si="37"/>
        <v>39169.200000000004</v>
      </c>
      <c r="MB18" s="629"/>
      <c r="MD18" s="108"/>
      <c r="ME18" s="15">
        <v>11</v>
      </c>
      <c r="MF18" s="412">
        <v>910.4</v>
      </c>
      <c r="MG18" s="341">
        <v>44560</v>
      </c>
      <c r="MH18" s="412">
        <v>910.4</v>
      </c>
      <c r="MI18" s="96" t="s">
        <v>667</v>
      </c>
      <c r="MJ18" s="72">
        <v>43</v>
      </c>
      <c r="MK18" s="72">
        <f t="shared" si="38"/>
        <v>39147.199999999997</v>
      </c>
      <c r="MN18" s="108"/>
      <c r="MO18" s="15">
        <v>11</v>
      </c>
      <c r="MP18" s="93">
        <v>919.45</v>
      </c>
      <c r="MQ18" s="341">
        <v>44560</v>
      </c>
      <c r="MR18" s="93">
        <v>919.45</v>
      </c>
      <c r="MS18" s="96" t="s">
        <v>671</v>
      </c>
      <c r="MT18" s="72">
        <v>43</v>
      </c>
      <c r="MU18" s="72">
        <f t="shared" si="39"/>
        <v>39536.35</v>
      </c>
      <c r="MX18" s="108"/>
      <c r="MY18" s="15">
        <v>11</v>
      </c>
      <c r="MZ18" s="93">
        <v>885</v>
      </c>
      <c r="NA18" s="341"/>
      <c r="NB18" s="93"/>
      <c r="NC18" s="96"/>
      <c r="ND18" s="72"/>
      <c r="NE18" s="72">
        <f t="shared" si="40"/>
        <v>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/>
      <c r="NV18" s="93"/>
      <c r="NW18" s="96"/>
      <c r="NX18" s="72"/>
      <c r="NY18" s="72">
        <f t="shared" si="42"/>
        <v>0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460</v>
      </c>
      <c r="R19" s="72">
        <v>37</v>
      </c>
      <c r="S19" s="629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475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471</v>
      </c>
      <c r="AL19" s="72">
        <v>37</v>
      </c>
      <c r="AM19" s="632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494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498</v>
      </c>
      <c r="BF19" s="400">
        <v>36</v>
      </c>
      <c r="BG19" s="648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489</v>
      </c>
      <c r="BP19" s="400">
        <v>36</v>
      </c>
      <c r="BQ19" s="861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514</v>
      </c>
      <c r="BZ19" s="403">
        <v>36</v>
      </c>
      <c r="CA19" s="629">
        <f t="shared" si="12"/>
        <v>32518.799999999999</v>
      </c>
      <c r="CD19" s="913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518</v>
      </c>
      <c r="CJ19" s="403">
        <v>36</v>
      </c>
      <c r="CK19" s="629">
        <f t="shared" si="13"/>
        <v>33800.400000000001</v>
      </c>
      <c r="CN19" s="675"/>
      <c r="CO19" s="15">
        <v>12</v>
      </c>
      <c r="CP19" s="93">
        <v>894</v>
      </c>
      <c r="CQ19" s="401">
        <v>44545</v>
      </c>
      <c r="CR19" s="93">
        <v>894</v>
      </c>
      <c r="CS19" s="404" t="s">
        <v>470</v>
      </c>
      <c r="CT19" s="403">
        <v>38</v>
      </c>
      <c r="CU19" s="637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522</v>
      </c>
      <c r="DD19" s="72">
        <v>38</v>
      </c>
      <c r="DE19" s="629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527</v>
      </c>
      <c r="DN19" s="403">
        <v>38</v>
      </c>
      <c r="DO19" s="637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534</v>
      </c>
      <c r="DX19" s="403">
        <v>38</v>
      </c>
      <c r="DY19" s="629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538</v>
      </c>
      <c r="EH19" s="72">
        <v>38</v>
      </c>
      <c r="EI19" s="629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537</v>
      </c>
      <c r="ER19" s="279">
        <v>38</v>
      </c>
      <c r="ES19" s="629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547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545</v>
      </c>
      <c r="FL19" s="279">
        <v>38</v>
      </c>
      <c r="FM19" s="629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578</v>
      </c>
      <c r="FV19" s="72">
        <v>38</v>
      </c>
      <c r="FW19" s="629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571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572</v>
      </c>
      <c r="GP19" s="72">
        <v>39</v>
      </c>
      <c r="GQ19" s="629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574</v>
      </c>
      <c r="GZ19" s="279">
        <v>39</v>
      </c>
      <c r="HA19" s="629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588</v>
      </c>
      <c r="HJ19" s="72">
        <v>41</v>
      </c>
      <c r="HK19" s="629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585</v>
      </c>
      <c r="HT19" s="279">
        <v>41</v>
      </c>
      <c r="HU19" s="629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598</v>
      </c>
      <c r="ID19" s="72">
        <v>42</v>
      </c>
      <c r="IE19" s="629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605</v>
      </c>
      <c r="IN19" s="72">
        <v>41</v>
      </c>
      <c r="IO19" s="629">
        <f t="shared" si="28"/>
        <v>39835.19</v>
      </c>
      <c r="IR19" s="108"/>
      <c r="IS19" s="15">
        <v>12</v>
      </c>
      <c r="IT19" s="292">
        <v>904.9</v>
      </c>
      <c r="IU19" s="258">
        <v>44554</v>
      </c>
      <c r="IV19" s="292">
        <v>904.9</v>
      </c>
      <c r="IW19" s="552" t="s">
        <v>617</v>
      </c>
      <c r="IX19" s="279">
        <v>41</v>
      </c>
      <c r="IY19" s="338">
        <f t="shared" si="29"/>
        <v>37100.9</v>
      </c>
      <c r="IZ19" s="93"/>
      <c r="JA19" s="107"/>
      <c r="JB19" s="108"/>
      <c r="JC19" s="15">
        <v>12</v>
      </c>
      <c r="JD19" s="93">
        <v>873.2</v>
      </c>
      <c r="JE19" s="357">
        <v>44554</v>
      </c>
      <c r="JF19" s="93">
        <v>873.2</v>
      </c>
      <c r="JG19" s="71" t="s">
        <v>619</v>
      </c>
      <c r="JH19" s="72">
        <v>41</v>
      </c>
      <c r="JI19" s="629">
        <f t="shared" si="30"/>
        <v>35801.200000000004</v>
      </c>
      <c r="JL19" s="108"/>
      <c r="JM19" s="15">
        <v>12</v>
      </c>
      <c r="JN19" s="93">
        <v>867.7</v>
      </c>
      <c r="JO19" s="341">
        <v>44554</v>
      </c>
      <c r="JP19" s="93">
        <v>867.7</v>
      </c>
      <c r="JQ19" s="71" t="s">
        <v>610</v>
      </c>
      <c r="JR19" s="72">
        <v>41</v>
      </c>
      <c r="JS19" s="629">
        <f t="shared" si="31"/>
        <v>35575.700000000004</v>
      </c>
      <c r="JV19" s="95"/>
      <c r="JW19" s="15">
        <v>12</v>
      </c>
      <c r="JX19" s="70">
        <v>904.9</v>
      </c>
      <c r="JY19" s="357">
        <v>44554</v>
      </c>
      <c r="JZ19" s="70">
        <v>904.9</v>
      </c>
      <c r="KA19" s="71" t="s">
        <v>611</v>
      </c>
      <c r="KB19" s="72">
        <v>41</v>
      </c>
      <c r="KC19" s="629">
        <f t="shared" si="32"/>
        <v>37100.9</v>
      </c>
      <c r="KF19" s="95"/>
      <c r="KG19" s="15">
        <v>12</v>
      </c>
      <c r="KH19" s="70">
        <v>913.5</v>
      </c>
      <c r="KI19" s="357">
        <v>44556</v>
      </c>
      <c r="KJ19" s="70">
        <v>913.5</v>
      </c>
      <c r="KK19" s="71" t="s">
        <v>623</v>
      </c>
      <c r="KL19" s="72">
        <v>41</v>
      </c>
      <c r="KM19" s="629">
        <f t="shared" si="33"/>
        <v>37453.5</v>
      </c>
      <c r="KP19" s="95"/>
      <c r="KQ19" s="15">
        <v>12</v>
      </c>
      <c r="KR19" s="70">
        <v>906.7</v>
      </c>
      <c r="KS19" s="357">
        <v>44558</v>
      </c>
      <c r="KT19" s="70">
        <v>906.7</v>
      </c>
      <c r="KU19" s="71" t="s">
        <v>642</v>
      </c>
      <c r="KV19" s="72">
        <v>42</v>
      </c>
      <c r="KW19" s="629">
        <f t="shared" si="34"/>
        <v>38081.4</v>
      </c>
      <c r="KZ19" s="108"/>
      <c r="LA19" s="15">
        <v>12</v>
      </c>
      <c r="LB19" s="70">
        <v>934.85</v>
      </c>
      <c r="LC19" s="341">
        <v>44558</v>
      </c>
      <c r="LD19" s="70">
        <v>934.85</v>
      </c>
      <c r="LE19" s="96" t="s">
        <v>648</v>
      </c>
      <c r="LF19" s="72">
        <v>42</v>
      </c>
      <c r="LG19" s="629">
        <f t="shared" si="35"/>
        <v>39263.700000000004</v>
      </c>
      <c r="LJ19" s="108"/>
      <c r="LK19" s="15">
        <v>12</v>
      </c>
      <c r="LL19" s="292">
        <v>910.81</v>
      </c>
      <c r="LM19" s="341">
        <v>44559</v>
      </c>
      <c r="LN19" s="292">
        <v>910.81</v>
      </c>
      <c r="LO19" s="96" t="s">
        <v>661</v>
      </c>
      <c r="LP19" s="72">
        <v>42</v>
      </c>
      <c r="LQ19" s="629">
        <f t="shared" si="36"/>
        <v>38254.019999999997</v>
      </c>
      <c r="LT19" s="108"/>
      <c r="LU19" s="15">
        <v>12</v>
      </c>
      <c r="LV19" s="93">
        <v>931.2</v>
      </c>
      <c r="LW19" s="341">
        <v>44559</v>
      </c>
      <c r="LX19" s="93">
        <v>931.2</v>
      </c>
      <c r="LY19" s="96" t="s">
        <v>655</v>
      </c>
      <c r="LZ19" s="72">
        <v>42</v>
      </c>
      <c r="MA19" s="629">
        <f t="shared" si="37"/>
        <v>39110.400000000001</v>
      </c>
      <c r="MB19" s="629"/>
      <c r="MD19" s="108"/>
      <c r="ME19" s="15">
        <v>12</v>
      </c>
      <c r="MF19" s="412">
        <v>916.7</v>
      </c>
      <c r="MG19" s="341">
        <v>44560</v>
      </c>
      <c r="MH19" s="412">
        <v>916.7</v>
      </c>
      <c r="MI19" s="96" t="s">
        <v>667</v>
      </c>
      <c r="MJ19" s="72">
        <v>43</v>
      </c>
      <c r="MK19" s="72">
        <f t="shared" si="38"/>
        <v>39418.1</v>
      </c>
      <c r="MN19" s="108"/>
      <c r="MO19" s="15">
        <v>12</v>
      </c>
      <c r="MP19" s="93">
        <v>953.47</v>
      </c>
      <c r="MQ19" s="341">
        <v>44560</v>
      </c>
      <c r="MR19" s="93">
        <v>953.47</v>
      </c>
      <c r="MS19" s="96" t="s">
        <v>671</v>
      </c>
      <c r="MT19" s="72">
        <v>43</v>
      </c>
      <c r="MU19" s="72">
        <f t="shared" si="39"/>
        <v>40999.21</v>
      </c>
      <c r="MX19" s="108"/>
      <c r="MY19" s="15">
        <v>12</v>
      </c>
      <c r="MZ19" s="93">
        <v>916.3</v>
      </c>
      <c r="NA19" s="341"/>
      <c r="NB19" s="93"/>
      <c r="NC19" s="96"/>
      <c r="ND19" s="72"/>
      <c r="NE19" s="72">
        <f t="shared" si="40"/>
        <v>0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/>
      <c r="NV19" s="93"/>
      <c r="NW19" s="96"/>
      <c r="NX19" s="72"/>
      <c r="NY19" s="72">
        <f t="shared" si="42"/>
        <v>0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460</v>
      </c>
      <c r="R20" s="72">
        <v>37</v>
      </c>
      <c r="S20" s="629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475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471</v>
      </c>
      <c r="AL20" s="72">
        <v>37</v>
      </c>
      <c r="AM20" s="632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494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465</v>
      </c>
      <c r="BF20" s="400">
        <v>36</v>
      </c>
      <c r="BG20" s="648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489</v>
      </c>
      <c r="BP20" s="400">
        <v>36</v>
      </c>
      <c r="BQ20" s="861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514</v>
      </c>
      <c r="BZ20" s="403">
        <v>36</v>
      </c>
      <c r="CA20" s="629">
        <f t="shared" si="12"/>
        <v>33606</v>
      </c>
      <c r="CD20" s="913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518</v>
      </c>
      <c r="CJ20" s="403">
        <v>36</v>
      </c>
      <c r="CK20" s="629">
        <f t="shared" si="13"/>
        <v>31957.200000000001</v>
      </c>
      <c r="CN20" s="675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531</v>
      </c>
      <c r="CT20" s="403">
        <v>38</v>
      </c>
      <c r="CU20" s="637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522</v>
      </c>
      <c r="DD20" s="72">
        <v>38</v>
      </c>
      <c r="DE20" s="629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527</v>
      </c>
      <c r="DN20" s="403">
        <v>38</v>
      </c>
      <c r="DO20" s="637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534</v>
      </c>
      <c r="DX20" s="403">
        <v>38</v>
      </c>
      <c r="DY20" s="629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538</v>
      </c>
      <c r="EH20" s="72">
        <v>38</v>
      </c>
      <c r="EI20" s="629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537</v>
      </c>
      <c r="ER20" s="279">
        <v>38</v>
      </c>
      <c r="ES20" s="629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556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544</v>
      </c>
      <c r="FL20" s="279">
        <v>38</v>
      </c>
      <c r="FM20" s="629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578</v>
      </c>
      <c r="FV20" s="72">
        <v>38</v>
      </c>
      <c r="FW20" s="629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571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572</v>
      </c>
      <c r="GP20" s="72">
        <v>39</v>
      </c>
      <c r="GQ20" s="629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575</v>
      </c>
      <c r="GZ20" s="279">
        <v>39</v>
      </c>
      <c r="HA20" s="629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588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585</v>
      </c>
      <c r="HT20" s="279">
        <v>41</v>
      </c>
      <c r="HU20" s="629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598</v>
      </c>
      <c r="ID20" s="72">
        <v>42</v>
      </c>
      <c r="IE20" s="629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605</v>
      </c>
      <c r="IN20" s="72">
        <v>41</v>
      </c>
      <c r="IO20" s="629">
        <f t="shared" si="28"/>
        <v>36878.270000000004</v>
      </c>
      <c r="IR20" s="108"/>
      <c r="IS20" s="15">
        <v>13</v>
      </c>
      <c r="IT20" s="292">
        <v>917.6</v>
      </c>
      <c r="IU20" s="258">
        <v>44554</v>
      </c>
      <c r="IV20" s="292">
        <v>917.6</v>
      </c>
      <c r="IW20" s="552" t="s">
        <v>617</v>
      </c>
      <c r="IX20" s="279">
        <v>41</v>
      </c>
      <c r="IY20" s="338">
        <f t="shared" si="29"/>
        <v>37621.599999999999</v>
      </c>
      <c r="IZ20" s="93"/>
      <c r="JB20" s="108"/>
      <c r="JC20" s="15">
        <v>13</v>
      </c>
      <c r="JD20" s="93">
        <v>903.5</v>
      </c>
      <c r="JE20" s="357">
        <v>44554</v>
      </c>
      <c r="JF20" s="93">
        <v>903.5</v>
      </c>
      <c r="JG20" s="71" t="s">
        <v>619</v>
      </c>
      <c r="JH20" s="72">
        <v>41</v>
      </c>
      <c r="JI20" s="629">
        <f t="shared" si="30"/>
        <v>37043.5</v>
      </c>
      <c r="JL20" s="108"/>
      <c r="JM20" s="15">
        <v>13</v>
      </c>
      <c r="JN20" s="93">
        <v>916.3</v>
      </c>
      <c r="JO20" s="341">
        <v>44554</v>
      </c>
      <c r="JP20" s="93">
        <v>916.3</v>
      </c>
      <c r="JQ20" s="71" t="s">
        <v>610</v>
      </c>
      <c r="JR20" s="72">
        <v>41</v>
      </c>
      <c r="JS20" s="629">
        <f t="shared" si="31"/>
        <v>37568.299999999996</v>
      </c>
      <c r="JV20" s="95"/>
      <c r="JW20" s="15">
        <v>13</v>
      </c>
      <c r="JX20" s="70">
        <v>913.5</v>
      </c>
      <c r="JY20" s="357">
        <v>44554</v>
      </c>
      <c r="JZ20" s="70">
        <v>913.5</v>
      </c>
      <c r="KA20" s="71" t="s">
        <v>611</v>
      </c>
      <c r="KB20" s="72">
        <v>41</v>
      </c>
      <c r="KC20" s="629">
        <f t="shared" si="32"/>
        <v>37453.5</v>
      </c>
      <c r="KF20" s="95"/>
      <c r="KG20" s="15">
        <v>13</v>
      </c>
      <c r="KH20" s="70">
        <v>914</v>
      </c>
      <c r="KI20" s="357">
        <v>44556</v>
      </c>
      <c r="KJ20" s="70">
        <v>914</v>
      </c>
      <c r="KK20" s="71" t="s">
        <v>624</v>
      </c>
      <c r="KL20" s="72">
        <v>41</v>
      </c>
      <c r="KM20" s="629">
        <f t="shared" si="33"/>
        <v>37474</v>
      </c>
      <c r="KP20" s="95"/>
      <c r="KQ20" s="15">
        <v>13</v>
      </c>
      <c r="KR20" s="70">
        <v>914.9</v>
      </c>
      <c r="KS20" s="357">
        <v>44558</v>
      </c>
      <c r="KT20" s="70">
        <v>914.9</v>
      </c>
      <c r="KU20" s="71" t="s">
        <v>642</v>
      </c>
      <c r="KV20" s="72">
        <v>42</v>
      </c>
      <c r="KW20" s="629">
        <f t="shared" si="34"/>
        <v>38425.799999999996</v>
      </c>
      <c r="KZ20" s="108"/>
      <c r="LA20" s="15">
        <v>13</v>
      </c>
      <c r="LB20" s="93">
        <v>973.86</v>
      </c>
      <c r="LC20" s="341">
        <v>44558</v>
      </c>
      <c r="LD20" s="93">
        <v>973.86</v>
      </c>
      <c r="LE20" s="96" t="s">
        <v>648</v>
      </c>
      <c r="LF20" s="72">
        <v>42</v>
      </c>
      <c r="LG20" s="629">
        <f t="shared" si="35"/>
        <v>40902.120000000003</v>
      </c>
      <c r="LJ20" s="108"/>
      <c r="LK20" s="15">
        <v>13</v>
      </c>
      <c r="LL20" s="292">
        <v>917.61</v>
      </c>
      <c r="LM20" s="341">
        <v>44559</v>
      </c>
      <c r="LN20" s="292">
        <v>917.61</v>
      </c>
      <c r="LO20" s="96" t="s">
        <v>661</v>
      </c>
      <c r="LP20" s="72">
        <v>42</v>
      </c>
      <c r="LQ20" s="629">
        <f t="shared" si="36"/>
        <v>38539.620000000003</v>
      </c>
      <c r="LT20" s="108"/>
      <c r="LU20" s="15">
        <v>13</v>
      </c>
      <c r="LV20" s="93">
        <v>928.5</v>
      </c>
      <c r="LW20" s="341">
        <v>44559</v>
      </c>
      <c r="LX20" s="93">
        <v>928.5</v>
      </c>
      <c r="LY20" s="96" t="s">
        <v>655</v>
      </c>
      <c r="LZ20" s="72">
        <v>42</v>
      </c>
      <c r="MA20" s="629">
        <f t="shared" si="37"/>
        <v>38997</v>
      </c>
      <c r="MB20" s="629"/>
      <c r="MD20" s="108"/>
      <c r="ME20" s="15">
        <v>13</v>
      </c>
      <c r="MF20" s="412">
        <v>916.7</v>
      </c>
      <c r="MG20" s="341">
        <v>44560</v>
      </c>
      <c r="MH20" s="412">
        <v>916.7</v>
      </c>
      <c r="MI20" s="96" t="s">
        <v>667</v>
      </c>
      <c r="MJ20" s="72">
        <v>43</v>
      </c>
      <c r="MK20" s="72">
        <f t="shared" si="38"/>
        <v>39418.1</v>
      </c>
      <c r="MN20" s="108"/>
      <c r="MO20" s="15">
        <v>13</v>
      </c>
      <c r="MP20" s="93">
        <v>933.06</v>
      </c>
      <c r="MQ20" s="341">
        <v>44560</v>
      </c>
      <c r="MR20" s="93">
        <v>933.06</v>
      </c>
      <c r="MS20" s="96" t="s">
        <v>671</v>
      </c>
      <c r="MT20" s="72">
        <v>43</v>
      </c>
      <c r="MU20" s="72">
        <f t="shared" si="39"/>
        <v>40121.579999999994</v>
      </c>
      <c r="MX20" s="108"/>
      <c r="MY20" s="15">
        <v>13</v>
      </c>
      <c r="MZ20" s="93">
        <v>913.5</v>
      </c>
      <c r="NA20" s="341"/>
      <c r="NB20" s="93"/>
      <c r="NC20" s="96"/>
      <c r="ND20" s="72"/>
      <c r="NE20" s="72">
        <f t="shared" si="40"/>
        <v>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/>
      <c r="NV20" s="93"/>
      <c r="NW20" s="96"/>
      <c r="NX20" s="72"/>
      <c r="NY20" s="72">
        <f t="shared" si="42"/>
        <v>0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460</v>
      </c>
      <c r="R21" s="72">
        <v>37</v>
      </c>
      <c r="S21" s="629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475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471</v>
      </c>
      <c r="AL21" s="72">
        <v>37</v>
      </c>
      <c r="AM21" s="632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494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465</v>
      </c>
      <c r="BF21" s="400">
        <v>36</v>
      </c>
      <c r="BG21" s="648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489</v>
      </c>
      <c r="BP21" s="400">
        <v>36</v>
      </c>
      <c r="BQ21" s="861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514</v>
      </c>
      <c r="BZ21" s="403">
        <v>36</v>
      </c>
      <c r="CA21" s="629">
        <f t="shared" si="12"/>
        <v>32382</v>
      </c>
      <c r="CD21" s="913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519</v>
      </c>
      <c r="CJ21" s="403">
        <v>36</v>
      </c>
      <c r="CK21" s="629">
        <f t="shared" si="13"/>
        <v>32738.399999999998</v>
      </c>
      <c r="CN21" s="675"/>
      <c r="CO21" s="15">
        <v>14</v>
      </c>
      <c r="CP21" s="292">
        <v>933</v>
      </c>
      <c r="CQ21" s="401">
        <v>44545</v>
      </c>
      <c r="CR21" s="292">
        <v>933</v>
      </c>
      <c r="CS21" s="404" t="s">
        <v>531</v>
      </c>
      <c r="CT21" s="403">
        <v>38</v>
      </c>
      <c r="CU21" s="637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522</v>
      </c>
      <c r="DD21" s="72">
        <v>38</v>
      </c>
      <c r="DE21" s="629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482</v>
      </c>
      <c r="DN21" s="403">
        <v>38</v>
      </c>
      <c r="DO21" s="637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483</v>
      </c>
      <c r="DX21" s="403">
        <v>38</v>
      </c>
      <c r="DY21" s="629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538</v>
      </c>
      <c r="EH21" s="72">
        <v>38</v>
      </c>
      <c r="EI21" s="629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537</v>
      </c>
      <c r="ER21" s="279">
        <v>38</v>
      </c>
      <c r="ES21" s="629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556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544</v>
      </c>
      <c r="FL21" s="279">
        <v>38</v>
      </c>
      <c r="FM21" s="629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578</v>
      </c>
      <c r="FV21" s="72">
        <v>38</v>
      </c>
      <c r="FW21" s="629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571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572</v>
      </c>
      <c r="GP21" s="72">
        <v>39</v>
      </c>
      <c r="GQ21" s="629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575</v>
      </c>
      <c r="GZ21" s="279">
        <v>39</v>
      </c>
      <c r="HA21" s="629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588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585</v>
      </c>
      <c r="HT21" s="279">
        <v>41</v>
      </c>
      <c r="HU21" s="629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598</v>
      </c>
      <c r="ID21" s="72">
        <v>42</v>
      </c>
      <c r="IE21" s="629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605</v>
      </c>
      <c r="IN21" s="72">
        <v>41</v>
      </c>
      <c r="IO21" s="629">
        <f t="shared" si="28"/>
        <v>38775.340000000004</v>
      </c>
      <c r="IR21" s="108"/>
      <c r="IS21" s="15">
        <v>14</v>
      </c>
      <c r="IT21" s="292">
        <v>875.4</v>
      </c>
      <c r="IU21" s="258">
        <v>44554</v>
      </c>
      <c r="IV21" s="292">
        <v>875.4</v>
      </c>
      <c r="IW21" s="552" t="s">
        <v>617</v>
      </c>
      <c r="IX21" s="279">
        <v>41</v>
      </c>
      <c r="IY21" s="338">
        <f t="shared" si="29"/>
        <v>35891.4</v>
      </c>
      <c r="IZ21" s="93"/>
      <c r="JB21" s="108"/>
      <c r="JC21" s="15">
        <v>14</v>
      </c>
      <c r="JD21" s="93">
        <v>870.9</v>
      </c>
      <c r="JE21" s="357">
        <v>44554</v>
      </c>
      <c r="JF21" s="93">
        <v>870.9</v>
      </c>
      <c r="JG21" s="71" t="s">
        <v>619</v>
      </c>
      <c r="JH21" s="72">
        <v>41</v>
      </c>
      <c r="JI21" s="629">
        <f t="shared" si="30"/>
        <v>35706.9</v>
      </c>
      <c r="JL21" s="108"/>
      <c r="JM21" s="15">
        <v>14</v>
      </c>
      <c r="JN21" s="93">
        <v>936.2</v>
      </c>
      <c r="JO21" s="341">
        <v>44554</v>
      </c>
      <c r="JP21" s="93">
        <v>936.2</v>
      </c>
      <c r="JQ21" s="71" t="s">
        <v>610</v>
      </c>
      <c r="JR21" s="72">
        <v>41</v>
      </c>
      <c r="JS21" s="629">
        <f t="shared" si="31"/>
        <v>38384.200000000004</v>
      </c>
      <c r="JV21" s="95"/>
      <c r="JW21" s="15">
        <v>14</v>
      </c>
      <c r="JX21" s="70">
        <v>922.1</v>
      </c>
      <c r="JY21" s="357">
        <v>44554</v>
      </c>
      <c r="JZ21" s="70">
        <v>922.1</v>
      </c>
      <c r="KA21" s="71" t="s">
        <v>611</v>
      </c>
      <c r="KB21" s="72">
        <v>41</v>
      </c>
      <c r="KC21" s="629">
        <f t="shared" si="32"/>
        <v>37806.1</v>
      </c>
      <c r="KF21" s="95"/>
      <c r="KG21" s="15">
        <v>14</v>
      </c>
      <c r="KH21" s="70">
        <v>881.3</v>
      </c>
      <c r="KI21" s="357">
        <v>44556</v>
      </c>
      <c r="KJ21" s="70">
        <v>881.3</v>
      </c>
      <c r="KK21" s="71" t="s">
        <v>624</v>
      </c>
      <c r="KL21" s="72">
        <v>41</v>
      </c>
      <c r="KM21" s="629">
        <f t="shared" si="33"/>
        <v>36133.299999999996</v>
      </c>
      <c r="KP21" s="95"/>
      <c r="KQ21" s="15">
        <v>14</v>
      </c>
      <c r="KR21" s="70">
        <v>875</v>
      </c>
      <c r="KS21" s="357">
        <v>44558</v>
      </c>
      <c r="KT21" s="70">
        <v>875</v>
      </c>
      <c r="KU21" s="71" t="s">
        <v>642</v>
      </c>
      <c r="KV21" s="72">
        <v>42</v>
      </c>
      <c r="KW21" s="629">
        <f t="shared" si="34"/>
        <v>36750</v>
      </c>
      <c r="KZ21" s="108"/>
      <c r="LA21" s="15">
        <v>14</v>
      </c>
      <c r="LB21" s="93">
        <v>918.07</v>
      </c>
      <c r="LC21" s="341">
        <v>44558</v>
      </c>
      <c r="LD21" s="93">
        <v>918.07</v>
      </c>
      <c r="LE21" s="96" t="s">
        <v>648</v>
      </c>
      <c r="LF21" s="72">
        <v>42</v>
      </c>
      <c r="LG21" s="629">
        <f t="shared" si="35"/>
        <v>38558.94</v>
      </c>
      <c r="LJ21" s="108"/>
      <c r="LK21" s="15">
        <v>14</v>
      </c>
      <c r="LL21" s="292">
        <v>940.29</v>
      </c>
      <c r="LM21" s="341">
        <v>44559</v>
      </c>
      <c r="LN21" s="292">
        <v>940.29</v>
      </c>
      <c r="LO21" s="96" t="s">
        <v>661</v>
      </c>
      <c r="LP21" s="72">
        <v>42</v>
      </c>
      <c r="LQ21" s="629">
        <f t="shared" si="36"/>
        <v>39492.18</v>
      </c>
      <c r="LT21" s="108"/>
      <c r="LU21" s="15">
        <v>14</v>
      </c>
      <c r="LV21" s="93">
        <v>871.8</v>
      </c>
      <c r="LW21" s="341">
        <v>44559</v>
      </c>
      <c r="LX21" s="93">
        <v>871.8</v>
      </c>
      <c r="LY21" s="96" t="s">
        <v>655</v>
      </c>
      <c r="LZ21" s="72">
        <v>42</v>
      </c>
      <c r="MA21" s="629">
        <f t="shared" si="37"/>
        <v>36615.599999999999</v>
      </c>
      <c r="MB21" s="629"/>
      <c r="MD21" s="108"/>
      <c r="ME21" s="15">
        <v>14</v>
      </c>
      <c r="MF21" s="412">
        <v>908.1</v>
      </c>
      <c r="MG21" s="341">
        <v>44560</v>
      </c>
      <c r="MH21" s="412">
        <v>908.1</v>
      </c>
      <c r="MI21" s="96" t="s">
        <v>667</v>
      </c>
      <c r="MJ21" s="72">
        <v>43</v>
      </c>
      <c r="MK21" s="72">
        <f t="shared" si="38"/>
        <v>39048.300000000003</v>
      </c>
      <c r="MN21" s="108"/>
      <c r="MO21" s="15">
        <v>14</v>
      </c>
      <c r="MP21" s="93">
        <v>982.5</v>
      </c>
      <c r="MQ21" s="341">
        <v>44560</v>
      </c>
      <c r="MR21" s="93">
        <v>982.5</v>
      </c>
      <c r="MS21" s="96" t="s">
        <v>671</v>
      </c>
      <c r="MT21" s="72">
        <v>43</v>
      </c>
      <c r="MU21" s="72">
        <f t="shared" si="39"/>
        <v>42247.5</v>
      </c>
      <c r="MX21" s="108"/>
      <c r="MY21" s="15">
        <v>14</v>
      </c>
      <c r="MZ21" s="93">
        <v>887.7</v>
      </c>
      <c r="NA21" s="341"/>
      <c r="NB21" s="93"/>
      <c r="NC21" s="96"/>
      <c r="ND21" s="72"/>
      <c r="NE21" s="72">
        <f t="shared" si="40"/>
        <v>0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/>
      <c r="NV21" s="93"/>
      <c r="NW21" s="96"/>
      <c r="NX21" s="72"/>
      <c r="NY21" s="72">
        <f t="shared" si="42"/>
        <v>0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460</v>
      </c>
      <c r="R22" s="72">
        <v>37</v>
      </c>
      <c r="S22" s="629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475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471</v>
      </c>
      <c r="AL22" s="72">
        <v>37</v>
      </c>
      <c r="AM22" s="632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494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465</v>
      </c>
      <c r="BF22" s="400">
        <v>36</v>
      </c>
      <c r="BG22" s="648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489</v>
      </c>
      <c r="BP22" s="400">
        <v>36</v>
      </c>
      <c r="BQ22" s="861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514</v>
      </c>
      <c r="BZ22" s="403">
        <v>36</v>
      </c>
      <c r="CA22" s="629">
        <f t="shared" si="12"/>
        <v>32968.799999999996</v>
      </c>
      <c r="CD22" s="913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518</v>
      </c>
      <c r="CJ22" s="403">
        <v>36</v>
      </c>
      <c r="CK22" s="629">
        <f t="shared" si="13"/>
        <v>31402.799999999999</v>
      </c>
      <c r="CN22" s="675"/>
      <c r="CO22" s="15">
        <v>15</v>
      </c>
      <c r="CP22" s="277">
        <v>928</v>
      </c>
      <c r="CQ22" s="401">
        <v>44545</v>
      </c>
      <c r="CR22" s="277">
        <v>928</v>
      </c>
      <c r="CS22" s="404" t="s">
        <v>470</v>
      </c>
      <c r="CT22" s="403">
        <v>38</v>
      </c>
      <c r="CU22" s="637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522</v>
      </c>
      <c r="DD22" s="72">
        <v>38</v>
      </c>
      <c r="DE22" s="629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482</v>
      </c>
      <c r="DN22" s="403">
        <v>38</v>
      </c>
      <c r="DO22" s="637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534</v>
      </c>
      <c r="DX22" s="403">
        <v>38</v>
      </c>
      <c r="DY22" s="629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538</v>
      </c>
      <c r="EH22" s="72">
        <v>38</v>
      </c>
      <c r="EI22" s="629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537</v>
      </c>
      <c r="ER22" s="279">
        <v>38</v>
      </c>
      <c r="ES22" s="629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556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544</v>
      </c>
      <c r="FL22" s="279">
        <v>38</v>
      </c>
      <c r="FM22" s="629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578</v>
      </c>
      <c r="FV22" s="72">
        <v>38</v>
      </c>
      <c r="FW22" s="629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571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572</v>
      </c>
      <c r="GP22" s="72">
        <v>39</v>
      </c>
      <c r="GQ22" s="629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575</v>
      </c>
      <c r="GZ22" s="279">
        <v>39</v>
      </c>
      <c r="HA22" s="629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588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585</v>
      </c>
      <c r="HT22" s="279">
        <v>41</v>
      </c>
      <c r="HU22" s="629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598</v>
      </c>
      <c r="ID22" s="72">
        <v>42</v>
      </c>
      <c r="IE22" s="629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605</v>
      </c>
      <c r="IN22" s="72">
        <v>41</v>
      </c>
      <c r="IO22" s="629">
        <f t="shared" si="28"/>
        <v>37677.770000000004</v>
      </c>
      <c r="IR22" s="108"/>
      <c r="IS22" s="15">
        <v>15</v>
      </c>
      <c r="IT22" s="292">
        <v>868.2</v>
      </c>
      <c r="IU22" s="258">
        <v>44554</v>
      </c>
      <c r="IV22" s="292">
        <v>868.2</v>
      </c>
      <c r="IW22" s="552" t="s">
        <v>617</v>
      </c>
      <c r="IX22" s="279">
        <v>41</v>
      </c>
      <c r="IY22" s="338">
        <f t="shared" si="29"/>
        <v>35596.200000000004</v>
      </c>
      <c r="IZ22" s="93"/>
      <c r="JB22" s="108"/>
      <c r="JC22" s="15">
        <v>15</v>
      </c>
      <c r="JD22" s="93">
        <v>865</v>
      </c>
      <c r="JE22" s="357">
        <v>44554</v>
      </c>
      <c r="JF22" s="93">
        <v>865</v>
      </c>
      <c r="JG22" s="71" t="s">
        <v>619</v>
      </c>
      <c r="JH22" s="72">
        <v>41</v>
      </c>
      <c r="JI22" s="629">
        <f t="shared" si="30"/>
        <v>35465</v>
      </c>
      <c r="JL22" s="108"/>
      <c r="JM22" s="15">
        <v>15</v>
      </c>
      <c r="JN22" s="93">
        <v>876.8</v>
      </c>
      <c r="JO22" s="341">
        <v>44554</v>
      </c>
      <c r="JP22" s="93">
        <v>876.8</v>
      </c>
      <c r="JQ22" s="71" t="s">
        <v>610</v>
      </c>
      <c r="JR22" s="72">
        <v>41</v>
      </c>
      <c r="JS22" s="629">
        <f t="shared" si="31"/>
        <v>35948.799999999996</v>
      </c>
      <c r="JV22" s="95"/>
      <c r="JW22" s="15">
        <v>15</v>
      </c>
      <c r="JX22" s="70">
        <v>938.5</v>
      </c>
      <c r="JY22" s="357">
        <v>44554</v>
      </c>
      <c r="JZ22" s="70">
        <v>938.5</v>
      </c>
      <c r="KA22" s="71" t="s">
        <v>611</v>
      </c>
      <c r="KB22" s="72">
        <v>41</v>
      </c>
      <c r="KC22" s="629">
        <f t="shared" si="32"/>
        <v>38478.5</v>
      </c>
      <c r="KF22" s="95"/>
      <c r="KG22" s="15">
        <v>15</v>
      </c>
      <c r="KH22" s="70">
        <v>908.1</v>
      </c>
      <c r="KI22" s="357">
        <v>44556</v>
      </c>
      <c r="KJ22" s="70">
        <v>908.1</v>
      </c>
      <c r="KK22" s="71" t="s">
        <v>624</v>
      </c>
      <c r="KL22" s="72">
        <v>41</v>
      </c>
      <c r="KM22" s="629">
        <f t="shared" si="33"/>
        <v>37232.1</v>
      </c>
      <c r="KP22" s="95"/>
      <c r="KQ22" s="15">
        <v>15</v>
      </c>
      <c r="KR22" s="70">
        <v>904</v>
      </c>
      <c r="KS22" s="357">
        <v>44558</v>
      </c>
      <c r="KT22" s="70">
        <v>904</v>
      </c>
      <c r="KU22" s="71" t="s">
        <v>642</v>
      </c>
      <c r="KV22" s="72">
        <v>42</v>
      </c>
      <c r="KW22" s="629">
        <f t="shared" si="34"/>
        <v>37968</v>
      </c>
      <c r="KZ22" s="108"/>
      <c r="LA22" s="15">
        <v>15</v>
      </c>
      <c r="LB22" s="93">
        <v>939.38</v>
      </c>
      <c r="LC22" s="341">
        <v>44558</v>
      </c>
      <c r="LD22" s="93">
        <v>939.38</v>
      </c>
      <c r="LE22" s="96" t="s">
        <v>648</v>
      </c>
      <c r="LF22" s="72">
        <v>42</v>
      </c>
      <c r="LG22" s="629">
        <f t="shared" si="35"/>
        <v>39453.96</v>
      </c>
      <c r="LJ22" s="108"/>
      <c r="LK22" s="15">
        <v>15</v>
      </c>
      <c r="LL22" s="292">
        <v>957.07</v>
      </c>
      <c r="LM22" s="341">
        <v>44559</v>
      </c>
      <c r="LN22" s="292">
        <v>957.07</v>
      </c>
      <c r="LO22" s="96" t="s">
        <v>661</v>
      </c>
      <c r="LP22" s="72">
        <v>42</v>
      </c>
      <c r="LQ22" s="629">
        <f t="shared" si="36"/>
        <v>40196.94</v>
      </c>
      <c r="LT22" s="108"/>
      <c r="LU22" s="15">
        <v>15</v>
      </c>
      <c r="LV22" s="93">
        <v>912.6</v>
      </c>
      <c r="LW22" s="341">
        <v>44559</v>
      </c>
      <c r="LX22" s="93">
        <v>912.6</v>
      </c>
      <c r="LY22" s="96" t="s">
        <v>655</v>
      </c>
      <c r="LZ22" s="72">
        <v>42</v>
      </c>
      <c r="MA22" s="629">
        <f t="shared" si="37"/>
        <v>38329.200000000004</v>
      </c>
      <c r="MB22" s="629"/>
      <c r="MD22" s="108"/>
      <c r="ME22" s="15">
        <v>15</v>
      </c>
      <c r="MF22" s="412">
        <v>875</v>
      </c>
      <c r="MG22" s="341">
        <v>44560</v>
      </c>
      <c r="MH22" s="412">
        <v>875</v>
      </c>
      <c r="MI22" s="96" t="s">
        <v>667</v>
      </c>
      <c r="MJ22" s="72">
        <v>43</v>
      </c>
      <c r="MK22" s="72">
        <f t="shared" si="38"/>
        <v>37625</v>
      </c>
      <c r="MN22" s="108"/>
      <c r="MO22" s="15">
        <v>15</v>
      </c>
      <c r="MP22" s="93">
        <v>861.84</v>
      </c>
      <c r="MQ22" s="341">
        <v>44560</v>
      </c>
      <c r="MR22" s="93">
        <v>861.84</v>
      </c>
      <c r="MS22" s="96" t="s">
        <v>669</v>
      </c>
      <c r="MT22" s="72">
        <v>43</v>
      </c>
      <c r="MU22" s="72">
        <f t="shared" si="39"/>
        <v>37059.120000000003</v>
      </c>
      <c r="MX22" s="108"/>
      <c r="MY22" s="15">
        <v>15</v>
      </c>
      <c r="MZ22" s="93">
        <v>894.5</v>
      </c>
      <c r="NA22" s="341"/>
      <c r="NB22" s="93"/>
      <c r="NC22" s="96"/>
      <c r="ND22" s="72"/>
      <c r="NE22" s="72">
        <f t="shared" si="40"/>
        <v>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/>
      <c r="NV22" s="93"/>
      <c r="NW22" s="96"/>
      <c r="NX22" s="72"/>
      <c r="NY22" s="72">
        <f t="shared" si="42"/>
        <v>0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460</v>
      </c>
      <c r="R23" s="72">
        <v>37</v>
      </c>
      <c r="S23" s="629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475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471</v>
      </c>
      <c r="AL23" s="72">
        <v>37</v>
      </c>
      <c r="AM23" s="632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494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465</v>
      </c>
      <c r="BF23" s="400">
        <v>36</v>
      </c>
      <c r="BG23" s="648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489</v>
      </c>
      <c r="BP23" s="400">
        <v>36</v>
      </c>
      <c r="BQ23" s="861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514</v>
      </c>
      <c r="BZ23" s="403">
        <v>36</v>
      </c>
      <c r="CA23" s="629">
        <f t="shared" si="12"/>
        <v>32925.599999999999</v>
      </c>
      <c r="CD23" s="913"/>
      <c r="CE23" s="15">
        <v>16</v>
      </c>
      <c r="CF23" s="93">
        <v>940.7</v>
      </c>
      <c r="CG23" s="401">
        <v>44541</v>
      </c>
      <c r="CH23" s="93">
        <v>940.7</v>
      </c>
      <c r="CI23" s="404" t="s">
        <v>480</v>
      </c>
      <c r="CJ23" s="403">
        <v>36</v>
      </c>
      <c r="CK23" s="629">
        <f t="shared" si="13"/>
        <v>33865.200000000004</v>
      </c>
      <c r="CN23" s="675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470</v>
      </c>
      <c r="CT23" s="403">
        <v>38</v>
      </c>
      <c r="CU23" s="637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522</v>
      </c>
      <c r="DD23" s="72">
        <v>38</v>
      </c>
      <c r="DE23" s="629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527</v>
      </c>
      <c r="DN23" s="403">
        <v>38</v>
      </c>
      <c r="DO23" s="637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493</v>
      </c>
      <c r="DX23" s="403">
        <v>38</v>
      </c>
      <c r="DY23" s="629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538</v>
      </c>
      <c r="EH23" s="72">
        <v>38</v>
      </c>
      <c r="EI23" s="629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537</v>
      </c>
      <c r="ER23" s="279">
        <v>38</v>
      </c>
      <c r="ES23" s="629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556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544</v>
      </c>
      <c r="FL23" s="279">
        <v>38</v>
      </c>
      <c r="FM23" s="629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578</v>
      </c>
      <c r="FV23" s="72">
        <v>38</v>
      </c>
      <c r="FW23" s="629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571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573</v>
      </c>
      <c r="GP23" s="72">
        <v>39</v>
      </c>
      <c r="GQ23" s="629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575</v>
      </c>
      <c r="GZ23" s="279">
        <v>39</v>
      </c>
      <c r="HA23" s="629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588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585</v>
      </c>
      <c r="HT23" s="279">
        <v>41</v>
      </c>
      <c r="HU23" s="629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598</v>
      </c>
      <c r="ID23" s="72">
        <v>42</v>
      </c>
      <c r="IE23" s="629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605</v>
      </c>
      <c r="IN23" s="72">
        <v>41</v>
      </c>
      <c r="IO23" s="629">
        <f t="shared" si="28"/>
        <v>37528.94</v>
      </c>
      <c r="IR23" s="108"/>
      <c r="IS23" s="15">
        <v>16</v>
      </c>
      <c r="IT23" s="292">
        <v>876.3</v>
      </c>
      <c r="IU23" s="258">
        <v>44554</v>
      </c>
      <c r="IV23" s="292">
        <v>876.3</v>
      </c>
      <c r="IW23" s="552" t="s">
        <v>617</v>
      </c>
      <c r="IX23" s="279">
        <v>41</v>
      </c>
      <c r="IY23" s="338">
        <f t="shared" si="29"/>
        <v>35928.299999999996</v>
      </c>
      <c r="IZ23" s="107"/>
      <c r="JA23" s="70"/>
      <c r="JB23" s="108"/>
      <c r="JC23" s="15">
        <v>16</v>
      </c>
      <c r="JD23" s="93">
        <v>890.4</v>
      </c>
      <c r="JE23" s="357">
        <v>44554</v>
      </c>
      <c r="JF23" s="93">
        <v>890.4</v>
      </c>
      <c r="JG23" s="71" t="s">
        <v>619</v>
      </c>
      <c r="JH23" s="72">
        <v>41</v>
      </c>
      <c r="JI23" s="629">
        <f t="shared" si="30"/>
        <v>36506.400000000001</v>
      </c>
      <c r="JL23" s="108"/>
      <c r="JM23" s="15">
        <v>16</v>
      </c>
      <c r="JN23" s="93">
        <v>879.1</v>
      </c>
      <c r="JO23" s="341">
        <v>44554</v>
      </c>
      <c r="JP23" s="93">
        <v>879.1</v>
      </c>
      <c r="JQ23" s="71" t="s">
        <v>610</v>
      </c>
      <c r="JR23" s="72">
        <v>41</v>
      </c>
      <c r="JS23" s="629">
        <f t="shared" si="31"/>
        <v>36043.1</v>
      </c>
      <c r="JV23" s="95"/>
      <c r="JW23" s="15">
        <v>16</v>
      </c>
      <c r="JX23" s="70">
        <v>906.7</v>
      </c>
      <c r="JY23" s="357">
        <v>44554</v>
      </c>
      <c r="JZ23" s="70">
        <v>906.7</v>
      </c>
      <c r="KA23" s="71" t="s">
        <v>611</v>
      </c>
      <c r="KB23" s="72">
        <v>41</v>
      </c>
      <c r="KC23" s="629">
        <f t="shared" si="32"/>
        <v>37174.700000000004</v>
      </c>
      <c r="KF23" s="95"/>
      <c r="KG23" s="15">
        <v>16</v>
      </c>
      <c r="KH23" s="70">
        <v>909.9</v>
      </c>
      <c r="KI23" s="357">
        <v>44556</v>
      </c>
      <c r="KJ23" s="70">
        <v>909.9</v>
      </c>
      <c r="KK23" s="71" t="s">
        <v>624</v>
      </c>
      <c r="KL23" s="72">
        <v>41</v>
      </c>
      <c r="KM23" s="629">
        <f t="shared" si="33"/>
        <v>37305.9</v>
      </c>
      <c r="KP23" s="95"/>
      <c r="KQ23" s="15">
        <v>16</v>
      </c>
      <c r="KR23" s="70">
        <v>913.1</v>
      </c>
      <c r="KS23" s="357">
        <v>44558</v>
      </c>
      <c r="KT23" s="70">
        <v>913.1</v>
      </c>
      <c r="KU23" s="71" t="s">
        <v>642</v>
      </c>
      <c r="KV23" s="72">
        <v>42</v>
      </c>
      <c r="KW23" s="629">
        <f t="shared" si="34"/>
        <v>38350.200000000004</v>
      </c>
      <c r="KZ23" s="108"/>
      <c r="LA23" s="15">
        <v>16</v>
      </c>
      <c r="LB23" s="93">
        <v>942.11</v>
      </c>
      <c r="LC23" s="341">
        <v>44558</v>
      </c>
      <c r="LD23" s="93">
        <v>942.11</v>
      </c>
      <c r="LE23" s="96" t="s">
        <v>648</v>
      </c>
      <c r="LF23" s="72">
        <v>42</v>
      </c>
      <c r="LG23" s="629">
        <f t="shared" si="35"/>
        <v>39568.620000000003</v>
      </c>
      <c r="LJ23" s="108"/>
      <c r="LK23" s="15">
        <v>16</v>
      </c>
      <c r="LL23" s="292">
        <v>935.3</v>
      </c>
      <c r="LM23" s="341">
        <v>44559</v>
      </c>
      <c r="LN23" s="292">
        <v>935.3</v>
      </c>
      <c r="LO23" s="96" t="s">
        <v>661</v>
      </c>
      <c r="LP23" s="72">
        <v>42</v>
      </c>
      <c r="LQ23" s="629">
        <f t="shared" si="36"/>
        <v>39282.6</v>
      </c>
      <c r="LT23" s="108"/>
      <c r="LU23" s="15">
        <v>16</v>
      </c>
      <c r="LV23" s="93">
        <v>913.5</v>
      </c>
      <c r="LW23" s="341">
        <v>44559</v>
      </c>
      <c r="LX23" s="93">
        <v>913.5</v>
      </c>
      <c r="LY23" s="96" t="s">
        <v>655</v>
      </c>
      <c r="LZ23" s="72">
        <v>42</v>
      </c>
      <c r="MA23" s="629">
        <f t="shared" si="37"/>
        <v>38367</v>
      </c>
      <c r="MB23" s="629"/>
      <c r="MD23" s="108"/>
      <c r="ME23" s="15">
        <v>16</v>
      </c>
      <c r="MF23" s="412">
        <v>924.9</v>
      </c>
      <c r="MG23" s="341">
        <v>44560</v>
      </c>
      <c r="MH23" s="412">
        <v>924.9</v>
      </c>
      <c r="MI23" s="96" t="s">
        <v>667</v>
      </c>
      <c r="MJ23" s="72">
        <v>43</v>
      </c>
      <c r="MK23" s="72">
        <f t="shared" si="38"/>
        <v>39770.699999999997</v>
      </c>
      <c r="MN23" s="108"/>
      <c r="MO23" s="15">
        <v>16</v>
      </c>
      <c r="MP23" s="93">
        <v>910.38</v>
      </c>
      <c r="MQ23" s="341">
        <v>44560</v>
      </c>
      <c r="MR23" s="93">
        <v>910.38</v>
      </c>
      <c r="MS23" s="96" t="s">
        <v>671</v>
      </c>
      <c r="MT23" s="72">
        <v>43</v>
      </c>
      <c r="MU23" s="72">
        <f t="shared" si="39"/>
        <v>39146.339999999997</v>
      </c>
      <c r="MX23" s="108"/>
      <c r="MY23" s="15">
        <v>16</v>
      </c>
      <c r="MZ23" s="93">
        <v>899.9</v>
      </c>
      <c r="NA23" s="341"/>
      <c r="NB23" s="93"/>
      <c r="NC23" s="96"/>
      <c r="ND23" s="72"/>
      <c r="NE23" s="72">
        <f t="shared" si="40"/>
        <v>0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/>
      <c r="NV23" s="93"/>
      <c r="NW23" s="96"/>
      <c r="NX23" s="72"/>
      <c r="NY23" s="72">
        <f t="shared" si="42"/>
        <v>0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460</v>
      </c>
      <c r="R24" s="72">
        <v>37</v>
      </c>
      <c r="S24" s="629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475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471</v>
      </c>
      <c r="AL24" s="72">
        <v>37</v>
      </c>
      <c r="AM24" s="632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494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465</v>
      </c>
      <c r="BF24" s="400">
        <v>36</v>
      </c>
      <c r="BG24" s="648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489</v>
      </c>
      <c r="BP24" s="400">
        <v>36</v>
      </c>
      <c r="BQ24" s="861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514</v>
      </c>
      <c r="BZ24" s="403">
        <v>36</v>
      </c>
      <c r="CA24" s="629">
        <f t="shared" si="12"/>
        <v>31057.200000000001</v>
      </c>
      <c r="CD24" s="913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518</v>
      </c>
      <c r="CJ24" s="403">
        <v>36</v>
      </c>
      <c r="CK24" s="629">
        <f t="shared" si="13"/>
        <v>32562</v>
      </c>
      <c r="CN24" s="675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528</v>
      </c>
      <c r="CT24" s="403">
        <v>38</v>
      </c>
      <c r="CU24" s="637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522</v>
      </c>
      <c r="DD24" s="72">
        <v>38</v>
      </c>
      <c r="DE24" s="629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469</v>
      </c>
      <c r="DN24" s="403">
        <v>38</v>
      </c>
      <c r="DO24" s="637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534</v>
      </c>
      <c r="DX24" s="403">
        <v>38</v>
      </c>
      <c r="DY24" s="629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538</v>
      </c>
      <c r="EH24" s="72">
        <v>38</v>
      </c>
      <c r="EI24" s="629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537</v>
      </c>
      <c r="ER24" s="279">
        <v>38</v>
      </c>
      <c r="ES24" s="629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556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545</v>
      </c>
      <c r="FL24" s="279">
        <v>38</v>
      </c>
      <c r="FM24" s="629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578</v>
      </c>
      <c r="FV24" s="72">
        <v>38</v>
      </c>
      <c r="FW24" s="629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571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573</v>
      </c>
      <c r="GP24" s="72">
        <v>39</v>
      </c>
      <c r="GQ24" s="629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575</v>
      </c>
      <c r="GZ24" s="279">
        <v>39</v>
      </c>
      <c r="HA24" s="629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588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585</v>
      </c>
      <c r="HT24" s="279">
        <v>41</v>
      </c>
      <c r="HU24" s="629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598</v>
      </c>
      <c r="ID24" s="72">
        <v>42</v>
      </c>
      <c r="IE24" s="629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605</v>
      </c>
      <c r="IN24" s="72">
        <v>41</v>
      </c>
      <c r="IO24" s="629">
        <f t="shared" si="28"/>
        <v>37138.620000000003</v>
      </c>
      <c r="IR24" s="108"/>
      <c r="IS24" s="15">
        <v>17</v>
      </c>
      <c r="IT24" s="292">
        <v>899.5</v>
      </c>
      <c r="IU24" s="258">
        <v>44554</v>
      </c>
      <c r="IV24" s="292">
        <v>899.5</v>
      </c>
      <c r="IW24" s="552" t="s">
        <v>617</v>
      </c>
      <c r="IX24" s="279">
        <v>41</v>
      </c>
      <c r="IY24" s="338">
        <f t="shared" si="29"/>
        <v>36879.5</v>
      </c>
      <c r="JA24" s="70"/>
      <c r="JB24" s="108"/>
      <c r="JC24" s="15">
        <v>17</v>
      </c>
      <c r="JD24" s="93">
        <v>909.4</v>
      </c>
      <c r="JE24" s="357">
        <v>44554</v>
      </c>
      <c r="JF24" s="93">
        <v>909.4</v>
      </c>
      <c r="JG24" s="71" t="s">
        <v>619</v>
      </c>
      <c r="JH24" s="72">
        <v>41</v>
      </c>
      <c r="JI24" s="338">
        <f t="shared" si="30"/>
        <v>37285.4</v>
      </c>
      <c r="JL24" s="108"/>
      <c r="JM24" s="15">
        <v>17</v>
      </c>
      <c r="JN24" s="93">
        <v>931.7</v>
      </c>
      <c r="JO24" s="341">
        <v>44554</v>
      </c>
      <c r="JP24" s="93">
        <v>931.7</v>
      </c>
      <c r="JQ24" s="71" t="s">
        <v>610</v>
      </c>
      <c r="JR24" s="72">
        <v>41</v>
      </c>
      <c r="JS24" s="629">
        <f t="shared" si="31"/>
        <v>38199.700000000004</v>
      </c>
      <c r="JV24" s="95"/>
      <c r="JW24" s="15">
        <v>17</v>
      </c>
      <c r="JX24" s="70">
        <v>916.3</v>
      </c>
      <c r="JY24" s="357">
        <v>44554</v>
      </c>
      <c r="JZ24" s="70">
        <v>916.3</v>
      </c>
      <c r="KA24" s="71" t="s">
        <v>611</v>
      </c>
      <c r="KB24" s="72">
        <v>41</v>
      </c>
      <c r="KC24" s="629">
        <f t="shared" si="32"/>
        <v>37568.299999999996</v>
      </c>
      <c r="KF24" s="95"/>
      <c r="KG24" s="15">
        <v>17</v>
      </c>
      <c r="KH24" s="70">
        <v>882.7</v>
      </c>
      <c r="KI24" s="357">
        <v>44556</v>
      </c>
      <c r="KJ24" s="70">
        <v>882.7</v>
      </c>
      <c r="KK24" s="71" t="s">
        <v>624</v>
      </c>
      <c r="KL24" s="72">
        <v>41</v>
      </c>
      <c r="KM24" s="629">
        <f t="shared" si="33"/>
        <v>36190.700000000004</v>
      </c>
      <c r="KP24" s="95"/>
      <c r="KQ24" s="15">
        <v>17</v>
      </c>
      <c r="KR24" s="70">
        <v>874.1</v>
      </c>
      <c r="KS24" s="357">
        <v>44558</v>
      </c>
      <c r="KT24" s="70">
        <v>874.1</v>
      </c>
      <c r="KU24" s="71" t="s">
        <v>642</v>
      </c>
      <c r="KV24" s="72">
        <v>42</v>
      </c>
      <c r="KW24" s="629">
        <f t="shared" si="34"/>
        <v>36712.200000000004</v>
      </c>
      <c r="KZ24" s="108"/>
      <c r="LA24" s="15">
        <v>17</v>
      </c>
      <c r="LB24" s="93">
        <v>886.31</v>
      </c>
      <c r="LC24" s="341">
        <v>44558</v>
      </c>
      <c r="LD24" s="93">
        <v>886.31</v>
      </c>
      <c r="LE24" s="96" t="s">
        <v>648</v>
      </c>
      <c r="LF24" s="72">
        <v>42</v>
      </c>
      <c r="LG24" s="629">
        <f t="shared" si="35"/>
        <v>37225.019999999997</v>
      </c>
      <c r="LJ24" s="108"/>
      <c r="LK24" s="15">
        <v>17</v>
      </c>
      <c r="LL24" s="292">
        <v>914.89</v>
      </c>
      <c r="LM24" s="341">
        <v>44559</v>
      </c>
      <c r="LN24" s="292">
        <v>914.89</v>
      </c>
      <c r="LO24" s="96" t="s">
        <v>661</v>
      </c>
      <c r="LP24" s="72">
        <v>42</v>
      </c>
      <c r="LQ24" s="629">
        <f t="shared" si="36"/>
        <v>38425.379999999997</v>
      </c>
      <c r="LT24" s="108"/>
      <c r="LU24" s="15">
        <v>17</v>
      </c>
      <c r="LV24" s="93">
        <v>882.7</v>
      </c>
      <c r="LW24" s="341">
        <v>44559</v>
      </c>
      <c r="LX24" s="93">
        <v>882.7</v>
      </c>
      <c r="LY24" s="96" t="s">
        <v>655</v>
      </c>
      <c r="LZ24" s="72">
        <v>42</v>
      </c>
      <c r="MA24" s="629">
        <f t="shared" si="37"/>
        <v>37073.4</v>
      </c>
      <c r="MB24" s="629"/>
      <c r="MD24" s="108"/>
      <c r="ME24" s="15">
        <v>17</v>
      </c>
      <c r="MF24" s="412">
        <v>934.8</v>
      </c>
      <c r="MG24" s="341">
        <v>44560</v>
      </c>
      <c r="MH24" s="412">
        <v>934.8</v>
      </c>
      <c r="MI24" s="96" t="s">
        <v>667</v>
      </c>
      <c r="MJ24" s="72">
        <v>43</v>
      </c>
      <c r="MK24" s="72">
        <f t="shared" si="38"/>
        <v>40196.400000000001</v>
      </c>
      <c r="MN24" s="108"/>
      <c r="MO24" s="15">
        <v>17</v>
      </c>
      <c r="MP24" s="93">
        <v>949.84</v>
      </c>
      <c r="MQ24" s="341">
        <v>44560</v>
      </c>
      <c r="MR24" s="93">
        <v>949.84</v>
      </c>
      <c r="MS24" s="96" t="s">
        <v>671</v>
      </c>
      <c r="MT24" s="72">
        <v>43</v>
      </c>
      <c r="MU24" s="72">
        <f t="shared" si="39"/>
        <v>40843.120000000003</v>
      </c>
      <c r="MX24" s="108"/>
      <c r="MY24" s="15">
        <v>17</v>
      </c>
      <c r="MZ24" s="93">
        <v>918.1</v>
      </c>
      <c r="NA24" s="341"/>
      <c r="NB24" s="93"/>
      <c r="NC24" s="96"/>
      <c r="ND24" s="72"/>
      <c r="NE24" s="72">
        <f t="shared" si="40"/>
        <v>0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/>
      <c r="NV24" s="93"/>
      <c r="NW24" s="96"/>
      <c r="NX24" s="72"/>
      <c r="NY24" s="72">
        <f t="shared" si="42"/>
        <v>0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460</v>
      </c>
      <c r="R25" s="72">
        <v>37</v>
      </c>
      <c r="S25" s="629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475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471</v>
      </c>
      <c r="AL25" s="72">
        <v>37</v>
      </c>
      <c r="AM25" s="632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494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465</v>
      </c>
      <c r="BF25" s="400">
        <v>36</v>
      </c>
      <c r="BG25" s="648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489</v>
      </c>
      <c r="BP25" s="400">
        <v>36</v>
      </c>
      <c r="BQ25" s="861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514</v>
      </c>
      <c r="BZ25" s="403">
        <v>36</v>
      </c>
      <c r="CA25" s="629">
        <f t="shared" si="12"/>
        <v>31204.799999999999</v>
      </c>
      <c r="CD25" s="913"/>
      <c r="CE25" s="15">
        <v>18</v>
      </c>
      <c r="CF25" s="93">
        <v>881.3</v>
      </c>
      <c r="CG25" s="401">
        <v>44541</v>
      </c>
      <c r="CH25" s="93">
        <v>881.3</v>
      </c>
      <c r="CI25" s="404" t="s">
        <v>480</v>
      </c>
      <c r="CJ25" s="403">
        <v>36</v>
      </c>
      <c r="CK25" s="629">
        <f t="shared" si="13"/>
        <v>31726.799999999999</v>
      </c>
      <c r="CN25" s="675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528</v>
      </c>
      <c r="CT25" s="403">
        <v>38</v>
      </c>
      <c r="CU25" s="637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522</v>
      </c>
      <c r="DD25" s="72">
        <v>38</v>
      </c>
      <c r="DE25" s="629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469</v>
      </c>
      <c r="DN25" s="403">
        <v>38</v>
      </c>
      <c r="DO25" s="637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493</v>
      </c>
      <c r="DX25" s="403">
        <v>38</v>
      </c>
      <c r="DY25" s="629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538</v>
      </c>
      <c r="EH25" s="72">
        <v>38</v>
      </c>
      <c r="EI25" s="629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537</v>
      </c>
      <c r="ER25" s="279">
        <v>38</v>
      </c>
      <c r="ES25" s="629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556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545</v>
      </c>
      <c r="FL25" s="279">
        <v>38</v>
      </c>
      <c r="FM25" s="629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578</v>
      </c>
      <c r="FV25" s="72">
        <v>38</v>
      </c>
      <c r="FW25" s="629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571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573</v>
      </c>
      <c r="GP25" s="72">
        <v>39</v>
      </c>
      <c r="GQ25" s="629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575</v>
      </c>
      <c r="GZ25" s="279">
        <v>39</v>
      </c>
      <c r="HA25" s="629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588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585</v>
      </c>
      <c r="HT25" s="279">
        <v>41</v>
      </c>
      <c r="HU25" s="629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598</v>
      </c>
      <c r="ID25" s="72">
        <v>42</v>
      </c>
      <c r="IE25" s="629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605</v>
      </c>
      <c r="IN25" s="72">
        <v>41</v>
      </c>
      <c r="IO25" s="629">
        <f t="shared" si="28"/>
        <v>37380.520000000004</v>
      </c>
      <c r="IR25" s="95"/>
      <c r="IS25" s="15">
        <v>18</v>
      </c>
      <c r="IT25" s="292">
        <v>899.5</v>
      </c>
      <c r="IU25" s="258">
        <v>44554</v>
      </c>
      <c r="IV25" s="292">
        <v>899.5</v>
      </c>
      <c r="IW25" s="552" t="s">
        <v>617</v>
      </c>
      <c r="IX25" s="279">
        <v>41</v>
      </c>
      <c r="IY25" s="338">
        <f t="shared" si="29"/>
        <v>36879.5</v>
      </c>
      <c r="JA25" s="70"/>
      <c r="JB25" s="95"/>
      <c r="JC25" s="15">
        <v>18</v>
      </c>
      <c r="JD25" s="93">
        <v>880</v>
      </c>
      <c r="JE25" s="357">
        <v>44554</v>
      </c>
      <c r="JF25" s="93">
        <v>880</v>
      </c>
      <c r="JG25" s="71" t="s">
        <v>619</v>
      </c>
      <c r="JH25" s="72">
        <v>41</v>
      </c>
      <c r="JI25" s="629">
        <f t="shared" si="30"/>
        <v>36080</v>
      </c>
      <c r="JL25" s="95"/>
      <c r="JM25" s="15">
        <v>18</v>
      </c>
      <c r="JN25" s="93">
        <v>907.2</v>
      </c>
      <c r="JO25" s="341">
        <v>44554</v>
      </c>
      <c r="JP25" s="93">
        <v>907.2</v>
      </c>
      <c r="JQ25" s="71" t="s">
        <v>610</v>
      </c>
      <c r="JR25" s="72">
        <v>41</v>
      </c>
      <c r="JS25" s="629">
        <f t="shared" si="31"/>
        <v>37195.200000000004</v>
      </c>
      <c r="JV25" s="95"/>
      <c r="JW25" s="15">
        <v>18</v>
      </c>
      <c r="JX25" s="70">
        <v>915.3</v>
      </c>
      <c r="JY25" s="357">
        <v>44554</v>
      </c>
      <c r="JZ25" s="70">
        <v>915.3</v>
      </c>
      <c r="KA25" s="71" t="s">
        <v>611</v>
      </c>
      <c r="KB25" s="72">
        <v>41</v>
      </c>
      <c r="KC25" s="629">
        <f t="shared" si="32"/>
        <v>37527.299999999996</v>
      </c>
      <c r="KF25" s="95"/>
      <c r="KG25" s="15">
        <v>18</v>
      </c>
      <c r="KH25" s="70">
        <v>909.9</v>
      </c>
      <c r="KI25" s="357">
        <v>44556</v>
      </c>
      <c r="KJ25" s="70">
        <v>909.9</v>
      </c>
      <c r="KK25" s="71" t="s">
        <v>624</v>
      </c>
      <c r="KL25" s="72">
        <v>41</v>
      </c>
      <c r="KM25" s="629">
        <f t="shared" si="33"/>
        <v>37305.9</v>
      </c>
      <c r="KP25" s="95"/>
      <c r="KQ25" s="15">
        <v>18</v>
      </c>
      <c r="KR25" s="70">
        <v>894</v>
      </c>
      <c r="KS25" s="357">
        <v>44558</v>
      </c>
      <c r="KT25" s="70">
        <v>894</v>
      </c>
      <c r="KU25" s="71" t="s">
        <v>642</v>
      </c>
      <c r="KV25" s="72">
        <v>42</v>
      </c>
      <c r="KW25" s="629">
        <f t="shared" si="34"/>
        <v>37548</v>
      </c>
      <c r="KZ25" s="95"/>
      <c r="LA25" s="15">
        <v>18</v>
      </c>
      <c r="LB25" s="93">
        <v>882.69</v>
      </c>
      <c r="LC25" s="341">
        <v>44558</v>
      </c>
      <c r="LD25" s="93">
        <v>882.69</v>
      </c>
      <c r="LE25" s="96" t="s">
        <v>648</v>
      </c>
      <c r="LF25" s="72">
        <v>42</v>
      </c>
      <c r="LG25" s="629">
        <f t="shared" si="35"/>
        <v>37072.980000000003</v>
      </c>
      <c r="LJ25" s="95"/>
      <c r="LK25" s="15">
        <v>18</v>
      </c>
      <c r="LL25" s="292">
        <v>932.13</v>
      </c>
      <c r="LM25" s="341">
        <v>44559</v>
      </c>
      <c r="LN25" s="292">
        <v>932.13</v>
      </c>
      <c r="LO25" s="96" t="s">
        <v>661</v>
      </c>
      <c r="LP25" s="72">
        <v>42</v>
      </c>
      <c r="LQ25" s="629">
        <f t="shared" si="36"/>
        <v>39149.46</v>
      </c>
      <c r="LT25" s="95"/>
      <c r="LU25" s="15">
        <v>18</v>
      </c>
      <c r="LV25" s="93">
        <v>912.2</v>
      </c>
      <c r="LW25" s="341">
        <v>44559</v>
      </c>
      <c r="LX25" s="93">
        <v>912.2</v>
      </c>
      <c r="LY25" s="96" t="s">
        <v>655</v>
      </c>
      <c r="LZ25" s="72">
        <v>42</v>
      </c>
      <c r="MA25" s="629">
        <f t="shared" si="37"/>
        <v>38312.400000000001</v>
      </c>
      <c r="MB25" s="629"/>
      <c r="MD25" s="95"/>
      <c r="ME25" s="15">
        <v>18</v>
      </c>
      <c r="MF25" s="412">
        <v>880.4</v>
      </c>
      <c r="MG25" s="341">
        <v>44560</v>
      </c>
      <c r="MH25" s="412">
        <v>880.4</v>
      </c>
      <c r="MI25" s="96" t="s">
        <v>667</v>
      </c>
      <c r="MJ25" s="72">
        <v>43</v>
      </c>
      <c r="MK25" s="72">
        <f t="shared" si="38"/>
        <v>37857.199999999997</v>
      </c>
      <c r="MN25" s="95"/>
      <c r="MO25" s="15">
        <v>18</v>
      </c>
      <c r="MP25" s="93">
        <v>990.21</v>
      </c>
      <c r="MQ25" s="341">
        <v>44560</v>
      </c>
      <c r="MR25" s="93">
        <v>990.21</v>
      </c>
      <c r="MS25" s="96" t="s">
        <v>669</v>
      </c>
      <c r="MT25" s="72">
        <v>43</v>
      </c>
      <c r="MU25" s="72">
        <f t="shared" si="39"/>
        <v>42579.03</v>
      </c>
      <c r="MX25" s="95"/>
      <c r="MY25" s="15">
        <v>18</v>
      </c>
      <c r="MZ25" s="93">
        <v>911.3</v>
      </c>
      <c r="NA25" s="341"/>
      <c r="NB25" s="93"/>
      <c r="NC25" s="96"/>
      <c r="ND25" s="72"/>
      <c r="NE25" s="72">
        <f t="shared" si="40"/>
        <v>0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/>
      <c r="NV25" s="93"/>
      <c r="NW25" s="96"/>
      <c r="NX25" s="72"/>
      <c r="NY25" s="72">
        <f t="shared" si="42"/>
        <v>0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460</v>
      </c>
      <c r="R26" s="72">
        <v>37</v>
      </c>
      <c r="S26" s="629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475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471</v>
      </c>
      <c r="AL26" s="72">
        <v>37</v>
      </c>
      <c r="AM26" s="632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494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465</v>
      </c>
      <c r="BF26" s="400">
        <v>36</v>
      </c>
      <c r="BG26" s="648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489</v>
      </c>
      <c r="BP26" s="400">
        <v>36</v>
      </c>
      <c r="BQ26" s="861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514</v>
      </c>
      <c r="BZ26" s="403">
        <v>36</v>
      </c>
      <c r="CA26" s="629">
        <f t="shared" si="12"/>
        <v>33703.200000000004</v>
      </c>
      <c r="CD26" s="913"/>
      <c r="CE26" s="15">
        <v>19</v>
      </c>
      <c r="CF26" s="93">
        <v>924.9</v>
      </c>
      <c r="CG26" s="401">
        <v>44541</v>
      </c>
      <c r="CH26" s="93">
        <v>924.9</v>
      </c>
      <c r="CI26" s="404" t="s">
        <v>480</v>
      </c>
      <c r="CJ26" s="403">
        <v>36</v>
      </c>
      <c r="CK26" s="629">
        <f t="shared" si="13"/>
        <v>33296.400000000001</v>
      </c>
      <c r="CN26" s="675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531</v>
      </c>
      <c r="CT26" s="403">
        <v>38</v>
      </c>
      <c r="CU26" s="637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522</v>
      </c>
      <c r="DD26" s="72">
        <v>38</v>
      </c>
      <c r="DE26" s="629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527</v>
      </c>
      <c r="DN26" s="403">
        <v>38</v>
      </c>
      <c r="DO26" s="637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493</v>
      </c>
      <c r="DX26" s="403">
        <v>38</v>
      </c>
      <c r="DY26" s="629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538</v>
      </c>
      <c r="EH26" s="72">
        <v>38</v>
      </c>
      <c r="EI26" s="629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537</v>
      </c>
      <c r="ER26" s="279">
        <v>38</v>
      </c>
      <c r="ES26" s="629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556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545</v>
      </c>
      <c r="FL26" s="279">
        <v>38</v>
      </c>
      <c r="FM26" s="629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9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571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573</v>
      </c>
      <c r="GP26" s="72">
        <v>39</v>
      </c>
      <c r="GQ26" s="629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575</v>
      </c>
      <c r="GZ26" s="279">
        <v>39</v>
      </c>
      <c r="HA26" s="629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588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585</v>
      </c>
      <c r="HT26" s="279">
        <v>41</v>
      </c>
      <c r="HU26" s="629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598</v>
      </c>
      <c r="ID26" s="72">
        <v>42</v>
      </c>
      <c r="IE26" s="629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605</v>
      </c>
      <c r="IN26" s="72">
        <v>41</v>
      </c>
      <c r="IO26" s="629">
        <f t="shared" si="28"/>
        <v>36952.479999999996</v>
      </c>
      <c r="IR26" s="108"/>
      <c r="IS26" s="15">
        <v>19</v>
      </c>
      <c r="IT26" s="292">
        <v>880</v>
      </c>
      <c r="IU26" s="258">
        <v>44554</v>
      </c>
      <c r="IV26" s="292">
        <v>880</v>
      </c>
      <c r="IW26" s="552" t="s">
        <v>617</v>
      </c>
      <c r="IX26" s="279">
        <v>41</v>
      </c>
      <c r="IY26" s="338">
        <f t="shared" si="29"/>
        <v>36080</v>
      </c>
      <c r="JA26" s="70"/>
      <c r="JB26" s="108"/>
      <c r="JC26" s="15">
        <v>19</v>
      </c>
      <c r="JD26" s="93">
        <v>918.1</v>
      </c>
      <c r="JE26" s="357">
        <v>44554</v>
      </c>
      <c r="JF26" s="93">
        <v>918.1</v>
      </c>
      <c r="JG26" s="71" t="s">
        <v>619</v>
      </c>
      <c r="JH26" s="72">
        <v>41</v>
      </c>
      <c r="JI26" s="629">
        <f t="shared" si="30"/>
        <v>37642.1</v>
      </c>
      <c r="JL26" s="108"/>
      <c r="JM26" s="15">
        <v>19</v>
      </c>
      <c r="JN26" s="93">
        <v>905.4</v>
      </c>
      <c r="JO26" s="341">
        <v>44554</v>
      </c>
      <c r="JP26" s="93">
        <v>905.4</v>
      </c>
      <c r="JQ26" s="71" t="s">
        <v>610</v>
      </c>
      <c r="JR26" s="72">
        <v>41</v>
      </c>
      <c r="JS26" s="629">
        <f t="shared" si="31"/>
        <v>37121.4</v>
      </c>
      <c r="JV26" s="95"/>
      <c r="JW26" s="15">
        <v>19</v>
      </c>
      <c r="JX26" s="70">
        <v>940.7</v>
      </c>
      <c r="JY26" s="357">
        <v>44554</v>
      </c>
      <c r="JZ26" s="70">
        <v>940.7</v>
      </c>
      <c r="KA26" s="71" t="s">
        <v>611</v>
      </c>
      <c r="KB26" s="72">
        <v>41</v>
      </c>
      <c r="KC26" s="629">
        <f t="shared" si="32"/>
        <v>38568.700000000004</v>
      </c>
      <c r="KF26" s="95"/>
      <c r="KG26" s="15">
        <v>19</v>
      </c>
      <c r="KH26" s="70">
        <v>880.4</v>
      </c>
      <c r="KI26" s="357">
        <v>44556</v>
      </c>
      <c r="KJ26" s="70">
        <v>880.4</v>
      </c>
      <c r="KK26" s="71" t="s">
        <v>624</v>
      </c>
      <c r="KL26" s="72">
        <v>41</v>
      </c>
      <c r="KM26" s="629">
        <f t="shared" si="33"/>
        <v>36096.400000000001</v>
      </c>
      <c r="KP26" s="95"/>
      <c r="KQ26" s="15">
        <v>19</v>
      </c>
      <c r="KR26" s="70">
        <v>914</v>
      </c>
      <c r="KS26" s="357">
        <v>44558</v>
      </c>
      <c r="KT26" s="70">
        <v>914</v>
      </c>
      <c r="KU26" s="71" t="s">
        <v>642</v>
      </c>
      <c r="KV26" s="72">
        <v>42</v>
      </c>
      <c r="KW26" s="629">
        <f t="shared" si="34"/>
        <v>38388</v>
      </c>
      <c r="KZ26" s="108"/>
      <c r="LA26" s="15">
        <v>19</v>
      </c>
      <c r="LB26" s="93">
        <v>942.56</v>
      </c>
      <c r="LC26" s="341">
        <v>44558</v>
      </c>
      <c r="LD26" s="93">
        <v>942.56</v>
      </c>
      <c r="LE26" s="96" t="s">
        <v>648</v>
      </c>
      <c r="LF26" s="72">
        <v>42</v>
      </c>
      <c r="LG26" s="629">
        <f t="shared" si="35"/>
        <v>39587.519999999997</v>
      </c>
      <c r="LJ26" s="108"/>
      <c r="LK26" s="15">
        <v>19</v>
      </c>
      <c r="LL26" s="292">
        <v>936.21</v>
      </c>
      <c r="LM26" s="341">
        <v>44559</v>
      </c>
      <c r="LN26" s="292">
        <v>936.21</v>
      </c>
      <c r="LO26" s="96" t="s">
        <v>661</v>
      </c>
      <c r="LP26" s="72">
        <v>42</v>
      </c>
      <c r="LQ26" s="629">
        <f t="shared" si="36"/>
        <v>39320.82</v>
      </c>
      <c r="LT26" s="108"/>
      <c r="LU26" s="15">
        <v>19</v>
      </c>
      <c r="LV26" s="93">
        <v>909.9</v>
      </c>
      <c r="LW26" s="341">
        <v>44559</v>
      </c>
      <c r="LX26" s="93">
        <v>909.9</v>
      </c>
      <c r="LY26" s="96" t="s">
        <v>655</v>
      </c>
      <c r="LZ26" s="72">
        <v>42</v>
      </c>
      <c r="MA26" s="629">
        <f t="shared" si="37"/>
        <v>38215.799999999996</v>
      </c>
      <c r="MB26" s="629"/>
      <c r="MD26" s="108"/>
      <c r="ME26" s="15">
        <v>19</v>
      </c>
      <c r="MF26" s="412">
        <v>869.1</v>
      </c>
      <c r="MG26" s="341">
        <v>44560</v>
      </c>
      <c r="MH26" s="412">
        <v>869.1</v>
      </c>
      <c r="MI26" s="96" t="s">
        <v>667</v>
      </c>
      <c r="MJ26" s="72">
        <v>43</v>
      </c>
      <c r="MK26" s="72">
        <f t="shared" si="38"/>
        <v>37371.300000000003</v>
      </c>
      <c r="MN26" s="108"/>
      <c r="MO26" s="15">
        <v>19</v>
      </c>
      <c r="MP26" s="93">
        <v>914</v>
      </c>
      <c r="MQ26" s="341">
        <v>44560</v>
      </c>
      <c r="MR26" s="93">
        <v>914</v>
      </c>
      <c r="MS26" s="96" t="s">
        <v>669</v>
      </c>
      <c r="MT26" s="72">
        <v>43</v>
      </c>
      <c r="MU26" s="72">
        <f t="shared" si="39"/>
        <v>39302</v>
      </c>
      <c r="MX26" s="108"/>
      <c r="MY26" s="15">
        <v>19</v>
      </c>
      <c r="MZ26" s="93">
        <v>891.8</v>
      </c>
      <c r="NA26" s="341"/>
      <c r="NB26" s="93"/>
      <c r="NC26" s="96"/>
      <c r="ND26" s="72"/>
      <c r="NE26" s="72">
        <f t="shared" si="40"/>
        <v>0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/>
      <c r="NV26" s="93"/>
      <c r="NW26" s="96"/>
      <c r="NX26" s="72"/>
      <c r="NY26" s="72">
        <f t="shared" si="42"/>
        <v>0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460</v>
      </c>
      <c r="R27" s="72">
        <v>37</v>
      </c>
      <c r="S27" s="629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475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471</v>
      </c>
      <c r="AL27" s="72">
        <v>37</v>
      </c>
      <c r="AM27" s="632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494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465</v>
      </c>
      <c r="BF27" s="400">
        <v>36</v>
      </c>
      <c r="BG27" s="648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489</v>
      </c>
      <c r="BP27" s="400">
        <v>36</v>
      </c>
      <c r="BQ27" s="861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514</v>
      </c>
      <c r="BZ27" s="403">
        <v>36</v>
      </c>
      <c r="CA27" s="629">
        <f t="shared" si="12"/>
        <v>31089.600000000002</v>
      </c>
      <c r="CD27" s="913"/>
      <c r="CE27" s="15">
        <v>20</v>
      </c>
      <c r="CF27" s="93">
        <v>926.2</v>
      </c>
      <c r="CG27" s="401">
        <v>44541</v>
      </c>
      <c r="CH27" s="93">
        <v>926.2</v>
      </c>
      <c r="CI27" s="404" t="s">
        <v>480</v>
      </c>
      <c r="CJ27" s="403">
        <v>36</v>
      </c>
      <c r="CK27" s="629">
        <f t="shared" si="13"/>
        <v>33343.200000000004</v>
      </c>
      <c r="CN27" s="675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528</v>
      </c>
      <c r="CT27" s="403">
        <v>38</v>
      </c>
      <c r="CU27" s="637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522</v>
      </c>
      <c r="DD27" s="72">
        <v>38</v>
      </c>
      <c r="DE27" s="629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469</v>
      </c>
      <c r="DN27" s="403">
        <v>38</v>
      </c>
      <c r="DO27" s="637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493</v>
      </c>
      <c r="DX27" s="403">
        <v>38</v>
      </c>
      <c r="DY27" s="629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538</v>
      </c>
      <c r="EH27" s="72">
        <v>38</v>
      </c>
      <c r="EI27" s="629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537</v>
      </c>
      <c r="ER27" s="279">
        <v>38</v>
      </c>
      <c r="ES27" s="629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547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545</v>
      </c>
      <c r="FL27" s="279">
        <v>38</v>
      </c>
      <c r="FM27" s="629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9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571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573</v>
      </c>
      <c r="GP27" s="72">
        <v>39</v>
      </c>
      <c r="GQ27" s="629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575</v>
      </c>
      <c r="GZ27" s="279">
        <v>39</v>
      </c>
      <c r="HA27" s="629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588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585</v>
      </c>
      <c r="HT27" s="279">
        <v>41</v>
      </c>
      <c r="HU27" s="629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598</v>
      </c>
      <c r="ID27" s="72">
        <v>42</v>
      </c>
      <c r="IE27" s="629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605</v>
      </c>
      <c r="IN27" s="72">
        <v>41</v>
      </c>
      <c r="IO27" s="629">
        <f t="shared" si="28"/>
        <v>39072.590000000004</v>
      </c>
      <c r="IR27" s="108"/>
      <c r="IS27" s="15">
        <v>20</v>
      </c>
      <c r="IT27" s="292">
        <v>874.5</v>
      </c>
      <c r="IU27" s="258">
        <v>44554</v>
      </c>
      <c r="IV27" s="292">
        <v>874.5</v>
      </c>
      <c r="IW27" s="552" t="s">
        <v>617</v>
      </c>
      <c r="IX27" s="279">
        <v>41</v>
      </c>
      <c r="IY27" s="338">
        <f t="shared" si="29"/>
        <v>35854.5</v>
      </c>
      <c r="JA27" s="70"/>
      <c r="JB27" s="108"/>
      <c r="JC27" s="15">
        <v>20</v>
      </c>
      <c r="JD27" s="93">
        <v>898.1</v>
      </c>
      <c r="JE27" s="357">
        <v>44554</v>
      </c>
      <c r="JF27" s="93">
        <v>898.1</v>
      </c>
      <c r="JG27" s="71" t="s">
        <v>619</v>
      </c>
      <c r="JH27" s="72">
        <v>41</v>
      </c>
      <c r="JI27" s="629">
        <f t="shared" si="30"/>
        <v>36822.1</v>
      </c>
      <c r="JL27" s="108"/>
      <c r="JM27" s="15">
        <v>20</v>
      </c>
      <c r="JN27" s="93">
        <v>886.3</v>
      </c>
      <c r="JO27" s="341">
        <v>44554</v>
      </c>
      <c r="JP27" s="93">
        <v>886.3</v>
      </c>
      <c r="JQ27" s="71" t="s">
        <v>610</v>
      </c>
      <c r="JR27" s="72">
        <v>41</v>
      </c>
      <c r="JS27" s="629">
        <f t="shared" si="31"/>
        <v>36338.299999999996</v>
      </c>
      <c r="JV27" s="95"/>
      <c r="JW27" s="15">
        <v>20</v>
      </c>
      <c r="JX27" s="70">
        <v>894</v>
      </c>
      <c r="JY27" s="357">
        <v>44554</v>
      </c>
      <c r="JZ27" s="70">
        <v>894</v>
      </c>
      <c r="KA27" s="71" t="s">
        <v>611</v>
      </c>
      <c r="KB27" s="72">
        <v>41</v>
      </c>
      <c r="KC27" s="629">
        <f t="shared" si="32"/>
        <v>36654</v>
      </c>
      <c r="KF27" s="95"/>
      <c r="KG27" s="15">
        <v>20</v>
      </c>
      <c r="KH27" s="70">
        <v>898.6</v>
      </c>
      <c r="KI27" s="357">
        <v>44556</v>
      </c>
      <c r="KJ27" s="70">
        <v>898.6</v>
      </c>
      <c r="KK27" s="71" t="s">
        <v>624</v>
      </c>
      <c r="KL27" s="72">
        <v>41</v>
      </c>
      <c r="KM27" s="629">
        <f t="shared" si="33"/>
        <v>36842.6</v>
      </c>
      <c r="KP27" s="95"/>
      <c r="KQ27" s="15">
        <v>20</v>
      </c>
      <c r="KR27" s="70">
        <v>913.1</v>
      </c>
      <c r="KS27" s="357">
        <v>44558</v>
      </c>
      <c r="KT27" s="70">
        <v>913.1</v>
      </c>
      <c r="KU27" s="71" t="s">
        <v>642</v>
      </c>
      <c r="KV27" s="72">
        <v>42</v>
      </c>
      <c r="KW27" s="629">
        <f t="shared" si="34"/>
        <v>38350.200000000004</v>
      </c>
      <c r="KZ27" s="108"/>
      <c r="LA27" s="15">
        <v>20</v>
      </c>
      <c r="LB27" s="93">
        <v>868.62</v>
      </c>
      <c r="LC27" s="341">
        <v>44558</v>
      </c>
      <c r="LD27" s="93">
        <v>868.62</v>
      </c>
      <c r="LE27" s="96" t="s">
        <v>648</v>
      </c>
      <c r="LF27" s="72">
        <v>42</v>
      </c>
      <c r="LG27" s="629">
        <f t="shared" si="35"/>
        <v>36482.04</v>
      </c>
      <c r="LJ27" s="108"/>
      <c r="LK27" s="15">
        <v>20</v>
      </c>
      <c r="LL27" s="292">
        <v>909.9</v>
      </c>
      <c r="LM27" s="341">
        <v>44559</v>
      </c>
      <c r="LN27" s="292">
        <v>909.9</v>
      </c>
      <c r="LO27" s="96" t="s">
        <v>661</v>
      </c>
      <c r="LP27" s="72">
        <v>42</v>
      </c>
      <c r="LQ27" s="629">
        <f t="shared" si="36"/>
        <v>38215.799999999996</v>
      </c>
      <c r="LT27" s="108"/>
      <c r="LU27" s="15">
        <v>20</v>
      </c>
      <c r="LV27" s="93">
        <v>906.3</v>
      </c>
      <c r="LW27" s="341">
        <v>44559</v>
      </c>
      <c r="LX27" s="93">
        <v>906.3</v>
      </c>
      <c r="LY27" s="96" t="s">
        <v>655</v>
      </c>
      <c r="LZ27" s="72">
        <v>42</v>
      </c>
      <c r="MA27" s="629">
        <f t="shared" si="37"/>
        <v>38064.6</v>
      </c>
      <c r="MB27" s="629"/>
      <c r="MD27" s="108"/>
      <c r="ME27" s="15">
        <v>20</v>
      </c>
      <c r="MF27" s="412">
        <v>923.1</v>
      </c>
      <c r="MG27" s="341">
        <v>44560</v>
      </c>
      <c r="MH27" s="412">
        <v>923.1</v>
      </c>
      <c r="MI27" s="96" t="s">
        <v>667</v>
      </c>
      <c r="MJ27" s="72">
        <v>43</v>
      </c>
      <c r="MK27" s="72">
        <f t="shared" si="38"/>
        <v>39693.300000000003</v>
      </c>
      <c r="MN27" s="108"/>
      <c r="MO27" s="15">
        <v>20</v>
      </c>
      <c r="MP27" s="93">
        <v>946.66</v>
      </c>
      <c r="MQ27" s="341">
        <v>44560</v>
      </c>
      <c r="MR27" s="93">
        <v>946.66</v>
      </c>
      <c r="MS27" s="96" t="s">
        <v>669</v>
      </c>
      <c r="MT27" s="72">
        <v>43</v>
      </c>
      <c r="MU27" s="72">
        <f t="shared" si="39"/>
        <v>40706.379999999997</v>
      </c>
      <c r="MX27" s="108"/>
      <c r="MY27" s="15">
        <v>20</v>
      </c>
      <c r="MZ27" s="93">
        <v>890.4</v>
      </c>
      <c r="NA27" s="341"/>
      <c r="NB27" s="93"/>
      <c r="NC27" s="96"/>
      <c r="ND27" s="72"/>
      <c r="NE27" s="72">
        <f t="shared" si="40"/>
        <v>0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/>
      <c r="NV27" s="93"/>
      <c r="NW27" s="96"/>
      <c r="NX27" s="72"/>
      <c r="NY27" s="72">
        <f t="shared" si="42"/>
        <v>0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460</v>
      </c>
      <c r="R28" s="72">
        <v>37</v>
      </c>
      <c r="S28" s="629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475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471</v>
      </c>
      <c r="AL28" s="72">
        <v>37</v>
      </c>
      <c r="AM28" s="632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61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8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514</v>
      </c>
      <c r="BZ28" s="403">
        <v>36</v>
      </c>
      <c r="CA28" s="629">
        <f t="shared" si="12"/>
        <v>32713.200000000001</v>
      </c>
      <c r="CD28" s="914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517</v>
      </c>
      <c r="CJ28" s="403">
        <v>36</v>
      </c>
      <c r="CK28" s="629">
        <f t="shared" si="13"/>
        <v>33098.400000000001</v>
      </c>
      <c r="CN28" s="675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528</v>
      </c>
      <c r="CT28" s="403">
        <v>38</v>
      </c>
      <c r="CU28" s="637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522</v>
      </c>
      <c r="DD28" s="72">
        <v>38</v>
      </c>
      <c r="DE28" s="629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469</v>
      </c>
      <c r="DN28" s="403">
        <v>38</v>
      </c>
      <c r="DO28" s="637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9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538</v>
      </c>
      <c r="EH28" s="72">
        <v>38</v>
      </c>
      <c r="EI28" s="629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537</v>
      </c>
      <c r="ER28" s="279">
        <v>38</v>
      </c>
      <c r="ES28" s="629">
        <f t="shared" si="18"/>
        <v>33869.4</v>
      </c>
      <c r="EV28" s="108"/>
      <c r="EW28" s="15">
        <v>21</v>
      </c>
      <c r="EX28" s="70">
        <v>874.1</v>
      </c>
      <c r="EY28" s="357">
        <v>44549</v>
      </c>
      <c r="EZ28" s="70">
        <v>874.1</v>
      </c>
      <c r="FA28" s="278" t="s">
        <v>556</v>
      </c>
      <c r="FB28" s="72">
        <v>38</v>
      </c>
      <c r="FC28" s="338">
        <f t="shared" si="19"/>
        <v>33215.800000000003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544</v>
      </c>
      <c r="FL28" s="279">
        <v>38</v>
      </c>
      <c r="FM28" s="629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9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571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573</v>
      </c>
      <c r="GP28" s="72">
        <v>39</v>
      </c>
      <c r="GQ28" s="629">
        <f t="shared" si="23"/>
        <v>36000.9</v>
      </c>
      <c r="GT28" s="108"/>
      <c r="GU28" s="15">
        <v>21</v>
      </c>
      <c r="GV28" s="93">
        <v>921.2</v>
      </c>
      <c r="GW28" s="346">
        <v>44551</v>
      </c>
      <c r="GX28" s="292">
        <v>921.2</v>
      </c>
      <c r="GY28" s="334" t="s">
        <v>579</v>
      </c>
      <c r="GZ28" s="279">
        <v>39</v>
      </c>
      <c r="HA28" s="629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589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9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9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9">
        <f t="shared" si="28"/>
        <v>0</v>
      </c>
      <c r="IR28" s="108"/>
      <c r="IS28" s="15">
        <v>21</v>
      </c>
      <c r="IT28" s="292">
        <v>900.8</v>
      </c>
      <c r="IU28" s="258">
        <v>44554</v>
      </c>
      <c r="IV28" s="292">
        <v>900.8</v>
      </c>
      <c r="IW28" s="552" t="s">
        <v>617</v>
      </c>
      <c r="IX28" s="279">
        <v>41</v>
      </c>
      <c r="IY28" s="338">
        <f t="shared" si="29"/>
        <v>36932.799999999996</v>
      </c>
      <c r="JA28" s="70"/>
      <c r="JB28" s="108"/>
      <c r="JC28" s="15">
        <v>21</v>
      </c>
      <c r="JD28" s="70">
        <v>917.2</v>
      </c>
      <c r="JE28" s="357">
        <v>44554</v>
      </c>
      <c r="JF28" s="70">
        <v>917.2</v>
      </c>
      <c r="JG28" s="71" t="s">
        <v>619</v>
      </c>
      <c r="JH28" s="72">
        <v>41</v>
      </c>
      <c r="JI28" s="629">
        <f t="shared" si="30"/>
        <v>37605.200000000004</v>
      </c>
      <c r="JL28" s="108"/>
      <c r="JM28" s="15">
        <v>21</v>
      </c>
      <c r="JN28" s="93">
        <v>916.3</v>
      </c>
      <c r="JO28" s="341">
        <v>44554</v>
      </c>
      <c r="JP28" s="93">
        <v>916.3</v>
      </c>
      <c r="JQ28" s="71" t="s">
        <v>610</v>
      </c>
      <c r="JR28" s="72">
        <v>41</v>
      </c>
      <c r="JS28" s="629">
        <f>JR28*JP28</f>
        <v>37568.299999999996</v>
      </c>
      <c r="JV28" s="95"/>
      <c r="JW28" s="15">
        <v>21</v>
      </c>
      <c r="JX28" s="70">
        <v>898.1</v>
      </c>
      <c r="JY28" s="357">
        <v>44554</v>
      </c>
      <c r="JZ28" s="70">
        <v>898.1</v>
      </c>
      <c r="KA28" s="71" t="s">
        <v>611</v>
      </c>
      <c r="KB28" s="72">
        <v>41</v>
      </c>
      <c r="KC28" s="629">
        <f t="shared" si="32"/>
        <v>36822.1</v>
      </c>
      <c r="KF28" s="95"/>
      <c r="KG28" s="15">
        <v>21</v>
      </c>
      <c r="KH28" s="70">
        <v>929.9</v>
      </c>
      <c r="KI28" s="357">
        <v>44556</v>
      </c>
      <c r="KJ28" s="70">
        <v>929.9</v>
      </c>
      <c r="KK28" s="71" t="s">
        <v>624</v>
      </c>
      <c r="KL28" s="72">
        <v>41</v>
      </c>
      <c r="KM28" s="629">
        <f t="shared" si="33"/>
        <v>38125.9</v>
      </c>
      <c r="KP28" s="95"/>
      <c r="KQ28" s="15">
        <v>21</v>
      </c>
      <c r="KR28" s="70">
        <v>880.4</v>
      </c>
      <c r="KS28" s="357">
        <v>44558</v>
      </c>
      <c r="KT28" s="70">
        <v>880.4</v>
      </c>
      <c r="KU28" s="71" t="s">
        <v>642</v>
      </c>
      <c r="KV28" s="72">
        <v>42</v>
      </c>
      <c r="KW28" s="629">
        <f t="shared" si="34"/>
        <v>36976.799999999996</v>
      </c>
      <c r="KZ28" s="108"/>
      <c r="LA28" s="15">
        <v>21</v>
      </c>
      <c r="LB28" s="93"/>
      <c r="LC28" s="341"/>
      <c r="LD28" s="93"/>
      <c r="LE28" s="96"/>
      <c r="LF28" s="72"/>
      <c r="LG28" s="629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9">
        <f t="shared" si="36"/>
        <v>0</v>
      </c>
      <c r="LT28" s="108"/>
      <c r="LU28" s="15">
        <v>21</v>
      </c>
      <c r="LV28" s="93">
        <v>931.2</v>
      </c>
      <c r="LW28" s="341">
        <v>44559</v>
      </c>
      <c r="LX28" s="93">
        <v>931.2</v>
      </c>
      <c r="LY28" s="96" t="s">
        <v>655</v>
      </c>
      <c r="LZ28" s="72">
        <v>42</v>
      </c>
      <c r="MA28" s="629">
        <f t="shared" si="37"/>
        <v>39110.400000000001</v>
      </c>
      <c r="MB28" s="629"/>
      <c r="MD28" s="108"/>
      <c r="ME28" s="15">
        <v>21</v>
      </c>
      <c r="MF28" s="412">
        <v>936.7</v>
      </c>
      <c r="MG28" s="341">
        <v>44560</v>
      </c>
      <c r="MH28" s="412">
        <v>936.7</v>
      </c>
      <c r="MI28" s="96" t="s">
        <v>667</v>
      </c>
      <c r="MJ28" s="72">
        <v>43</v>
      </c>
      <c r="MK28" s="72">
        <f t="shared" si="38"/>
        <v>40278.1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/>
      <c r="NB28" s="93"/>
      <c r="NC28" s="96"/>
      <c r="ND28" s="72"/>
      <c r="NE28" s="72">
        <f t="shared" si="40"/>
        <v>0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/>
      <c r="NV28" s="93"/>
      <c r="NW28" s="96"/>
      <c r="NX28" s="72"/>
      <c r="NY28" s="72">
        <f t="shared" si="42"/>
        <v>0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9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2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8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8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9">
        <v>0</v>
      </c>
      <c r="CD29" s="108"/>
      <c r="CE29" s="15">
        <v>22</v>
      </c>
      <c r="CF29" s="93"/>
      <c r="CG29" s="401"/>
      <c r="CH29" s="93"/>
      <c r="CI29" s="414"/>
      <c r="CJ29" s="403"/>
      <c r="CK29" s="629">
        <f t="shared" si="13"/>
        <v>0</v>
      </c>
      <c r="CN29" s="675"/>
      <c r="CO29" s="15">
        <v>22</v>
      </c>
      <c r="CP29" s="93"/>
      <c r="CQ29" s="401"/>
      <c r="CR29" s="93"/>
      <c r="CS29" s="404"/>
      <c r="CT29" s="403"/>
      <c r="CU29" s="637">
        <f t="shared" si="48"/>
        <v>0</v>
      </c>
      <c r="CX29" s="108"/>
      <c r="CY29" s="15"/>
      <c r="CZ29" s="93"/>
      <c r="DA29" s="341"/>
      <c r="DB29" s="93"/>
      <c r="DC29" s="96"/>
      <c r="DD29" s="72"/>
      <c r="DE29" s="629">
        <f t="shared" si="14"/>
        <v>0</v>
      </c>
      <c r="DH29" s="108"/>
      <c r="DI29" s="15"/>
      <c r="DJ29" s="93"/>
      <c r="DK29" s="341"/>
      <c r="DL29" s="93"/>
      <c r="DM29" s="96"/>
      <c r="DN29" s="72"/>
      <c r="DO29" s="637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9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9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9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9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9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9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9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9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9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9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9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9">
        <f t="shared" si="30"/>
        <v>0</v>
      </c>
      <c r="JL29" s="108"/>
      <c r="JM29" s="15"/>
      <c r="JN29" s="93"/>
      <c r="JO29" s="341"/>
      <c r="JP29" s="93"/>
      <c r="JQ29" s="71"/>
      <c r="JR29" s="72"/>
      <c r="JS29" s="629">
        <f>SUM(JS8:JS28)</f>
        <v>783526.40000000002</v>
      </c>
      <c r="JV29" s="108"/>
      <c r="JW29" s="15"/>
      <c r="JX29" s="70"/>
      <c r="JY29" s="357"/>
      <c r="JZ29" s="70"/>
      <c r="KA29" s="71"/>
      <c r="KB29" s="72"/>
      <c r="KC29" s="629">
        <f>SUM(KC8:KC28)</f>
        <v>781000.79999999993</v>
      </c>
      <c r="KF29" s="108"/>
      <c r="KG29" s="15"/>
      <c r="KH29" s="70"/>
      <c r="KI29" s="357"/>
      <c r="KJ29" s="70"/>
      <c r="KK29" s="71"/>
      <c r="KL29" s="72"/>
      <c r="KM29" s="629">
        <f>SUM(KM8:KM28)</f>
        <v>776991</v>
      </c>
      <c r="KP29" s="108"/>
      <c r="KQ29" s="15"/>
      <c r="KR29" s="70"/>
      <c r="KS29" s="357"/>
      <c r="KT29" s="70"/>
      <c r="KU29" s="71"/>
      <c r="KV29" s="72"/>
      <c r="KW29" s="629">
        <f>SUM(KW8:KW28)</f>
        <v>795362.39999999991</v>
      </c>
      <c r="KZ29" s="108"/>
      <c r="LA29" s="15"/>
      <c r="LB29" s="93"/>
      <c r="LC29" s="341"/>
      <c r="LD29" s="93"/>
      <c r="LE29" s="96"/>
      <c r="LF29" s="72"/>
      <c r="LG29" s="629">
        <f>LF29*LD29</f>
        <v>0</v>
      </c>
      <c r="LJ29" s="108"/>
      <c r="LK29" s="15"/>
      <c r="LL29" s="93"/>
      <c r="LM29" s="341"/>
      <c r="LN29" s="292"/>
      <c r="LO29" s="96"/>
      <c r="LP29" s="72"/>
      <c r="LQ29" s="629">
        <f t="shared" si="36"/>
        <v>0</v>
      </c>
      <c r="LT29" s="108"/>
      <c r="LU29" s="15"/>
      <c r="LV29" s="93"/>
      <c r="LW29" s="341"/>
      <c r="LX29" s="93"/>
      <c r="LY29" s="96"/>
      <c r="LZ29" s="72"/>
      <c r="MA29" s="629">
        <f t="shared" si="37"/>
        <v>0</v>
      </c>
      <c r="MB29" s="629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816810.79999999993</v>
      </c>
      <c r="MN29" s="95"/>
      <c r="MO29" s="15"/>
      <c r="MP29" s="93"/>
      <c r="MQ29" s="341"/>
      <c r="MR29" s="93"/>
      <c r="MS29" s="96"/>
      <c r="MT29" s="72"/>
      <c r="MU29" s="72">
        <f>SUM(MU8:MU28)</f>
        <v>756747.97</v>
      </c>
      <c r="MX29" s="95"/>
      <c r="MY29" s="15"/>
      <c r="MZ29" s="93"/>
      <c r="NA29" s="341"/>
      <c r="NB29" s="93"/>
      <c r="NC29" s="96"/>
      <c r="ND29" s="72"/>
      <c r="NE29" s="72">
        <f>SUM(NE8:NE28)</f>
        <v>0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/>
      <c r="NZ29" s="96"/>
      <c r="OA29" s="72"/>
      <c r="OB29" s="72">
        <f>SUM(NY8:NY28)</f>
        <v>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9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9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9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9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9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9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9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9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7">
        <f t="shared" si="48"/>
        <v>0</v>
      </c>
      <c r="CX30" s="108"/>
      <c r="CY30" s="15"/>
      <c r="CZ30" s="70"/>
      <c r="DA30" s="341"/>
      <c r="DB30" s="70"/>
      <c r="DC30" s="96"/>
      <c r="DD30" s="72"/>
      <c r="DE30" s="629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9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9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9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9">
        <f>SUM(FC8:FC29)</f>
        <v>722357.2</v>
      </c>
      <c r="FF30" s="95"/>
      <c r="FG30" s="15"/>
      <c r="FH30" s="93"/>
      <c r="FI30" s="341"/>
      <c r="FJ30" s="107"/>
      <c r="FK30" s="71"/>
      <c r="FL30" s="72"/>
      <c r="FM30" s="629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9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9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9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7"/>
      <c r="HN30" s="108"/>
      <c r="HO30" s="15"/>
      <c r="HP30" s="93"/>
      <c r="HQ30" s="341"/>
      <c r="HR30" s="107"/>
      <c r="HS30" s="71"/>
      <c r="HT30" s="72"/>
      <c r="HU30" s="629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9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9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9">
        <f>SUM(IY8:IY29)</f>
        <v>768340.00000000012</v>
      </c>
      <c r="JB30" s="108"/>
      <c r="JC30" s="15"/>
      <c r="JD30" s="70"/>
      <c r="JE30" s="357"/>
      <c r="JF30" s="107"/>
      <c r="JG30" s="71"/>
      <c r="JH30" s="72"/>
      <c r="JI30" s="629">
        <f>SUM(JI8:JI29)</f>
        <v>768126.8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9">
        <f>SUM(LG8:LG29)</f>
        <v>774718.14</v>
      </c>
      <c r="LJ30" s="108"/>
      <c r="LK30" s="15"/>
      <c r="LL30" s="93"/>
      <c r="LM30" s="341"/>
      <c r="LN30" s="93"/>
      <c r="LO30" s="96"/>
      <c r="LP30" s="72"/>
      <c r="LQ30" s="629">
        <f>SUM(LQ8:LQ29)</f>
        <v>779043.29999999993</v>
      </c>
      <c r="LT30" s="108"/>
      <c r="LU30" s="15"/>
      <c r="LV30" s="70"/>
      <c r="LW30" s="341"/>
      <c r="LX30" s="70"/>
      <c r="LY30" s="96"/>
      <c r="LZ30" s="72"/>
      <c r="MA30" s="629">
        <f>SUM(MA8:MA29)</f>
        <v>801255.00000000012</v>
      </c>
      <c r="MB30" s="629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/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6"/>
      <c r="V31" s="206"/>
      <c r="W31" s="37"/>
      <c r="X31" s="427"/>
      <c r="Y31" s="419"/>
      <c r="Z31" s="231"/>
      <c r="AA31" s="145"/>
      <c r="AB31" s="221"/>
      <c r="AC31" s="636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7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6"/>
      <c r="EL31" s="206"/>
      <c r="EM31" s="37"/>
      <c r="EN31" s="418"/>
      <c r="EO31" s="419"/>
      <c r="EP31" s="231"/>
      <c r="EQ31" s="145"/>
      <c r="ER31" s="221"/>
      <c r="ES31" s="636"/>
      <c r="EV31" s="95"/>
      <c r="EW31" s="37"/>
      <c r="EX31" s="427"/>
      <c r="EY31" s="454"/>
      <c r="EZ31" s="231"/>
      <c r="FA31" s="145"/>
      <c r="FB31" s="221"/>
      <c r="FC31" s="636"/>
      <c r="FF31" s="428"/>
      <c r="FG31" s="37"/>
      <c r="FH31" s="418"/>
      <c r="FI31" s="230"/>
      <c r="FJ31" s="418"/>
      <c r="FK31" s="145"/>
      <c r="FL31" s="221"/>
      <c r="FM31" s="636"/>
      <c r="FP31" s="206"/>
      <c r="FQ31" s="37"/>
      <c r="FR31" s="427"/>
      <c r="FS31" s="419"/>
      <c r="FT31" s="427"/>
      <c r="FU31" s="145"/>
      <c r="FV31" s="221"/>
      <c r="FW31" s="636"/>
      <c r="FZ31" s="206"/>
      <c r="GA31" s="37"/>
      <c r="GB31" s="418"/>
      <c r="GC31" s="419"/>
      <c r="GD31" s="231"/>
      <c r="GE31" s="145"/>
      <c r="GF31" s="221"/>
      <c r="GG31" s="636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9"/>
      <c r="HD31" s="370"/>
      <c r="HE31" s="52"/>
      <c r="HF31" s="429"/>
      <c r="HG31" s="430"/>
      <c r="HH31" s="431"/>
      <c r="HI31" s="432"/>
      <c r="HJ31" s="433"/>
      <c r="HK31" s="639"/>
      <c r="HN31" s="206"/>
      <c r="HO31" s="37"/>
      <c r="HP31" s="427"/>
      <c r="HQ31" s="419"/>
      <c r="HR31" s="231"/>
      <c r="HS31" s="145"/>
      <c r="HT31" s="221"/>
      <c r="HU31" s="636"/>
      <c r="HX31" s="206"/>
      <c r="HY31" s="37"/>
      <c r="HZ31" s="418"/>
      <c r="IA31" s="419"/>
      <c r="IB31" s="231"/>
      <c r="IC31" s="145"/>
      <c r="ID31" s="221"/>
      <c r="IE31" s="636"/>
      <c r="IH31" s="206"/>
      <c r="II31" s="37"/>
      <c r="IJ31" s="418"/>
      <c r="IK31" s="419"/>
      <c r="IL31" s="231"/>
      <c r="IM31" s="145"/>
      <c r="IN31" s="221"/>
      <c r="IO31" s="636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6"/>
      <c r="JL31" s="206"/>
      <c r="JM31" s="37"/>
      <c r="JN31" s="427"/>
      <c r="JO31" s="419"/>
      <c r="JP31" s="231"/>
      <c r="JQ31" s="145"/>
      <c r="JR31" s="221"/>
      <c r="JS31" s="636"/>
      <c r="JV31" s="206"/>
      <c r="JW31" s="37"/>
      <c r="JX31" s="418"/>
      <c r="JY31" s="419"/>
      <c r="JZ31" s="231"/>
      <c r="KA31" s="145"/>
      <c r="KB31" s="221"/>
      <c r="KC31" s="636"/>
      <c r="KF31" s="206"/>
      <c r="KG31" s="37"/>
      <c r="KH31" s="418"/>
      <c r="KI31" s="419"/>
      <c r="KJ31" s="231"/>
      <c r="KK31" s="145"/>
      <c r="KL31" s="221"/>
      <c r="KM31" s="636"/>
      <c r="KP31" s="206"/>
      <c r="KQ31" s="37"/>
      <c r="KR31" s="418"/>
      <c r="KS31" s="419"/>
      <c r="KT31" s="231"/>
      <c r="KU31" s="145"/>
      <c r="KV31" s="221"/>
      <c r="KW31" s="636"/>
      <c r="KZ31" s="206"/>
      <c r="LA31" s="423"/>
      <c r="LB31" s="418"/>
      <c r="LC31" s="230"/>
      <c r="LD31" s="418"/>
      <c r="LE31" s="434"/>
      <c r="LF31" s="221"/>
      <c r="LG31" s="636"/>
      <c r="LJ31" s="206"/>
      <c r="LK31" s="37"/>
      <c r="LL31" s="427"/>
      <c r="LM31" s="419"/>
      <c r="LN31" s="427"/>
      <c r="LO31" s="434"/>
      <c r="LP31" s="221"/>
      <c r="LQ31" s="636"/>
      <c r="LT31" s="206"/>
      <c r="LU31" s="37"/>
      <c r="LV31" s="231"/>
      <c r="LW31" s="230"/>
      <c r="LX31" s="418"/>
      <c r="LY31" s="434"/>
      <c r="LZ31" s="435"/>
      <c r="MA31" s="636"/>
      <c r="MB31" s="636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62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62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62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9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19009.399999999998</v>
      </c>
      <c r="EZ32" s="107">
        <f>SUM(EZ8:EZ31)</f>
        <v>19009.399999999998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18739.999999999996</v>
      </c>
      <c r="JD32" s="107">
        <f>SUM(JD8:JD31)</f>
        <v>18734.8</v>
      </c>
      <c r="JF32" s="107">
        <f>SUM(JF8:JF31)</f>
        <v>18734.8</v>
      </c>
      <c r="JN32" s="107">
        <f>SUM(JN8:JN31)</f>
        <v>19110.400000000001</v>
      </c>
      <c r="JP32" s="107">
        <f>SUM(JP8:JP31)</f>
        <v>19110.400000000001</v>
      </c>
      <c r="JX32" s="107">
        <f>SUM(JX8:JX31)</f>
        <v>19048.799999999996</v>
      </c>
      <c r="JZ32" s="107">
        <f>SUM(JZ8:JZ31)</f>
        <v>19048.799999999996</v>
      </c>
      <c r="KH32" s="107">
        <f>SUM(KH8:KH31)</f>
        <v>18951</v>
      </c>
      <c r="KJ32" s="107">
        <f>SUM(KJ8:KJ31)</f>
        <v>18951</v>
      </c>
      <c r="KR32" s="107">
        <f>SUM(KR8:KR31)</f>
        <v>18937.2</v>
      </c>
      <c r="KT32" s="107">
        <f>SUM(KT8:KT31)</f>
        <v>18937.2</v>
      </c>
      <c r="LB32" s="107">
        <f>SUM(LB8:LB31)</f>
        <v>18445.670000000002</v>
      </c>
      <c r="LD32" s="107">
        <f>SUM(LD8:LD31)</f>
        <v>18445.670000000002</v>
      </c>
      <c r="LL32" s="87">
        <f>SUM(LL8:LL31)</f>
        <v>18548.650000000001</v>
      </c>
      <c r="LN32" s="107">
        <f>SUM(LN8:LN31)</f>
        <v>18548.650000000001</v>
      </c>
      <c r="LU32" s="146"/>
      <c r="LV32" s="87">
        <f>SUM(LV8:LV31)</f>
        <v>19077.500000000004</v>
      </c>
      <c r="LW32" s="87"/>
      <c r="LX32" s="87">
        <f>SUM(LX8:LX31)</f>
        <v>19077.500000000004</v>
      </c>
      <c r="MA32" s="629"/>
      <c r="MB32" s="629"/>
      <c r="MF32" s="107">
        <f>SUM(MF8:MF31)</f>
        <v>18995.599999999999</v>
      </c>
      <c r="MH32" s="107">
        <f>SUM(MH8:MH31)</f>
        <v>18995.599999999999</v>
      </c>
      <c r="MP32" s="87">
        <f>SUM(MP8:MP31)</f>
        <v>18531.39</v>
      </c>
      <c r="MR32" s="87">
        <f>SUM(MR8:MR31)</f>
        <v>17598.789999999997</v>
      </c>
      <c r="MZ32" s="87">
        <f>SUM(MZ8:MZ31)</f>
        <v>18849.7</v>
      </c>
      <c r="NB32" s="87">
        <f>SUM(NB8:NB31)</f>
        <v>0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0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7" t="s">
        <v>21</v>
      </c>
      <c r="O33" s="968"/>
      <c r="P33" s="147">
        <f>Q5-P32</f>
        <v>0</v>
      </c>
      <c r="S33" s="629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0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6" t="s">
        <v>21</v>
      </c>
      <c r="IA33" s="807"/>
      <c r="IB33" s="319">
        <f>IC5-IB32</f>
        <v>0</v>
      </c>
      <c r="IC33" s="255"/>
      <c r="IJ33" s="806" t="s">
        <v>21</v>
      </c>
      <c r="IK33" s="807"/>
      <c r="IL33" s="147">
        <f>IJ32-IL32</f>
        <v>0</v>
      </c>
      <c r="IT33" s="806" t="s">
        <v>21</v>
      </c>
      <c r="IU33" s="807"/>
      <c r="IV33" s="147">
        <f>IT32-IV32</f>
        <v>0</v>
      </c>
      <c r="JD33" s="806" t="s">
        <v>21</v>
      </c>
      <c r="JE33" s="807"/>
      <c r="JF33" s="147">
        <f>JD32-JF32</f>
        <v>0</v>
      </c>
      <c r="JN33" s="806" t="s">
        <v>21</v>
      </c>
      <c r="JO33" s="807"/>
      <c r="JP33" s="147">
        <f>JN32-JP32</f>
        <v>0</v>
      </c>
      <c r="JX33" s="806" t="s">
        <v>21</v>
      </c>
      <c r="JY33" s="807"/>
      <c r="JZ33" s="319">
        <f>KA5-JZ32</f>
        <v>0</v>
      </c>
      <c r="KA33" s="255"/>
      <c r="KH33" s="806" t="s">
        <v>21</v>
      </c>
      <c r="KI33" s="807"/>
      <c r="KJ33" s="319">
        <f>KK5-KJ32</f>
        <v>0</v>
      </c>
      <c r="KK33" s="255"/>
      <c r="KR33" s="806" t="s">
        <v>21</v>
      </c>
      <c r="KS33" s="807"/>
      <c r="KT33" s="319">
        <f>KU5-KT32</f>
        <v>0</v>
      </c>
      <c r="KU33" s="255"/>
      <c r="LB33" s="653" t="s">
        <v>21</v>
      </c>
      <c r="LC33" s="654"/>
      <c r="LD33" s="245">
        <f>LE5-LD32</f>
        <v>0</v>
      </c>
      <c r="LL33" s="653" t="s">
        <v>21</v>
      </c>
      <c r="LM33" s="654"/>
      <c r="LN33" s="147">
        <f>LO5-LN32</f>
        <v>0</v>
      </c>
      <c r="MA33" s="629"/>
      <c r="MB33" s="629"/>
      <c r="MF33" s="368" t="s">
        <v>21</v>
      </c>
      <c r="MG33" s="369"/>
      <c r="MH33" s="147">
        <f>MI5-MH32</f>
        <v>0</v>
      </c>
      <c r="MP33" s="368" t="s">
        <v>21</v>
      </c>
      <c r="MQ33" s="369"/>
      <c r="MR33" s="147">
        <f>MS5-MR32</f>
        <v>932.60000000000218</v>
      </c>
      <c r="MZ33" s="1058" t="s">
        <v>21</v>
      </c>
      <c r="NA33" s="1059"/>
      <c r="NB33" s="147">
        <f>NC5-NB32</f>
        <v>18849.7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19120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50" t="s">
        <v>21</v>
      </c>
      <c r="RU33" s="1151"/>
      <c r="RV33" s="147">
        <f>SUM(RW5-RV32)</f>
        <v>0</v>
      </c>
      <c r="SC33" s="1150" t="s">
        <v>21</v>
      </c>
      <c r="SD33" s="1151"/>
      <c r="SE33" s="147">
        <f>SUM(SF5-SE32)</f>
        <v>0</v>
      </c>
      <c r="SL33" s="1150" t="s">
        <v>21</v>
      </c>
      <c r="SM33" s="1151"/>
      <c r="SN33" s="245">
        <f>SUM(SO5-SN32)</f>
        <v>0</v>
      </c>
      <c r="SU33" s="1150" t="s">
        <v>21</v>
      </c>
      <c r="SV33" s="1151"/>
      <c r="SW33" s="147">
        <f>SUM(SX5-SW32)</f>
        <v>0</v>
      </c>
      <c r="TD33" s="1150" t="s">
        <v>21</v>
      </c>
      <c r="TE33" s="1151"/>
      <c r="TF33" s="147">
        <f>SUM(TG5-TF32)</f>
        <v>0</v>
      </c>
      <c r="TM33" s="1150" t="s">
        <v>21</v>
      </c>
      <c r="TN33" s="1151"/>
      <c r="TO33" s="147">
        <f>SUM(TP5-TO32)</f>
        <v>0</v>
      </c>
      <c r="TV33" s="1150" t="s">
        <v>21</v>
      </c>
      <c r="TW33" s="1151"/>
      <c r="TX33" s="147">
        <f>SUM(TY5-TX32)</f>
        <v>0</v>
      </c>
      <c r="UE33" s="1150" t="s">
        <v>21</v>
      </c>
      <c r="UF33" s="1151"/>
      <c r="UG33" s="147">
        <f>SUM(UH5-UG32)</f>
        <v>0</v>
      </c>
      <c r="UN33" s="1150" t="s">
        <v>21</v>
      </c>
      <c r="UO33" s="1151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50" t="s">
        <v>21</v>
      </c>
      <c r="VP33" s="1151"/>
      <c r="VQ33" s="147">
        <f>VR5-VQ32</f>
        <v>-22</v>
      </c>
      <c r="VX33" s="1150" t="s">
        <v>21</v>
      </c>
      <c r="VY33" s="1151"/>
      <c r="VZ33" s="147">
        <f>WA5-VZ32</f>
        <v>-22</v>
      </c>
      <c r="WG33" s="1150" t="s">
        <v>21</v>
      </c>
      <c r="WH33" s="1151"/>
      <c r="WI33" s="147">
        <f>WJ5-WI32</f>
        <v>-22</v>
      </c>
      <c r="WP33" s="1150" t="s">
        <v>21</v>
      </c>
      <c r="WQ33" s="1151"/>
      <c r="WR33" s="147">
        <f>WS5-WR32</f>
        <v>-22</v>
      </c>
      <c r="WY33" s="1150" t="s">
        <v>21</v>
      </c>
      <c r="WZ33" s="1151"/>
      <c r="XA33" s="147">
        <f>XB5-XA32</f>
        <v>-22</v>
      </c>
      <c r="XH33" s="1150" t="s">
        <v>21</v>
      </c>
      <c r="XI33" s="1151"/>
      <c r="XJ33" s="147">
        <f>XK5-XJ32</f>
        <v>-22</v>
      </c>
      <c r="XQ33" s="1150" t="s">
        <v>21</v>
      </c>
      <c r="XR33" s="1151"/>
      <c r="XS33" s="147">
        <f>XT5-XS32</f>
        <v>-22</v>
      </c>
      <c r="XZ33" s="1150" t="s">
        <v>21</v>
      </c>
      <c r="YA33" s="1151"/>
      <c r="YB33" s="147">
        <f>YC5-YB32</f>
        <v>-22</v>
      </c>
      <c r="YI33" s="1150" t="s">
        <v>21</v>
      </c>
      <c r="YJ33" s="1151"/>
      <c r="YK33" s="147">
        <f>YL5-YK32</f>
        <v>-22</v>
      </c>
      <c r="YR33" s="1150" t="s">
        <v>21</v>
      </c>
      <c r="YS33" s="1151"/>
      <c r="YT33" s="147">
        <f>YU5-YT32</f>
        <v>-22</v>
      </c>
      <c r="ZA33" s="1150" t="s">
        <v>21</v>
      </c>
      <c r="ZB33" s="1151"/>
      <c r="ZC33" s="147">
        <f>ZD5-ZC32</f>
        <v>-22</v>
      </c>
      <c r="ZJ33" s="1150" t="s">
        <v>21</v>
      </c>
      <c r="ZK33" s="1151"/>
      <c r="ZL33" s="147">
        <f>ZM5-ZL32</f>
        <v>-22</v>
      </c>
      <c r="ZS33" s="1150" t="s">
        <v>21</v>
      </c>
      <c r="ZT33" s="1151"/>
      <c r="ZU33" s="147">
        <f>ZV5-ZU32</f>
        <v>-22</v>
      </c>
      <c r="AAB33" s="1150" t="s">
        <v>21</v>
      </c>
      <c r="AAC33" s="1151"/>
      <c r="AAD33" s="147">
        <f>AAE5-AAD32</f>
        <v>-22</v>
      </c>
      <c r="AAK33" s="1150" t="s">
        <v>21</v>
      </c>
      <c r="AAL33" s="1151"/>
      <c r="AAM33" s="147">
        <f>AAN5-AAM32</f>
        <v>-22</v>
      </c>
      <c r="AAT33" s="1150" t="s">
        <v>21</v>
      </c>
      <c r="AAU33" s="1151"/>
      <c r="AAV33" s="147">
        <f>AAV32-AAT32</f>
        <v>22</v>
      </c>
      <c r="ABC33" s="1150" t="s">
        <v>21</v>
      </c>
      <c r="ABD33" s="1151"/>
      <c r="ABE33" s="147">
        <f>ABF5-ABE32</f>
        <v>-22</v>
      </c>
      <c r="ABL33" s="1150" t="s">
        <v>21</v>
      </c>
      <c r="ABM33" s="1151"/>
      <c r="ABN33" s="147">
        <f>ABO5-ABN32</f>
        <v>-22</v>
      </c>
      <c r="ABU33" s="1150" t="s">
        <v>21</v>
      </c>
      <c r="ABV33" s="1151"/>
      <c r="ABW33" s="147">
        <f>ABX5-ABW32</f>
        <v>-22</v>
      </c>
      <c r="ACD33" s="1150" t="s">
        <v>21</v>
      </c>
      <c r="ACE33" s="1151"/>
      <c r="ACF33" s="147">
        <f>ACG5-ACF32</f>
        <v>-22</v>
      </c>
      <c r="ACM33" s="1150" t="s">
        <v>21</v>
      </c>
      <c r="ACN33" s="1151"/>
      <c r="ACO33" s="147">
        <f>ACP5-ACO32</f>
        <v>-22</v>
      </c>
      <c r="ACV33" s="1150" t="s">
        <v>21</v>
      </c>
      <c r="ACW33" s="1151"/>
      <c r="ACX33" s="147">
        <f>ACY5-ACX32</f>
        <v>-22</v>
      </c>
      <c r="ADE33" s="1150" t="s">
        <v>21</v>
      </c>
      <c r="ADF33" s="1151"/>
      <c r="ADG33" s="147">
        <f>ADH5-ADG32</f>
        <v>-22</v>
      </c>
      <c r="ADN33" s="1150" t="s">
        <v>21</v>
      </c>
      <c r="ADO33" s="1151"/>
      <c r="ADP33" s="147">
        <f>ADQ5-ADP32</f>
        <v>-22</v>
      </c>
      <c r="ADW33" s="1150" t="s">
        <v>21</v>
      </c>
      <c r="ADX33" s="1151"/>
      <c r="ADY33" s="147">
        <f>ADZ5-ADY32</f>
        <v>-22</v>
      </c>
      <c r="AEF33" s="1150" t="s">
        <v>21</v>
      </c>
      <c r="AEG33" s="1151"/>
      <c r="AEH33" s="147">
        <f>AEI5-AEH32</f>
        <v>-22</v>
      </c>
      <c r="AEO33" s="1150" t="s">
        <v>21</v>
      </c>
      <c r="AEP33" s="1151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9" t="s">
        <v>4</v>
      </c>
      <c r="O34" s="970"/>
      <c r="P34" s="49"/>
      <c r="S34" s="629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8" t="s">
        <v>4</v>
      </c>
      <c r="IA34" s="809"/>
      <c r="IB34" s="49"/>
      <c r="IJ34" s="808" t="s">
        <v>4</v>
      </c>
      <c r="IK34" s="809"/>
      <c r="IL34" s="49"/>
      <c r="IT34" s="808" t="s">
        <v>4</v>
      </c>
      <c r="IU34" s="809"/>
      <c r="IV34" s="49"/>
      <c r="JD34" s="808" t="s">
        <v>4</v>
      </c>
      <c r="JE34" s="809"/>
      <c r="JF34" s="49"/>
      <c r="JN34" s="808" t="s">
        <v>4</v>
      </c>
      <c r="JO34" s="809"/>
      <c r="JP34" s="49">
        <v>0</v>
      </c>
      <c r="JX34" s="808" t="s">
        <v>4</v>
      </c>
      <c r="JY34" s="809"/>
      <c r="JZ34" s="49"/>
      <c r="KH34" s="808" t="s">
        <v>4</v>
      </c>
      <c r="KI34" s="809"/>
      <c r="KJ34" s="49"/>
      <c r="KR34" s="808" t="s">
        <v>4</v>
      </c>
      <c r="KS34" s="809"/>
      <c r="KT34" s="49"/>
      <c r="LB34" s="655" t="s">
        <v>4</v>
      </c>
      <c r="LC34" s="656"/>
      <c r="LD34" s="49"/>
      <c r="LL34" s="655" t="s">
        <v>4</v>
      </c>
      <c r="LM34" s="656"/>
      <c r="LN34" s="49"/>
      <c r="LV34" s="653" t="s">
        <v>21</v>
      </c>
      <c r="LW34" s="654"/>
      <c r="LX34" s="147">
        <f>LY5-LX32</f>
        <v>0</v>
      </c>
      <c r="MA34" s="629"/>
      <c r="MB34" s="629"/>
      <c r="MF34" s="370" t="s">
        <v>4</v>
      </c>
      <c r="MG34" s="371"/>
      <c r="MH34" s="49"/>
      <c r="MP34" s="370" t="s">
        <v>4</v>
      </c>
      <c r="MQ34" s="371"/>
      <c r="MR34" s="49"/>
      <c r="MZ34" s="1060" t="s">
        <v>4</v>
      </c>
      <c r="NA34" s="1061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52" t="s">
        <v>4</v>
      </c>
      <c r="RU34" s="1153"/>
      <c r="RV34" s="49"/>
      <c r="SC34" s="1152" t="s">
        <v>4</v>
      </c>
      <c r="SD34" s="1153"/>
      <c r="SE34" s="49"/>
      <c r="SL34" s="1152" t="s">
        <v>4</v>
      </c>
      <c r="SM34" s="1153"/>
      <c r="SN34" s="49"/>
      <c r="SU34" s="1152" t="s">
        <v>4</v>
      </c>
      <c r="SV34" s="1153"/>
      <c r="SW34" s="49"/>
      <c r="TD34" s="1152" t="s">
        <v>4</v>
      </c>
      <c r="TE34" s="1153"/>
      <c r="TF34" s="49"/>
      <c r="TM34" s="1152" t="s">
        <v>4</v>
      </c>
      <c r="TN34" s="1153"/>
      <c r="TO34" s="49"/>
      <c r="TV34" s="1152" t="s">
        <v>4</v>
      </c>
      <c r="TW34" s="1153"/>
      <c r="TX34" s="49"/>
      <c r="UE34" s="1152" t="s">
        <v>4</v>
      </c>
      <c r="UF34" s="1153"/>
      <c r="UG34" s="49"/>
      <c r="UN34" s="1152" t="s">
        <v>4</v>
      </c>
      <c r="UO34" s="1153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52" t="s">
        <v>4</v>
      </c>
      <c r="VP34" s="1153"/>
      <c r="VQ34" s="49"/>
      <c r="VX34" s="1152" t="s">
        <v>4</v>
      </c>
      <c r="VY34" s="1153"/>
      <c r="VZ34" s="49"/>
      <c r="WG34" s="1152" t="s">
        <v>4</v>
      </c>
      <c r="WH34" s="1153"/>
      <c r="WI34" s="49"/>
      <c r="WP34" s="1152" t="s">
        <v>4</v>
      </c>
      <c r="WQ34" s="1153"/>
      <c r="WR34" s="49"/>
      <c r="WY34" s="1152" t="s">
        <v>4</v>
      </c>
      <c r="WZ34" s="1153"/>
      <c r="XA34" s="49"/>
      <c r="XH34" s="1152" t="s">
        <v>4</v>
      </c>
      <c r="XI34" s="1153"/>
      <c r="XJ34" s="49"/>
      <c r="XQ34" s="1152" t="s">
        <v>4</v>
      </c>
      <c r="XR34" s="1153"/>
      <c r="XS34" s="49"/>
      <c r="XZ34" s="1152" t="s">
        <v>4</v>
      </c>
      <c r="YA34" s="1153"/>
      <c r="YB34" s="49"/>
      <c r="YI34" s="1152" t="s">
        <v>4</v>
      </c>
      <c r="YJ34" s="1153"/>
      <c r="YK34" s="49"/>
      <c r="YR34" s="1152" t="s">
        <v>4</v>
      </c>
      <c r="YS34" s="1153"/>
      <c r="YT34" s="49"/>
      <c r="ZA34" s="1152" t="s">
        <v>4</v>
      </c>
      <c r="ZB34" s="1153"/>
      <c r="ZC34" s="49"/>
      <c r="ZJ34" s="1152" t="s">
        <v>4</v>
      </c>
      <c r="ZK34" s="1153"/>
      <c r="ZL34" s="49"/>
      <c r="ZS34" s="1152" t="s">
        <v>4</v>
      </c>
      <c r="ZT34" s="1153"/>
      <c r="ZU34" s="49"/>
      <c r="AAB34" s="1152" t="s">
        <v>4</v>
      </c>
      <c r="AAC34" s="1153"/>
      <c r="AAD34" s="49"/>
      <c r="AAK34" s="1152" t="s">
        <v>4</v>
      </c>
      <c r="AAL34" s="1153"/>
      <c r="AAM34" s="49"/>
      <c r="AAT34" s="1152" t="s">
        <v>4</v>
      </c>
      <c r="AAU34" s="1153"/>
      <c r="AAV34" s="49"/>
      <c r="ABC34" s="1152" t="s">
        <v>4</v>
      </c>
      <c r="ABD34" s="1153"/>
      <c r="ABE34" s="49"/>
      <c r="ABL34" s="1152" t="s">
        <v>4</v>
      </c>
      <c r="ABM34" s="1153"/>
      <c r="ABN34" s="49"/>
      <c r="ABU34" s="1152" t="s">
        <v>4</v>
      </c>
      <c r="ABV34" s="1153"/>
      <c r="ABW34" s="49"/>
      <c r="ACD34" s="1152" t="s">
        <v>4</v>
      </c>
      <c r="ACE34" s="1153"/>
      <c r="ACF34" s="49"/>
      <c r="ACM34" s="1152" t="s">
        <v>4</v>
      </c>
      <c r="ACN34" s="1153"/>
      <c r="ACO34" s="49"/>
      <c r="ACV34" s="1152" t="s">
        <v>4</v>
      </c>
      <c r="ACW34" s="1153"/>
      <c r="ACX34" s="49"/>
      <c r="ADE34" s="1152" t="s">
        <v>4</v>
      </c>
      <c r="ADF34" s="1153"/>
      <c r="ADG34" s="49"/>
      <c r="ADN34" s="1152" t="s">
        <v>4</v>
      </c>
      <c r="ADO34" s="1153"/>
      <c r="ADP34" s="49"/>
      <c r="ADW34" s="1152" t="s">
        <v>4</v>
      </c>
      <c r="ADX34" s="1153"/>
      <c r="ADY34" s="49"/>
      <c r="AEF34" s="1152" t="s">
        <v>4</v>
      </c>
      <c r="AEG34" s="1153"/>
      <c r="AEH34" s="49"/>
      <c r="AEO34" s="1152" t="s">
        <v>4</v>
      </c>
      <c r="AEP34" s="1153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9"/>
      <c r="AZ35" s="76"/>
      <c r="LV35" s="655" t="s">
        <v>4</v>
      </c>
      <c r="LW35" s="656"/>
      <c r="LX35" s="49"/>
      <c r="MA35" s="629"/>
      <c r="MB35" s="629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9"/>
      <c r="AZ36" s="76"/>
      <c r="MA36" s="629"/>
      <c r="MB36" s="629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9"/>
      <c r="AZ37" s="76"/>
      <c r="MA37" s="629"/>
      <c r="MB37" s="629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9"/>
      <c r="MB38" s="629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9"/>
      <c r="MB39" s="629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9"/>
      <c r="MB40" s="629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9"/>
      <c r="MB41" s="629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9"/>
      <c r="MB42" s="629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9"/>
      <c r="MB43" s="629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9"/>
      <c r="MB44" s="629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L1" zoomScaleNormal="100" workbookViewId="0">
      <pane ySplit="8" topLeftCell="A18" activePane="bottomLeft" state="frozen"/>
      <selection activeCell="Y1" sqref="Y1"/>
      <selection pane="bottomLeft" activeCell="T29" sqref="T2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4" t="s">
        <v>259</v>
      </c>
      <c r="B1" s="1164"/>
      <c r="C1" s="1164"/>
      <c r="D1" s="1164"/>
      <c r="E1" s="1164"/>
      <c r="F1" s="1164"/>
      <c r="G1" s="1164"/>
      <c r="H1" s="11">
        <v>1</v>
      </c>
      <c r="I1" s="136"/>
      <c r="J1" s="74"/>
      <c r="M1" s="1164" t="str">
        <f>A1</f>
        <v>INVENTARIO DE NOVIEMBRE  2021</v>
      </c>
      <c r="N1" s="1164"/>
      <c r="O1" s="1164"/>
      <c r="P1" s="1164"/>
      <c r="Q1" s="1164"/>
      <c r="R1" s="1164"/>
      <c r="S1" s="1164"/>
      <c r="T1" s="11">
        <v>2</v>
      </c>
      <c r="U1" s="136"/>
      <c r="V1" s="74"/>
      <c r="Y1" s="1168" t="s">
        <v>267</v>
      </c>
      <c r="Z1" s="1168"/>
      <c r="AA1" s="1168"/>
      <c r="AB1" s="1168"/>
      <c r="AC1" s="1168"/>
      <c r="AD1" s="1168"/>
      <c r="AE1" s="1168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90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190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1588.9999999999998</v>
      </c>
      <c r="T5" s="7">
        <f>Q4+Q5-S5+Q6+Q7</f>
        <v>476.71000000000021</v>
      </c>
      <c r="U5" s="213"/>
      <c r="V5" s="74"/>
      <c r="Y5" s="74" t="s">
        <v>71</v>
      </c>
      <c r="Z5" s="1190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90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90"/>
      <c r="O6" s="222"/>
      <c r="P6" s="160"/>
      <c r="Q6" s="107">
        <v>22.71</v>
      </c>
      <c r="R6" s="74">
        <v>5</v>
      </c>
      <c r="U6" s="214"/>
      <c r="V6" s="74"/>
      <c r="Z6" s="1190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176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462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183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497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178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479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172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504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174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512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189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491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173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526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175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501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192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542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194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546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201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558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202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569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204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576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207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580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211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586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212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>
        <v>60</v>
      </c>
      <c r="P24" s="70">
        <f t="shared" si="2"/>
        <v>272.39999999999998</v>
      </c>
      <c r="Q24" s="218">
        <v>44554</v>
      </c>
      <c r="R24" s="70">
        <f t="shared" si="3"/>
        <v>272.39999999999998</v>
      </c>
      <c r="S24" s="71" t="s">
        <v>612</v>
      </c>
      <c r="T24" s="72">
        <v>57</v>
      </c>
      <c r="U24" s="213">
        <f t="shared" si="11"/>
        <v>681.01000000000033</v>
      </c>
      <c r="V24" s="74">
        <f t="shared" si="12"/>
        <v>150</v>
      </c>
      <c r="W24" s="61">
        <f t="shared" si="7"/>
        <v>15526.8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219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>
        <v>5</v>
      </c>
      <c r="P25" s="70">
        <f t="shared" si="2"/>
        <v>22.7</v>
      </c>
      <c r="Q25" s="218">
        <v>44556</v>
      </c>
      <c r="R25" s="70">
        <f t="shared" si="3"/>
        <v>22.7</v>
      </c>
      <c r="S25" s="71" t="s">
        <v>620</v>
      </c>
      <c r="T25" s="72">
        <v>57</v>
      </c>
      <c r="U25" s="213">
        <f t="shared" si="11"/>
        <v>658.31000000000029</v>
      </c>
      <c r="V25" s="74">
        <f t="shared" si="12"/>
        <v>145</v>
      </c>
      <c r="W25" s="61">
        <f t="shared" si="7"/>
        <v>1293.8999999999999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223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>
        <v>1</v>
      </c>
      <c r="P26" s="70">
        <f t="shared" si="2"/>
        <v>4.54</v>
      </c>
      <c r="Q26" s="218">
        <v>44558</v>
      </c>
      <c r="R26" s="70">
        <f t="shared" si="3"/>
        <v>4.54</v>
      </c>
      <c r="S26" s="71" t="s">
        <v>634</v>
      </c>
      <c r="T26" s="72">
        <v>57</v>
      </c>
      <c r="U26" s="213">
        <f t="shared" si="11"/>
        <v>653.77000000000032</v>
      </c>
      <c r="V26" s="74">
        <f t="shared" si="12"/>
        <v>144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224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>
        <v>9</v>
      </c>
      <c r="P27" s="70">
        <f t="shared" si="2"/>
        <v>40.86</v>
      </c>
      <c r="Q27" s="218">
        <v>44559</v>
      </c>
      <c r="R27" s="70">
        <f t="shared" si="3"/>
        <v>40.86</v>
      </c>
      <c r="S27" s="71" t="s">
        <v>652</v>
      </c>
      <c r="T27" s="72">
        <v>57</v>
      </c>
      <c r="U27" s="213">
        <f t="shared" si="11"/>
        <v>612.91000000000031</v>
      </c>
      <c r="V27" s="74">
        <f t="shared" si="12"/>
        <v>135</v>
      </c>
      <c r="W27" s="61">
        <f t="shared" si="7"/>
        <v>2329.02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228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>
        <v>30</v>
      </c>
      <c r="P28" s="70">
        <f t="shared" si="2"/>
        <v>136.19999999999999</v>
      </c>
      <c r="Q28" s="218">
        <v>44559</v>
      </c>
      <c r="R28" s="70">
        <f t="shared" si="3"/>
        <v>136.19999999999999</v>
      </c>
      <c r="S28" s="71" t="s">
        <v>662</v>
      </c>
      <c r="T28" s="72">
        <v>57</v>
      </c>
      <c r="U28" s="213">
        <f t="shared" si="11"/>
        <v>476.71000000000032</v>
      </c>
      <c r="V28" s="74">
        <f t="shared" si="12"/>
        <v>105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231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476.71000000000032</v>
      </c>
      <c r="V29" s="74">
        <f t="shared" si="12"/>
        <v>105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232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476.71000000000032</v>
      </c>
      <c r="V30" s="74">
        <f t="shared" si="12"/>
        <v>105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234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476.71000000000032</v>
      </c>
      <c r="V31" s="74">
        <f t="shared" si="12"/>
        <v>105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235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476.71000000000032</v>
      </c>
      <c r="V32" s="74">
        <f t="shared" si="12"/>
        <v>105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0">
        <v>44531</v>
      </c>
      <c r="F33" s="70">
        <f>D33</f>
        <v>45.4</v>
      </c>
      <c r="G33" s="71" t="s">
        <v>238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0"/>
      <c r="R33" s="70">
        <f>P33</f>
        <v>0</v>
      </c>
      <c r="S33" s="71"/>
      <c r="T33" s="72"/>
      <c r="U33" s="213">
        <f t="shared" si="11"/>
        <v>476.71000000000032</v>
      </c>
      <c r="V33" s="74">
        <f t="shared" si="12"/>
        <v>105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0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240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476.71000000000032</v>
      </c>
      <c r="V34" s="74">
        <f t="shared" si="12"/>
        <v>105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246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476.71000000000032</v>
      </c>
      <c r="V35" s="74">
        <f t="shared" si="12"/>
        <v>105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7">
        <f t="shared" si="0"/>
        <v>13.620000000000001</v>
      </c>
      <c r="E36" s="1001">
        <v>44535</v>
      </c>
      <c r="F36" s="707">
        <f t="shared" si="15"/>
        <v>13.620000000000001</v>
      </c>
      <c r="G36" s="708" t="s">
        <v>445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476.71000000000032</v>
      </c>
      <c r="V36" s="74">
        <f t="shared" si="12"/>
        <v>105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7">
        <f t="shared" si="0"/>
        <v>136.19999999999999</v>
      </c>
      <c r="E37" s="1001">
        <v>44537</v>
      </c>
      <c r="F37" s="707">
        <f t="shared" si="15"/>
        <v>136.19999999999999</v>
      </c>
      <c r="G37" s="708" t="s">
        <v>458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476.71000000000032</v>
      </c>
      <c r="V37" s="74">
        <f t="shared" si="12"/>
        <v>105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7">
        <f t="shared" si="0"/>
        <v>0</v>
      </c>
      <c r="E38" s="1002"/>
      <c r="F38" s="707">
        <f t="shared" si="15"/>
        <v>0</v>
      </c>
      <c r="G38" s="708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476.71000000000032</v>
      </c>
      <c r="V38" s="74">
        <f t="shared" si="12"/>
        <v>105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7">
        <f t="shared" si="0"/>
        <v>0</v>
      </c>
      <c r="E39" s="1002"/>
      <c r="F39" s="707">
        <f t="shared" si="15"/>
        <v>0</v>
      </c>
      <c r="G39" s="708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476.71000000000032</v>
      </c>
      <c r="V39" s="74">
        <f t="shared" si="12"/>
        <v>105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7">
        <f t="shared" si="0"/>
        <v>22.7</v>
      </c>
      <c r="E40" s="1002"/>
      <c r="F40" s="707">
        <f t="shared" si="15"/>
        <v>22.7</v>
      </c>
      <c r="G40" s="1081"/>
      <c r="H40" s="1082"/>
      <c r="I40" s="1083">
        <f t="shared" si="9"/>
        <v>6.9999999998806572E-3</v>
      </c>
      <c r="J40" s="1084">
        <f t="shared" si="10"/>
        <v>0</v>
      </c>
      <c r="K40" s="1090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476.71000000000032</v>
      </c>
      <c r="V40" s="74">
        <f t="shared" si="12"/>
        <v>105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7">
        <f t="shared" si="0"/>
        <v>0</v>
      </c>
      <c r="E41" s="1002"/>
      <c r="F41" s="707">
        <f t="shared" si="15"/>
        <v>0</v>
      </c>
      <c r="G41" s="1081"/>
      <c r="H41" s="1082"/>
      <c r="I41" s="1083">
        <f t="shared" si="9"/>
        <v>6.9999999998806572E-3</v>
      </c>
      <c r="J41" s="1084">
        <f t="shared" si="10"/>
        <v>0</v>
      </c>
      <c r="K41" s="1090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476.71000000000032</v>
      </c>
      <c r="V41" s="74">
        <f t="shared" si="12"/>
        <v>105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7">
        <f t="shared" si="0"/>
        <v>0</v>
      </c>
      <c r="E42" s="1002"/>
      <c r="F42" s="707">
        <f t="shared" si="15"/>
        <v>0</v>
      </c>
      <c r="G42" s="1081"/>
      <c r="H42" s="1082"/>
      <c r="I42" s="1083">
        <f t="shared" si="9"/>
        <v>6.9999999998806572E-3</v>
      </c>
      <c r="J42" s="1084">
        <f t="shared" si="10"/>
        <v>0</v>
      </c>
      <c r="K42" s="1090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476.71000000000032</v>
      </c>
      <c r="V42" s="74">
        <f t="shared" si="12"/>
        <v>105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7">
        <f t="shared" si="0"/>
        <v>0</v>
      </c>
      <c r="E43" s="1002"/>
      <c r="F43" s="707">
        <f t="shared" si="15"/>
        <v>0</v>
      </c>
      <c r="G43" s="1081"/>
      <c r="H43" s="1082"/>
      <c r="I43" s="1083">
        <f t="shared" si="9"/>
        <v>6.9999999998806572E-3</v>
      </c>
      <c r="J43" s="1084">
        <f t="shared" si="10"/>
        <v>0</v>
      </c>
      <c r="K43" s="1090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476.71000000000032</v>
      </c>
      <c r="V43" s="74">
        <f t="shared" si="12"/>
        <v>105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7">
        <f t="shared" si="0"/>
        <v>0</v>
      </c>
      <c r="E44" s="1002"/>
      <c r="F44" s="707">
        <f t="shared" si="15"/>
        <v>0</v>
      </c>
      <c r="G44" s="1081"/>
      <c r="H44" s="1082"/>
      <c r="I44" s="1083">
        <f t="shared" si="9"/>
        <v>6.9999999998806572E-3</v>
      </c>
      <c r="J44" s="1084">
        <f t="shared" si="10"/>
        <v>0</v>
      </c>
      <c r="K44" s="1090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476.71000000000032</v>
      </c>
      <c r="V44" s="74">
        <f t="shared" si="12"/>
        <v>105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7">
        <f t="shared" si="0"/>
        <v>0</v>
      </c>
      <c r="E45" s="1002"/>
      <c r="F45" s="707">
        <f t="shared" si="15"/>
        <v>0</v>
      </c>
      <c r="G45" s="1081"/>
      <c r="H45" s="1082"/>
      <c r="I45" s="1083">
        <f t="shared" si="9"/>
        <v>6.9999999998806572E-3</v>
      </c>
      <c r="J45" s="1084">
        <f t="shared" si="10"/>
        <v>0</v>
      </c>
      <c r="K45" s="1090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476.71000000000032</v>
      </c>
      <c r="V45" s="74">
        <f t="shared" si="12"/>
        <v>105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7">
        <f t="shared" si="0"/>
        <v>0</v>
      </c>
      <c r="E46" s="1002"/>
      <c r="F46" s="707">
        <f t="shared" si="15"/>
        <v>0</v>
      </c>
      <c r="G46" s="708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476.71000000000032</v>
      </c>
      <c r="V46" s="74">
        <f t="shared" si="12"/>
        <v>105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7">
        <f t="shared" si="0"/>
        <v>0</v>
      </c>
      <c r="E47" s="1002"/>
      <c r="F47" s="707">
        <f t="shared" si="15"/>
        <v>0</v>
      </c>
      <c r="G47" s="708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476.71000000000032</v>
      </c>
      <c r="V47" s="74">
        <f t="shared" si="12"/>
        <v>105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7">
        <f t="shared" si="0"/>
        <v>0</v>
      </c>
      <c r="E48" s="1002"/>
      <c r="F48" s="707">
        <f t="shared" si="15"/>
        <v>0</v>
      </c>
      <c r="G48" s="708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476.71000000000032</v>
      </c>
      <c r="V48" s="74">
        <f t="shared" si="12"/>
        <v>105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7">
        <f t="shared" si="0"/>
        <v>0</v>
      </c>
      <c r="E49" s="1002"/>
      <c r="F49" s="707">
        <f t="shared" si="15"/>
        <v>0</v>
      </c>
      <c r="G49" s="708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476.71000000000032</v>
      </c>
      <c r="V49" s="74">
        <f t="shared" si="12"/>
        <v>105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7">
        <f t="shared" si="0"/>
        <v>0</v>
      </c>
      <c r="E50" s="1002"/>
      <c r="F50" s="707">
        <f t="shared" si="15"/>
        <v>0</v>
      </c>
      <c r="G50" s="708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476.71000000000032</v>
      </c>
      <c r="V50" s="74">
        <f t="shared" si="12"/>
        <v>105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7">
        <f t="shared" si="0"/>
        <v>0</v>
      </c>
      <c r="E51" s="1002"/>
      <c r="F51" s="707">
        <f t="shared" si="15"/>
        <v>0</v>
      </c>
      <c r="G51" s="708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476.71000000000032</v>
      </c>
      <c r="V51" s="74">
        <f t="shared" si="12"/>
        <v>105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476.71000000000032</v>
      </c>
      <c r="V52" s="74">
        <f t="shared" si="12"/>
        <v>105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476.71000000000032</v>
      </c>
      <c r="V53" s="74">
        <f t="shared" si="12"/>
        <v>105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476.71000000000032</v>
      </c>
      <c r="V54" s="74">
        <f t="shared" si="12"/>
        <v>105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476.71000000000032</v>
      </c>
      <c r="V55" s="74">
        <f t="shared" si="12"/>
        <v>105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476.71000000000032</v>
      </c>
      <c r="V56" s="74">
        <f t="shared" si="12"/>
        <v>105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476.71000000000032</v>
      </c>
      <c r="V57" s="74">
        <f t="shared" si="12"/>
        <v>105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476.71000000000032</v>
      </c>
      <c r="V58" s="74">
        <f t="shared" si="12"/>
        <v>105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476.71000000000032</v>
      </c>
      <c r="V59" s="74">
        <f t="shared" si="12"/>
        <v>105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476.71000000000032</v>
      </c>
      <c r="V60" s="74">
        <f t="shared" si="12"/>
        <v>105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476.71000000000032</v>
      </c>
      <c r="V61" s="74">
        <f t="shared" si="12"/>
        <v>105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476.71000000000032</v>
      </c>
      <c r="V62" s="74">
        <f t="shared" si="12"/>
        <v>105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476.71000000000032</v>
      </c>
      <c r="V63" s="74">
        <f t="shared" si="12"/>
        <v>105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476.71000000000032</v>
      </c>
      <c r="V64" s="74">
        <f t="shared" si="12"/>
        <v>105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476.71000000000032</v>
      </c>
      <c r="V65" s="74">
        <f t="shared" si="12"/>
        <v>105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476.71000000000032</v>
      </c>
      <c r="V66" s="74">
        <f t="shared" si="12"/>
        <v>105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476.71000000000032</v>
      </c>
      <c r="V67" s="74">
        <f t="shared" si="12"/>
        <v>105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476.71000000000032</v>
      </c>
      <c r="V68" s="74">
        <f t="shared" si="12"/>
        <v>105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350</v>
      </c>
      <c r="P70" s="6">
        <f>SUM(P9:P69)</f>
        <v>1588.9999999999998</v>
      </c>
      <c r="Q70" s="13"/>
      <c r="R70" s="6">
        <f>SUM(R9:R69)</f>
        <v>1588.9999999999998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105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91" t="s">
        <v>19</v>
      </c>
      <c r="D73" s="1192"/>
      <c r="E73" s="39">
        <f>E4+E5-F70+E6+E7</f>
        <v>7.0000000003602736E-3</v>
      </c>
      <c r="F73" s="6"/>
      <c r="G73" s="6"/>
      <c r="H73" s="17"/>
      <c r="I73" s="136"/>
      <c r="J73" s="74"/>
      <c r="O73" s="1191" t="s">
        <v>19</v>
      </c>
      <c r="P73" s="1192"/>
      <c r="Q73" s="39">
        <f>Q4+Q5-R70+Q6+Q7</f>
        <v>476.71000000000021</v>
      </c>
      <c r="R73" s="6"/>
      <c r="S73" s="6"/>
      <c r="T73" s="17"/>
      <c r="U73" s="136"/>
      <c r="V73" s="74"/>
      <c r="AA73" s="1191" t="s">
        <v>19</v>
      </c>
      <c r="AB73" s="1192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93" t="s">
        <v>19</v>
      </c>
      <c r="J7" s="119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4"/>
      <c r="J8" s="1196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91" t="s">
        <v>19</v>
      </c>
      <c r="D64" s="119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abSelected="1" topLeftCell="S1" workbookViewId="0">
      <selection activeCell="AB14" sqref="A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64" t="s">
        <v>256</v>
      </c>
      <c r="B1" s="1164"/>
      <c r="C1" s="1164"/>
      <c r="D1" s="1164"/>
      <c r="E1" s="1164"/>
      <c r="F1" s="1164"/>
      <c r="G1" s="1164"/>
      <c r="H1" s="11">
        <v>1</v>
      </c>
      <c r="K1" s="1164" t="str">
        <f>A1</f>
        <v>INVENTARIO    DEL MES DE NOVIEMBRE 2021</v>
      </c>
      <c r="L1" s="1164"/>
      <c r="M1" s="1164"/>
      <c r="N1" s="1164"/>
      <c r="O1" s="1164"/>
      <c r="P1" s="1164"/>
      <c r="Q1" s="1164"/>
      <c r="R1" s="11">
        <v>2</v>
      </c>
      <c r="U1" s="1168" t="s">
        <v>248</v>
      </c>
      <c r="V1" s="1168"/>
      <c r="W1" s="1168"/>
      <c r="X1" s="1168"/>
      <c r="Y1" s="1168"/>
      <c r="Z1" s="1168"/>
      <c r="AA1" s="1168"/>
      <c r="AB1" s="11">
        <v>3</v>
      </c>
      <c r="AE1" s="1168" t="str">
        <f>U1</f>
        <v>ENTRADA DEL MES DE DICIEMBRE 2021</v>
      </c>
      <c r="AF1" s="1168"/>
      <c r="AG1" s="1168"/>
      <c r="AH1" s="1168"/>
      <c r="AI1" s="1168"/>
      <c r="AJ1" s="1168"/>
      <c r="AK1" s="116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197" t="s">
        <v>122</v>
      </c>
      <c r="C5" s="690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199" t="s">
        <v>123</v>
      </c>
      <c r="M5" s="690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83" t="s">
        <v>122</v>
      </c>
      <c r="W5" s="690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199" t="s">
        <v>123</v>
      </c>
      <c r="AG5" s="690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98"/>
      <c r="C6" s="626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199"/>
      <c r="M6" s="626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184"/>
      <c r="W6" s="626"/>
      <c r="X6" s="261"/>
      <c r="Y6" s="280"/>
      <c r="Z6" s="266"/>
      <c r="AA6" s="275">
        <f>Z78</f>
        <v>240</v>
      </c>
      <c r="AB6" s="7">
        <f>Y6-AA6+Y7+Y5-AA5</f>
        <v>260</v>
      </c>
      <c r="AE6" s="263"/>
      <c r="AF6" s="1199"/>
      <c r="AG6" s="626"/>
      <c r="AH6" s="261"/>
      <c r="AI6" s="280"/>
      <c r="AJ6" s="266"/>
      <c r="AK6" s="275">
        <f>AJ78</f>
        <v>190</v>
      </c>
      <c r="AL6" s="7">
        <f>AI6-AK6+AI7+AI5-AK5</f>
        <v>60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237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226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529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529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241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241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558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590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245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9">
        <v>10</v>
      </c>
      <c r="O11" s="990">
        <v>44540</v>
      </c>
      <c r="P11" s="989">
        <f t="shared" si="2"/>
        <v>10</v>
      </c>
      <c r="Q11" s="689" t="s">
        <v>506</v>
      </c>
      <c r="R11" s="991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590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6</v>
      </c>
      <c r="AG11" s="74">
        <v>4</v>
      </c>
      <c r="AH11" s="277">
        <v>40</v>
      </c>
      <c r="AI11" s="308">
        <v>44560</v>
      </c>
      <c r="AJ11" s="277">
        <f t="shared" si="6"/>
        <v>40</v>
      </c>
      <c r="AK11" s="278" t="s">
        <v>663</v>
      </c>
      <c r="AL11" s="279">
        <v>100</v>
      </c>
      <c r="AM11" s="288">
        <f t="shared" si="7"/>
        <v>60</v>
      </c>
    </row>
    <row r="12" spans="1:39" x14ac:dyDescent="0.25">
      <c r="A12" s="205"/>
      <c r="B12" s="84">
        <f t="shared" si="0"/>
        <v>2</v>
      </c>
      <c r="C12" s="74">
        <v>1</v>
      </c>
      <c r="D12" s="989">
        <v>10</v>
      </c>
      <c r="E12" s="990">
        <v>44537</v>
      </c>
      <c r="F12" s="989">
        <f t="shared" si="8"/>
        <v>10</v>
      </c>
      <c r="G12" s="689" t="s">
        <v>453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9">
        <v>50</v>
      </c>
      <c r="O12" s="990">
        <v>44540</v>
      </c>
      <c r="P12" s="989">
        <f t="shared" si="2"/>
        <v>50</v>
      </c>
      <c r="Q12" s="689" t="s">
        <v>499</v>
      </c>
      <c r="R12" s="991">
        <v>100</v>
      </c>
      <c r="S12" s="288">
        <f t="shared" si="3"/>
        <v>20</v>
      </c>
      <c r="U12" s="205"/>
      <c r="V12" s="84">
        <f t="shared" si="4"/>
        <v>27</v>
      </c>
      <c r="W12" s="74">
        <v>7</v>
      </c>
      <c r="X12" s="277">
        <v>70</v>
      </c>
      <c r="Y12" s="308">
        <v>44560</v>
      </c>
      <c r="Z12" s="277">
        <f t="shared" si="10"/>
        <v>70</v>
      </c>
      <c r="AA12" s="278" t="s">
        <v>663</v>
      </c>
      <c r="AB12" s="279">
        <v>115</v>
      </c>
      <c r="AC12" s="288">
        <f t="shared" si="11"/>
        <v>270</v>
      </c>
      <c r="AE12" s="205"/>
      <c r="AF12" s="84">
        <f t="shared" si="5"/>
        <v>6</v>
      </c>
      <c r="AG12" s="74"/>
      <c r="AH12" s="277"/>
      <c r="AI12" s="308"/>
      <c r="AJ12" s="277">
        <f t="shared" si="6"/>
        <v>0</v>
      </c>
      <c r="AK12" s="278"/>
      <c r="AL12" s="279"/>
      <c r="AM12" s="288">
        <f t="shared" si="7"/>
        <v>60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9">
        <v>10</v>
      </c>
      <c r="E13" s="990">
        <v>44540</v>
      </c>
      <c r="F13" s="989">
        <f t="shared" si="8"/>
        <v>10</v>
      </c>
      <c r="G13" s="689" t="s">
        <v>506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9">
        <v>10</v>
      </c>
      <c r="O13" s="990">
        <v>44543</v>
      </c>
      <c r="P13" s="989">
        <f t="shared" si="2"/>
        <v>10</v>
      </c>
      <c r="Q13" s="689" t="s">
        <v>468</v>
      </c>
      <c r="R13" s="991">
        <v>100</v>
      </c>
      <c r="S13" s="288">
        <f t="shared" si="3"/>
        <v>10</v>
      </c>
      <c r="U13" s="83" t="s">
        <v>33</v>
      </c>
      <c r="V13" s="84">
        <f t="shared" si="4"/>
        <v>26</v>
      </c>
      <c r="W13" s="74">
        <v>1</v>
      </c>
      <c r="X13" s="277">
        <v>10</v>
      </c>
      <c r="Y13" s="308">
        <v>44560</v>
      </c>
      <c r="Z13" s="277">
        <f t="shared" si="10"/>
        <v>10</v>
      </c>
      <c r="AA13" s="278" t="s">
        <v>672</v>
      </c>
      <c r="AB13" s="279">
        <v>110</v>
      </c>
      <c r="AC13" s="288">
        <f t="shared" si="11"/>
        <v>260</v>
      </c>
      <c r="AE13" s="83" t="s">
        <v>33</v>
      </c>
      <c r="AF13" s="84">
        <f t="shared" si="5"/>
        <v>6</v>
      </c>
      <c r="AG13" s="74"/>
      <c r="AH13" s="277"/>
      <c r="AI13" s="308"/>
      <c r="AJ13" s="277">
        <f t="shared" si="6"/>
        <v>0</v>
      </c>
      <c r="AK13" s="278"/>
      <c r="AL13" s="279"/>
      <c r="AM13" s="288">
        <f t="shared" si="7"/>
        <v>60</v>
      </c>
    </row>
    <row r="14" spans="1:39" x14ac:dyDescent="0.25">
      <c r="A14" s="74"/>
      <c r="B14" s="84">
        <f t="shared" si="0"/>
        <v>0</v>
      </c>
      <c r="C14" s="74">
        <v>1</v>
      </c>
      <c r="D14" s="989">
        <v>10</v>
      </c>
      <c r="E14" s="990">
        <v>44540</v>
      </c>
      <c r="F14" s="989">
        <f t="shared" si="8"/>
        <v>10</v>
      </c>
      <c r="G14" s="689" t="s">
        <v>499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9">
        <v>10</v>
      </c>
      <c r="O14" s="990">
        <v>44543</v>
      </c>
      <c r="P14" s="989">
        <f t="shared" si="2"/>
        <v>10</v>
      </c>
      <c r="Q14" s="689" t="s">
        <v>520</v>
      </c>
      <c r="R14" s="991">
        <v>100</v>
      </c>
      <c r="S14" s="288">
        <f t="shared" si="3"/>
        <v>0</v>
      </c>
      <c r="U14" s="74"/>
      <c r="V14" s="84">
        <f t="shared" si="4"/>
        <v>26</v>
      </c>
      <c r="W14" s="74"/>
      <c r="X14" s="277"/>
      <c r="Y14" s="308"/>
      <c r="Z14" s="277">
        <f t="shared" si="10"/>
        <v>0</v>
      </c>
      <c r="AA14" s="278"/>
      <c r="AB14" s="279"/>
      <c r="AC14" s="288">
        <f t="shared" si="11"/>
        <v>260</v>
      </c>
      <c r="AE14" s="74"/>
      <c r="AF14" s="84">
        <f t="shared" si="5"/>
        <v>6</v>
      </c>
      <c r="AG14" s="74"/>
      <c r="AH14" s="277"/>
      <c r="AI14" s="308"/>
      <c r="AJ14" s="277">
        <f t="shared" si="6"/>
        <v>0</v>
      </c>
      <c r="AK14" s="278"/>
      <c r="AL14" s="279"/>
      <c r="AM14" s="288">
        <f t="shared" si="7"/>
        <v>60</v>
      </c>
    </row>
    <row r="15" spans="1:39" x14ac:dyDescent="0.25">
      <c r="A15" s="74"/>
      <c r="B15" s="84">
        <f t="shared" si="0"/>
        <v>0</v>
      </c>
      <c r="C15" s="74"/>
      <c r="D15" s="989"/>
      <c r="E15" s="990"/>
      <c r="F15" s="1091">
        <f t="shared" si="8"/>
        <v>0</v>
      </c>
      <c r="G15" s="1081"/>
      <c r="H15" s="1092"/>
      <c r="I15" s="1093">
        <f t="shared" si="9"/>
        <v>0</v>
      </c>
      <c r="K15" s="74"/>
      <c r="L15" s="84">
        <f t="shared" si="1"/>
        <v>0</v>
      </c>
      <c r="M15" s="74"/>
      <c r="N15" s="989"/>
      <c r="O15" s="990"/>
      <c r="P15" s="989">
        <f t="shared" si="2"/>
        <v>0</v>
      </c>
      <c r="Q15" s="1099"/>
      <c r="R15" s="1100"/>
      <c r="S15" s="1101">
        <f t="shared" si="3"/>
        <v>0</v>
      </c>
      <c r="U15" s="74" t="s">
        <v>22</v>
      </c>
      <c r="V15" s="84">
        <f t="shared" si="4"/>
        <v>26</v>
      </c>
      <c r="W15" s="74"/>
      <c r="X15" s="277"/>
      <c r="Y15" s="308"/>
      <c r="Z15" s="277">
        <f t="shared" si="10"/>
        <v>0</v>
      </c>
      <c r="AA15" s="278"/>
      <c r="AB15" s="279"/>
      <c r="AC15" s="288">
        <f t="shared" si="11"/>
        <v>260</v>
      </c>
      <c r="AE15" s="74"/>
      <c r="AF15" s="84">
        <f t="shared" si="5"/>
        <v>6</v>
      </c>
      <c r="AG15" s="74"/>
      <c r="AH15" s="277"/>
      <c r="AI15" s="308"/>
      <c r="AJ15" s="277">
        <f t="shared" si="6"/>
        <v>0</v>
      </c>
      <c r="AK15" s="278"/>
      <c r="AL15" s="279"/>
      <c r="AM15" s="288">
        <f t="shared" si="7"/>
        <v>60</v>
      </c>
    </row>
    <row r="16" spans="1:39" x14ac:dyDescent="0.25">
      <c r="B16" s="84">
        <f t="shared" si="0"/>
        <v>0</v>
      </c>
      <c r="C16" s="74"/>
      <c r="D16" s="989"/>
      <c r="E16" s="990"/>
      <c r="F16" s="1091">
        <f t="shared" si="8"/>
        <v>0</v>
      </c>
      <c r="G16" s="1081"/>
      <c r="H16" s="1092"/>
      <c r="I16" s="1093">
        <f t="shared" si="9"/>
        <v>0</v>
      </c>
      <c r="L16" s="84">
        <f t="shared" si="1"/>
        <v>0</v>
      </c>
      <c r="M16" s="74"/>
      <c r="N16" s="989"/>
      <c r="O16" s="990"/>
      <c r="P16" s="989">
        <f t="shared" si="2"/>
        <v>0</v>
      </c>
      <c r="Q16" s="1099"/>
      <c r="R16" s="1100"/>
      <c r="S16" s="1101">
        <f t="shared" si="3"/>
        <v>0</v>
      </c>
      <c r="V16" s="84">
        <f t="shared" si="4"/>
        <v>26</v>
      </c>
      <c r="W16" s="74"/>
      <c r="X16" s="277"/>
      <c r="Y16" s="308"/>
      <c r="Z16" s="277">
        <f t="shared" si="10"/>
        <v>0</v>
      </c>
      <c r="AA16" s="278"/>
      <c r="AB16" s="279"/>
      <c r="AC16" s="288">
        <f t="shared" si="11"/>
        <v>260</v>
      </c>
      <c r="AF16" s="84">
        <f t="shared" si="5"/>
        <v>6</v>
      </c>
      <c r="AG16" s="74"/>
      <c r="AH16" s="277"/>
      <c r="AI16" s="308"/>
      <c r="AJ16" s="277">
        <f t="shared" si="6"/>
        <v>0</v>
      </c>
      <c r="AK16" s="278"/>
      <c r="AL16" s="279"/>
      <c r="AM16" s="288">
        <f t="shared" si="7"/>
        <v>60</v>
      </c>
    </row>
    <row r="17" spans="1:39" x14ac:dyDescent="0.25">
      <c r="B17" s="84">
        <f t="shared" si="0"/>
        <v>0</v>
      </c>
      <c r="C17" s="74"/>
      <c r="D17" s="989"/>
      <c r="E17" s="990"/>
      <c r="F17" s="1091">
        <f t="shared" si="8"/>
        <v>0</v>
      </c>
      <c r="G17" s="1081"/>
      <c r="H17" s="1092"/>
      <c r="I17" s="1093">
        <f t="shared" si="9"/>
        <v>0</v>
      </c>
      <c r="L17" s="84">
        <f t="shared" si="1"/>
        <v>0</v>
      </c>
      <c r="M17" s="74"/>
      <c r="N17" s="989"/>
      <c r="O17" s="990"/>
      <c r="P17" s="989">
        <f t="shared" si="2"/>
        <v>0</v>
      </c>
      <c r="Q17" s="1099"/>
      <c r="R17" s="1100"/>
      <c r="S17" s="1101">
        <f t="shared" si="3"/>
        <v>0</v>
      </c>
      <c r="V17" s="84">
        <f t="shared" si="4"/>
        <v>26</v>
      </c>
      <c r="W17" s="74"/>
      <c r="X17" s="277"/>
      <c r="Y17" s="308"/>
      <c r="Z17" s="277">
        <f t="shared" si="10"/>
        <v>0</v>
      </c>
      <c r="AA17" s="278"/>
      <c r="AB17" s="279"/>
      <c r="AC17" s="288">
        <f t="shared" si="11"/>
        <v>260</v>
      </c>
      <c r="AF17" s="84">
        <f t="shared" si="5"/>
        <v>6</v>
      </c>
      <c r="AG17" s="74"/>
      <c r="AH17" s="277"/>
      <c r="AI17" s="308"/>
      <c r="AJ17" s="277">
        <f t="shared" si="6"/>
        <v>0</v>
      </c>
      <c r="AK17" s="278"/>
      <c r="AL17" s="279"/>
      <c r="AM17" s="288">
        <f t="shared" si="7"/>
        <v>60</v>
      </c>
    </row>
    <row r="18" spans="1:39" x14ac:dyDescent="0.25">
      <c r="A18" s="126"/>
      <c r="B18" s="84">
        <f t="shared" si="0"/>
        <v>0</v>
      </c>
      <c r="C18" s="74"/>
      <c r="D18" s="989"/>
      <c r="E18" s="990"/>
      <c r="F18" s="1091">
        <f t="shared" si="8"/>
        <v>0</v>
      </c>
      <c r="G18" s="1081"/>
      <c r="H18" s="1092"/>
      <c r="I18" s="1093">
        <f t="shared" si="9"/>
        <v>0</v>
      </c>
      <c r="K18" s="126"/>
      <c r="L18" s="84">
        <f t="shared" si="1"/>
        <v>0</v>
      </c>
      <c r="M18" s="74"/>
      <c r="N18" s="989"/>
      <c r="O18" s="990"/>
      <c r="P18" s="989">
        <f t="shared" si="2"/>
        <v>0</v>
      </c>
      <c r="Q18" s="689"/>
      <c r="R18" s="991"/>
      <c r="S18" s="288">
        <f t="shared" si="3"/>
        <v>0</v>
      </c>
      <c r="U18" s="126"/>
      <c r="V18" s="84">
        <f t="shared" si="4"/>
        <v>26</v>
      </c>
      <c r="W18" s="74"/>
      <c r="X18" s="277"/>
      <c r="Y18" s="308"/>
      <c r="Z18" s="277">
        <f t="shared" si="10"/>
        <v>0</v>
      </c>
      <c r="AA18" s="278"/>
      <c r="AB18" s="279"/>
      <c r="AC18" s="288">
        <f t="shared" si="11"/>
        <v>260</v>
      </c>
      <c r="AE18" s="126"/>
      <c r="AF18" s="84">
        <f t="shared" si="5"/>
        <v>6</v>
      </c>
      <c r="AG18" s="74"/>
      <c r="AH18" s="277"/>
      <c r="AI18" s="308"/>
      <c r="AJ18" s="277">
        <f t="shared" si="6"/>
        <v>0</v>
      </c>
      <c r="AK18" s="278"/>
      <c r="AL18" s="279"/>
      <c r="AM18" s="288">
        <f t="shared" si="7"/>
        <v>60</v>
      </c>
    </row>
    <row r="19" spans="1:39" x14ac:dyDescent="0.25">
      <c r="A19" s="126"/>
      <c r="B19" s="84">
        <f t="shared" si="0"/>
        <v>0</v>
      </c>
      <c r="C19" s="15"/>
      <c r="D19" s="989"/>
      <c r="E19" s="990"/>
      <c r="F19" s="989">
        <f t="shared" si="8"/>
        <v>0</v>
      </c>
      <c r="G19" s="689"/>
      <c r="H19" s="279"/>
      <c r="I19" s="288">
        <f t="shared" si="9"/>
        <v>0</v>
      </c>
      <c r="K19" s="126"/>
      <c r="L19" s="84">
        <f t="shared" si="1"/>
        <v>0</v>
      </c>
      <c r="M19" s="15"/>
      <c r="N19" s="989"/>
      <c r="O19" s="990"/>
      <c r="P19" s="989">
        <f t="shared" si="2"/>
        <v>0</v>
      </c>
      <c r="Q19" s="689"/>
      <c r="R19" s="991"/>
      <c r="S19" s="288">
        <f t="shared" si="3"/>
        <v>0</v>
      </c>
      <c r="U19" s="126"/>
      <c r="V19" s="84">
        <f t="shared" si="4"/>
        <v>26</v>
      </c>
      <c r="W19" s="15"/>
      <c r="X19" s="277"/>
      <c r="Y19" s="308"/>
      <c r="Z19" s="277">
        <f t="shared" si="10"/>
        <v>0</v>
      </c>
      <c r="AA19" s="278"/>
      <c r="AB19" s="279"/>
      <c r="AC19" s="288">
        <f t="shared" si="11"/>
        <v>260</v>
      </c>
      <c r="AE19" s="126"/>
      <c r="AF19" s="84">
        <f t="shared" si="5"/>
        <v>6</v>
      </c>
      <c r="AG19" s="15"/>
      <c r="AH19" s="277"/>
      <c r="AI19" s="308"/>
      <c r="AJ19" s="277">
        <f t="shared" si="6"/>
        <v>0</v>
      </c>
      <c r="AK19" s="278"/>
      <c r="AL19" s="279"/>
      <c r="AM19" s="288">
        <f t="shared" si="7"/>
        <v>60</v>
      </c>
    </row>
    <row r="20" spans="1:39" x14ac:dyDescent="0.25">
      <c r="A20" s="126"/>
      <c r="B20" s="84">
        <f t="shared" si="0"/>
        <v>0</v>
      </c>
      <c r="C20" s="15"/>
      <c r="D20" s="989"/>
      <c r="E20" s="990"/>
      <c r="F20" s="989">
        <f t="shared" si="8"/>
        <v>0</v>
      </c>
      <c r="G20" s="689"/>
      <c r="H20" s="279"/>
      <c r="I20" s="288">
        <f t="shared" si="9"/>
        <v>0</v>
      </c>
      <c r="K20" s="126"/>
      <c r="L20" s="84">
        <f t="shared" si="1"/>
        <v>0</v>
      </c>
      <c r="M20" s="15"/>
      <c r="N20" s="989"/>
      <c r="O20" s="990"/>
      <c r="P20" s="989">
        <f t="shared" si="2"/>
        <v>0</v>
      </c>
      <c r="Q20" s="689"/>
      <c r="R20" s="991"/>
      <c r="S20" s="288">
        <f t="shared" si="3"/>
        <v>0</v>
      </c>
      <c r="U20" s="126"/>
      <c r="V20" s="84">
        <f t="shared" si="4"/>
        <v>26</v>
      </c>
      <c r="W20" s="15"/>
      <c r="X20" s="277"/>
      <c r="Y20" s="308"/>
      <c r="Z20" s="277">
        <f t="shared" si="10"/>
        <v>0</v>
      </c>
      <c r="AA20" s="278"/>
      <c r="AB20" s="279"/>
      <c r="AC20" s="288">
        <f t="shared" si="11"/>
        <v>260</v>
      </c>
      <c r="AE20" s="126"/>
      <c r="AF20" s="84">
        <f t="shared" si="5"/>
        <v>6</v>
      </c>
      <c r="AG20" s="15"/>
      <c r="AH20" s="277"/>
      <c r="AI20" s="308"/>
      <c r="AJ20" s="277">
        <f t="shared" si="6"/>
        <v>0</v>
      </c>
      <c r="AK20" s="278"/>
      <c r="AL20" s="279"/>
      <c r="AM20" s="288">
        <f t="shared" si="7"/>
        <v>60</v>
      </c>
    </row>
    <row r="21" spans="1:39" x14ac:dyDescent="0.25">
      <c r="A21" s="126"/>
      <c r="B21" s="84">
        <f t="shared" si="0"/>
        <v>0</v>
      </c>
      <c r="C21" s="15"/>
      <c r="D21" s="989"/>
      <c r="E21" s="990"/>
      <c r="F21" s="989">
        <f t="shared" si="8"/>
        <v>0</v>
      </c>
      <c r="G21" s="689"/>
      <c r="H21" s="279"/>
      <c r="I21" s="288">
        <f t="shared" si="9"/>
        <v>0</v>
      </c>
      <c r="K21" s="126"/>
      <c r="L21" s="84">
        <f t="shared" si="1"/>
        <v>0</v>
      </c>
      <c r="M21" s="15"/>
      <c r="N21" s="989"/>
      <c r="O21" s="990"/>
      <c r="P21" s="989">
        <f t="shared" si="2"/>
        <v>0</v>
      </c>
      <c r="Q21" s="689"/>
      <c r="R21" s="991"/>
      <c r="S21" s="288">
        <f t="shared" si="3"/>
        <v>0</v>
      </c>
      <c r="U21" s="126"/>
      <c r="V21" s="84">
        <f t="shared" si="4"/>
        <v>26</v>
      </c>
      <c r="W21" s="15"/>
      <c r="X21" s="277"/>
      <c r="Y21" s="308"/>
      <c r="Z21" s="277">
        <f t="shared" si="10"/>
        <v>0</v>
      </c>
      <c r="AA21" s="278"/>
      <c r="AB21" s="279"/>
      <c r="AC21" s="288">
        <f t="shared" si="11"/>
        <v>260</v>
      </c>
      <c r="AE21" s="126"/>
      <c r="AF21" s="84">
        <f t="shared" si="5"/>
        <v>6</v>
      </c>
      <c r="AG21" s="15"/>
      <c r="AH21" s="277"/>
      <c r="AI21" s="308"/>
      <c r="AJ21" s="277">
        <f t="shared" si="6"/>
        <v>0</v>
      </c>
      <c r="AK21" s="278"/>
      <c r="AL21" s="279"/>
      <c r="AM21" s="288">
        <f t="shared" si="7"/>
        <v>60</v>
      </c>
    </row>
    <row r="22" spans="1:39" x14ac:dyDescent="0.25">
      <c r="A22" s="126"/>
      <c r="B22" s="294">
        <f t="shared" si="0"/>
        <v>0</v>
      </c>
      <c r="C22" s="15"/>
      <c r="D22" s="989"/>
      <c r="E22" s="990"/>
      <c r="F22" s="989">
        <f t="shared" si="8"/>
        <v>0</v>
      </c>
      <c r="G22" s="689"/>
      <c r="H22" s="279"/>
      <c r="I22" s="288">
        <f t="shared" si="9"/>
        <v>0</v>
      </c>
      <c r="K22" s="126"/>
      <c r="L22" s="294">
        <f t="shared" si="1"/>
        <v>0</v>
      </c>
      <c r="M22" s="15"/>
      <c r="N22" s="989"/>
      <c r="O22" s="990"/>
      <c r="P22" s="989">
        <f t="shared" si="2"/>
        <v>0</v>
      </c>
      <c r="Q22" s="689"/>
      <c r="R22" s="991"/>
      <c r="S22" s="288">
        <f t="shared" si="3"/>
        <v>0</v>
      </c>
      <c r="U22" s="126"/>
      <c r="V22" s="294">
        <f t="shared" si="4"/>
        <v>26</v>
      </c>
      <c r="W22" s="15"/>
      <c r="X22" s="277"/>
      <c r="Y22" s="308"/>
      <c r="Z22" s="277">
        <f t="shared" si="10"/>
        <v>0</v>
      </c>
      <c r="AA22" s="278"/>
      <c r="AB22" s="279"/>
      <c r="AC22" s="288">
        <f t="shared" si="11"/>
        <v>260</v>
      </c>
      <c r="AE22" s="126"/>
      <c r="AF22" s="294">
        <f t="shared" si="5"/>
        <v>6</v>
      </c>
      <c r="AG22" s="15"/>
      <c r="AH22" s="277"/>
      <c r="AI22" s="308"/>
      <c r="AJ22" s="277">
        <f t="shared" si="6"/>
        <v>0</v>
      </c>
      <c r="AK22" s="278"/>
      <c r="AL22" s="279"/>
      <c r="AM22" s="288">
        <f t="shared" si="7"/>
        <v>60</v>
      </c>
    </row>
    <row r="23" spans="1:39" x14ac:dyDescent="0.25">
      <c r="A23" s="127"/>
      <c r="B23" s="294">
        <f t="shared" si="0"/>
        <v>0</v>
      </c>
      <c r="C23" s="15"/>
      <c r="D23" s="989"/>
      <c r="E23" s="990"/>
      <c r="F23" s="989">
        <f t="shared" si="8"/>
        <v>0</v>
      </c>
      <c r="G23" s="689"/>
      <c r="H23" s="279"/>
      <c r="I23" s="288">
        <f t="shared" si="9"/>
        <v>0</v>
      </c>
      <c r="K23" s="127"/>
      <c r="L23" s="294">
        <f t="shared" si="1"/>
        <v>0</v>
      </c>
      <c r="M23" s="15"/>
      <c r="N23" s="989"/>
      <c r="O23" s="990"/>
      <c r="P23" s="989">
        <f t="shared" si="2"/>
        <v>0</v>
      </c>
      <c r="Q23" s="689"/>
      <c r="R23" s="991"/>
      <c r="S23" s="288">
        <f t="shared" si="3"/>
        <v>0</v>
      </c>
      <c r="U23" s="127"/>
      <c r="V23" s="294">
        <f t="shared" si="4"/>
        <v>26</v>
      </c>
      <c r="W23" s="15"/>
      <c r="X23" s="277"/>
      <c r="Y23" s="308"/>
      <c r="Z23" s="277">
        <f t="shared" si="10"/>
        <v>0</v>
      </c>
      <c r="AA23" s="278"/>
      <c r="AB23" s="279"/>
      <c r="AC23" s="288">
        <f t="shared" si="11"/>
        <v>260</v>
      </c>
      <c r="AE23" s="127"/>
      <c r="AF23" s="294">
        <f t="shared" si="5"/>
        <v>6</v>
      </c>
      <c r="AG23" s="15"/>
      <c r="AH23" s="989"/>
      <c r="AI23" s="990"/>
      <c r="AJ23" s="989">
        <f t="shared" si="6"/>
        <v>0</v>
      </c>
      <c r="AK23" s="689"/>
      <c r="AL23" s="991"/>
      <c r="AM23" s="288">
        <f t="shared" si="7"/>
        <v>60</v>
      </c>
    </row>
    <row r="24" spans="1:39" x14ac:dyDescent="0.25">
      <c r="A24" s="126"/>
      <c r="B24" s="294">
        <f t="shared" si="0"/>
        <v>0</v>
      </c>
      <c r="C24" s="15"/>
      <c r="D24" s="989"/>
      <c r="E24" s="990"/>
      <c r="F24" s="989">
        <f t="shared" si="8"/>
        <v>0</v>
      </c>
      <c r="G24" s="689"/>
      <c r="H24" s="279"/>
      <c r="I24" s="288">
        <f t="shared" si="9"/>
        <v>0</v>
      </c>
      <c r="K24" s="126"/>
      <c r="L24" s="294">
        <f t="shared" si="1"/>
        <v>0</v>
      </c>
      <c r="M24" s="15"/>
      <c r="N24" s="989"/>
      <c r="O24" s="990"/>
      <c r="P24" s="989">
        <f t="shared" si="2"/>
        <v>0</v>
      </c>
      <c r="Q24" s="689"/>
      <c r="R24" s="991"/>
      <c r="S24" s="288">
        <f t="shared" si="3"/>
        <v>0</v>
      </c>
      <c r="U24" s="126"/>
      <c r="V24" s="294">
        <f t="shared" si="4"/>
        <v>26</v>
      </c>
      <c r="W24" s="15"/>
      <c r="X24" s="277"/>
      <c r="Y24" s="308"/>
      <c r="Z24" s="277">
        <f t="shared" si="10"/>
        <v>0</v>
      </c>
      <c r="AA24" s="278"/>
      <c r="AB24" s="279"/>
      <c r="AC24" s="288">
        <f t="shared" si="11"/>
        <v>260</v>
      </c>
      <c r="AE24" s="126"/>
      <c r="AF24" s="294">
        <f t="shared" si="5"/>
        <v>6</v>
      </c>
      <c r="AG24" s="15"/>
      <c r="AH24" s="989"/>
      <c r="AI24" s="990"/>
      <c r="AJ24" s="989">
        <f t="shared" si="6"/>
        <v>0</v>
      </c>
      <c r="AK24" s="689"/>
      <c r="AL24" s="991"/>
      <c r="AM24" s="288">
        <f t="shared" si="7"/>
        <v>60</v>
      </c>
    </row>
    <row r="25" spans="1:39" x14ac:dyDescent="0.25">
      <c r="A25" s="126"/>
      <c r="B25" s="294">
        <f t="shared" si="0"/>
        <v>0</v>
      </c>
      <c r="C25" s="15"/>
      <c r="D25" s="989"/>
      <c r="E25" s="990"/>
      <c r="F25" s="989">
        <f t="shared" si="8"/>
        <v>0</v>
      </c>
      <c r="G25" s="689"/>
      <c r="H25" s="279"/>
      <c r="I25" s="288">
        <f t="shared" si="9"/>
        <v>0</v>
      </c>
      <c r="K25" s="126"/>
      <c r="L25" s="294">
        <f t="shared" si="1"/>
        <v>0</v>
      </c>
      <c r="M25" s="15"/>
      <c r="N25" s="989"/>
      <c r="O25" s="990"/>
      <c r="P25" s="989">
        <f t="shared" si="2"/>
        <v>0</v>
      </c>
      <c r="Q25" s="689" t="s">
        <v>22</v>
      </c>
      <c r="R25" s="991"/>
      <c r="S25" s="288">
        <f t="shared" si="3"/>
        <v>0</v>
      </c>
      <c r="U25" s="126"/>
      <c r="V25" s="294">
        <f t="shared" si="4"/>
        <v>26</v>
      </c>
      <c r="W25" s="15"/>
      <c r="X25" s="277"/>
      <c r="Y25" s="308"/>
      <c r="Z25" s="277">
        <f t="shared" si="10"/>
        <v>0</v>
      </c>
      <c r="AA25" s="278"/>
      <c r="AB25" s="279"/>
      <c r="AC25" s="288">
        <f t="shared" si="11"/>
        <v>260</v>
      </c>
      <c r="AE25" s="126"/>
      <c r="AF25" s="294">
        <f t="shared" si="5"/>
        <v>6</v>
      </c>
      <c r="AG25" s="15"/>
      <c r="AH25" s="989"/>
      <c r="AI25" s="990"/>
      <c r="AJ25" s="989">
        <f t="shared" si="6"/>
        <v>0</v>
      </c>
      <c r="AK25" s="689" t="s">
        <v>22</v>
      </c>
      <c r="AL25" s="991"/>
      <c r="AM25" s="288">
        <f t="shared" si="7"/>
        <v>60</v>
      </c>
    </row>
    <row r="26" spans="1:39" x14ac:dyDescent="0.25">
      <c r="A26" s="126"/>
      <c r="B26" s="205">
        <f t="shared" si="0"/>
        <v>0</v>
      </c>
      <c r="C26" s="15"/>
      <c r="D26" s="989"/>
      <c r="E26" s="990"/>
      <c r="F26" s="989">
        <f t="shared" si="8"/>
        <v>0</v>
      </c>
      <c r="G26" s="689"/>
      <c r="H26" s="279"/>
      <c r="I26" s="288">
        <f t="shared" si="9"/>
        <v>0</v>
      </c>
      <c r="K26" s="126"/>
      <c r="L26" s="205">
        <f t="shared" si="1"/>
        <v>0</v>
      </c>
      <c r="M26" s="15"/>
      <c r="N26" s="989"/>
      <c r="O26" s="990"/>
      <c r="P26" s="989">
        <f t="shared" si="2"/>
        <v>0</v>
      </c>
      <c r="Q26" s="689"/>
      <c r="R26" s="991"/>
      <c r="S26" s="288">
        <f t="shared" si="3"/>
        <v>0</v>
      </c>
      <c r="U26" s="126"/>
      <c r="V26" s="205">
        <f t="shared" si="4"/>
        <v>26</v>
      </c>
      <c r="W26" s="15"/>
      <c r="X26" s="277"/>
      <c r="Y26" s="308"/>
      <c r="Z26" s="277">
        <f t="shared" si="10"/>
        <v>0</v>
      </c>
      <c r="AA26" s="278"/>
      <c r="AB26" s="279"/>
      <c r="AC26" s="288">
        <f t="shared" si="11"/>
        <v>260</v>
      </c>
      <c r="AE26" s="126"/>
      <c r="AF26" s="205">
        <f t="shared" si="5"/>
        <v>6</v>
      </c>
      <c r="AG26" s="15"/>
      <c r="AH26" s="989"/>
      <c r="AI26" s="990"/>
      <c r="AJ26" s="989">
        <f t="shared" si="6"/>
        <v>0</v>
      </c>
      <c r="AK26" s="689"/>
      <c r="AL26" s="991"/>
      <c r="AM26" s="288">
        <f t="shared" si="7"/>
        <v>60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9"/>
      <c r="O27" s="990"/>
      <c r="P27" s="989">
        <f t="shared" si="2"/>
        <v>0</v>
      </c>
      <c r="Q27" s="689"/>
      <c r="R27" s="991"/>
      <c r="S27" s="288">
        <f t="shared" si="3"/>
        <v>0</v>
      </c>
      <c r="U27" s="126"/>
      <c r="V27" s="294">
        <f t="shared" si="4"/>
        <v>26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260</v>
      </c>
      <c r="AE27" s="126"/>
      <c r="AF27" s="294">
        <f t="shared" si="5"/>
        <v>6</v>
      </c>
      <c r="AG27" s="15"/>
      <c r="AH27" s="989"/>
      <c r="AI27" s="990"/>
      <c r="AJ27" s="989">
        <f t="shared" si="6"/>
        <v>0</v>
      </c>
      <c r="AK27" s="689"/>
      <c r="AL27" s="991"/>
      <c r="AM27" s="288">
        <f t="shared" si="7"/>
        <v>60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9"/>
      <c r="O28" s="990"/>
      <c r="P28" s="989">
        <f t="shared" si="2"/>
        <v>0</v>
      </c>
      <c r="Q28" s="689"/>
      <c r="R28" s="991"/>
      <c r="S28" s="288">
        <f t="shared" si="3"/>
        <v>0</v>
      </c>
      <c r="U28" s="126"/>
      <c r="V28" s="205">
        <f t="shared" si="4"/>
        <v>26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260</v>
      </c>
      <c r="AE28" s="126"/>
      <c r="AF28" s="205">
        <f t="shared" si="5"/>
        <v>6</v>
      </c>
      <c r="AG28" s="15"/>
      <c r="AH28" s="989"/>
      <c r="AI28" s="990"/>
      <c r="AJ28" s="989">
        <f t="shared" si="6"/>
        <v>0</v>
      </c>
      <c r="AK28" s="689"/>
      <c r="AL28" s="991"/>
      <c r="AM28" s="288">
        <f t="shared" si="7"/>
        <v>60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26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260</v>
      </c>
      <c r="AE29" s="126"/>
      <c r="AF29" s="294">
        <f t="shared" si="5"/>
        <v>6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60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26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260</v>
      </c>
      <c r="AE30" s="126"/>
      <c r="AF30" s="294">
        <f t="shared" si="5"/>
        <v>6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60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26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260</v>
      </c>
      <c r="AE31" s="126"/>
      <c r="AF31" s="294">
        <f t="shared" si="5"/>
        <v>6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60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26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260</v>
      </c>
      <c r="AE32" s="126"/>
      <c r="AF32" s="294">
        <f t="shared" si="5"/>
        <v>6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60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26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260</v>
      </c>
      <c r="AE33" s="126"/>
      <c r="AF33" s="294">
        <f t="shared" si="5"/>
        <v>6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60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26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260</v>
      </c>
      <c r="AE34" s="126"/>
      <c r="AF34" s="294">
        <f t="shared" si="5"/>
        <v>6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60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26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260</v>
      </c>
      <c r="AE35" s="126"/>
      <c r="AF35" s="294">
        <f t="shared" si="5"/>
        <v>6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60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26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260</v>
      </c>
      <c r="AE36" s="126" t="s">
        <v>22</v>
      </c>
      <c r="AF36" s="294">
        <f t="shared" si="5"/>
        <v>6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60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26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260</v>
      </c>
      <c r="AE37" s="127"/>
      <c r="AF37" s="294">
        <f t="shared" si="5"/>
        <v>6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60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26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260</v>
      </c>
      <c r="AE38" s="126"/>
      <c r="AF38" s="294">
        <f t="shared" si="5"/>
        <v>6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60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26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260</v>
      </c>
      <c r="AE39" s="126"/>
      <c r="AF39" s="84">
        <f t="shared" si="5"/>
        <v>6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60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26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260</v>
      </c>
      <c r="AE40" s="126"/>
      <c r="AF40" s="84">
        <f t="shared" si="5"/>
        <v>6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60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26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260</v>
      </c>
      <c r="AE41" s="126"/>
      <c r="AF41" s="84">
        <f t="shared" si="5"/>
        <v>6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60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26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260</v>
      </c>
      <c r="AE42" s="126"/>
      <c r="AF42" s="84">
        <f t="shared" si="5"/>
        <v>6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60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26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260</v>
      </c>
      <c r="AE43" s="126"/>
      <c r="AF43" s="84">
        <f t="shared" si="5"/>
        <v>6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60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26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260</v>
      </c>
      <c r="AE44" s="126"/>
      <c r="AF44" s="84">
        <f t="shared" si="5"/>
        <v>6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60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26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260</v>
      </c>
      <c r="AE45" s="126"/>
      <c r="AF45" s="84">
        <f t="shared" si="5"/>
        <v>6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60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26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260</v>
      </c>
      <c r="AE46" s="126"/>
      <c r="AF46" s="84">
        <f t="shared" si="5"/>
        <v>6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60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26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260</v>
      </c>
      <c r="AE47" s="126"/>
      <c r="AF47" s="84">
        <f t="shared" si="5"/>
        <v>6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60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26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260</v>
      </c>
      <c r="AE48" s="126"/>
      <c r="AF48" s="84">
        <f t="shared" si="5"/>
        <v>6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60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26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260</v>
      </c>
      <c r="AE49" s="126"/>
      <c r="AF49" s="84">
        <f t="shared" si="5"/>
        <v>6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60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26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260</v>
      </c>
      <c r="AE50" s="126"/>
      <c r="AF50" s="84">
        <f t="shared" si="5"/>
        <v>6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60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26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260</v>
      </c>
      <c r="AE51" s="126"/>
      <c r="AF51" s="84">
        <f t="shared" si="5"/>
        <v>6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60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26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260</v>
      </c>
      <c r="AE52" s="126"/>
      <c r="AF52" s="84">
        <f t="shared" si="5"/>
        <v>6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60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26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260</v>
      </c>
      <c r="AE53" s="126"/>
      <c r="AF53" s="84">
        <f t="shared" si="5"/>
        <v>6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60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26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260</v>
      </c>
      <c r="AE54" s="126"/>
      <c r="AF54" s="84">
        <f t="shared" si="5"/>
        <v>6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60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26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260</v>
      </c>
      <c r="AE55" s="126"/>
      <c r="AF55" s="12">
        <f t="shared" si="5"/>
        <v>6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60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26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260</v>
      </c>
      <c r="AE56" s="126"/>
      <c r="AF56" s="12">
        <f t="shared" si="5"/>
        <v>6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60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26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260</v>
      </c>
      <c r="AE57" s="126"/>
      <c r="AF57" s="12">
        <f t="shared" si="5"/>
        <v>6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60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26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260</v>
      </c>
      <c r="AE58" s="126"/>
      <c r="AF58" s="12">
        <f t="shared" si="5"/>
        <v>6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60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26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260</v>
      </c>
      <c r="AE59" s="126"/>
      <c r="AF59" s="12">
        <f t="shared" si="5"/>
        <v>6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60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26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260</v>
      </c>
      <c r="AE60" s="126"/>
      <c r="AF60" s="12">
        <f t="shared" si="5"/>
        <v>6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60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26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260</v>
      </c>
      <c r="AE61" s="126"/>
      <c r="AF61" s="12">
        <f t="shared" si="5"/>
        <v>6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60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26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260</v>
      </c>
      <c r="AE62" s="126"/>
      <c r="AF62" s="12">
        <f t="shared" si="5"/>
        <v>6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60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26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260</v>
      </c>
      <c r="AE63" s="126"/>
      <c r="AF63" s="12">
        <f t="shared" si="5"/>
        <v>6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60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26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260</v>
      </c>
      <c r="AE64" s="126"/>
      <c r="AF64" s="12">
        <f t="shared" si="5"/>
        <v>6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60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26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260</v>
      </c>
      <c r="AE65" s="126"/>
      <c r="AF65" s="12">
        <f t="shared" si="5"/>
        <v>6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60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26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260</v>
      </c>
      <c r="AE66" s="126"/>
      <c r="AF66" s="12">
        <f t="shared" si="5"/>
        <v>6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60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26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260</v>
      </c>
      <c r="AE67" s="126"/>
      <c r="AF67" s="12">
        <f t="shared" si="5"/>
        <v>6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60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26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260</v>
      </c>
      <c r="AE68" s="126"/>
      <c r="AF68" s="12">
        <f t="shared" si="5"/>
        <v>6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60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26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260</v>
      </c>
      <c r="AE69" s="126"/>
      <c r="AF69" s="12">
        <f t="shared" si="5"/>
        <v>6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60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26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260</v>
      </c>
      <c r="AE70" s="126"/>
      <c r="AF70" s="12">
        <f t="shared" si="5"/>
        <v>6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60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26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260</v>
      </c>
      <c r="AE71" s="126"/>
      <c r="AF71" s="12">
        <f t="shared" si="5"/>
        <v>6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60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26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260</v>
      </c>
      <c r="AE72" s="126"/>
      <c r="AF72" s="12">
        <f t="shared" si="5"/>
        <v>6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60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26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260</v>
      </c>
      <c r="AE73" s="126"/>
      <c r="AF73" s="12">
        <f t="shared" si="5"/>
        <v>6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60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26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260</v>
      </c>
      <c r="AE74" s="126"/>
      <c r="AF74" s="12">
        <f t="shared" ref="AF74:AF75" si="17">AF73-AG74</f>
        <v>6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60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26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260</v>
      </c>
      <c r="AE75" s="126"/>
      <c r="AF75" s="12">
        <f t="shared" si="17"/>
        <v>6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60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260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60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24</v>
      </c>
      <c r="X78" s="6">
        <f>SUM(X9:X77)</f>
        <v>240</v>
      </c>
      <c r="Z78" s="6">
        <f>SUM(Z9:Z77)</f>
        <v>240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26</v>
      </c>
      <c r="AH81" s="45" t="s">
        <v>4</v>
      </c>
      <c r="AI81" s="57">
        <f>AJ5+AJ6-AG78+AJ7</f>
        <v>6</v>
      </c>
    </row>
    <row r="82" spans="3:36" ht="15.75" thickBot="1" x14ac:dyDescent="0.3"/>
    <row r="83" spans="3:36" ht="15.75" thickBot="1" x14ac:dyDescent="0.3">
      <c r="C83" s="1162" t="s">
        <v>11</v>
      </c>
      <c r="D83" s="1163"/>
      <c r="E83" s="58">
        <f>E5+E6-F78+E7</f>
        <v>0</v>
      </c>
      <c r="F83" s="74"/>
      <c r="M83" s="1162" t="s">
        <v>11</v>
      </c>
      <c r="N83" s="1163"/>
      <c r="O83" s="58">
        <f>O5+O6-P78+O7</f>
        <v>0</v>
      </c>
      <c r="P83" s="74"/>
      <c r="W83" s="1162" t="s">
        <v>11</v>
      </c>
      <c r="X83" s="1163"/>
      <c r="Y83" s="58">
        <f>Y5+Y6-Z78+Y7</f>
        <v>260</v>
      </c>
      <c r="Z83" s="74"/>
      <c r="AG83" s="1162" t="s">
        <v>11</v>
      </c>
      <c r="AH83" s="1163"/>
      <c r="AI83" s="58">
        <f>AI5+AI6-AJ78+AI7</f>
        <v>60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3" sqref="C1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00" t="s">
        <v>248</v>
      </c>
      <c r="B1" s="1200"/>
      <c r="C1" s="1200"/>
      <c r="D1" s="1200"/>
      <c r="E1" s="1200"/>
      <c r="F1" s="1200"/>
      <c r="G1" s="1200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359">
        <v>499.6</v>
      </c>
      <c r="F4" s="330">
        <v>19</v>
      </c>
      <c r="G4" s="74"/>
    </row>
    <row r="5" spans="1:11" ht="15" customHeight="1" x14ac:dyDescent="0.25">
      <c r="A5" s="1207" t="s">
        <v>417</v>
      </c>
      <c r="B5" s="1205" t="s">
        <v>73</v>
      </c>
      <c r="C5" s="305">
        <v>53</v>
      </c>
      <c r="D5" s="458">
        <v>44553</v>
      </c>
      <c r="E5" s="359">
        <v>2984.3</v>
      </c>
      <c r="F5" s="330">
        <v>105</v>
      </c>
      <c r="G5" s="317">
        <f>F37</f>
        <v>2928.23</v>
      </c>
      <c r="H5" s="59">
        <f>E4+E5+E6-G5</f>
        <v>1170.98</v>
      </c>
    </row>
    <row r="6" spans="1:11" ht="16.5" customHeight="1" x14ac:dyDescent="0.25">
      <c r="A6" s="1207"/>
      <c r="B6" s="1206"/>
      <c r="C6" s="305">
        <v>54</v>
      </c>
      <c r="D6" s="458">
        <v>44559</v>
      </c>
      <c r="E6" s="359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07"/>
      <c r="B7" s="1206"/>
      <c r="C7" s="305"/>
      <c r="D7" s="458"/>
      <c r="E7" s="359"/>
      <c r="F7" s="330"/>
      <c r="G7" s="256"/>
      <c r="H7" s="253"/>
      <c r="I7" s="747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201" t="s">
        <v>50</v>
      </c>
      <c r="J8" s="120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8" t="s">
        <v>15</v>
      </c>
      <c r="H9" s="749"/>
      <c r="I9" s="1202"/>
      <c r="J9" s="1204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583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5">
        <v>44553</v>
      </c>
      <c r="F11" s="277">
        <f t="shared" si="0"/>
        <v>1871.69</v>
      </c>
      <c r="G11" s="278" t="s">
        <v>601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>
        <v>20</v>
      </c>
      <c r="D12" s="162">
        <v>556.94000000000005</v>
      </c>
      <c r="E12" s="346">
        <v>44556</v>
      </c>
      <c r="F12" s="277">
        <f t="shared" si="0"/>
        <v>556.94000000000005</v>
      </c>
      <c r="G12" s="278" t="s">
        <v>622</v>
      </c>
      <c r="H12" s="279">
        <v>55</v>
      </c>
      <c r="I12" s="280">
        <f t="shared" ref="I12:I26" si="1">I11-F12</f>
        <v>1170.98</v>
      </c>
      <c r="J12" s="281">
        <f t="shared" ref="J12:J26" si="2">J11-C12</f>
        <v>41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1170.98</v>
      </c>
      <c r="J13" s="281">
        <f t="shared" si="2"/>
        <v>41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1170.98</v>
      </c>
      <c r="J14" s="281">
        <f t="shared" si="2"/>
        <v>41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1170.98</v>
      </c>
      <c r="J15" s="281">
        <f t="shared" si="2"/>
        <v>41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1170.98</v>
      </c>
      <c r="J16" s="281">
        <f t="shared" si="2"/>
        <v>41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1170.98</v>
      </c>
      <c r="J17" s="281">
        <f t="shared" si="2"/>
        <v>41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9"/>
      <c r="H18" s="279"/>
      <c r="I18" s="280">
        <f t="shared" si="1"/>
        <v>1170.98</v>
      </c>
      <c r="J18" s="281">
        <f t="shared" si="2"/>
        <v>41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1170.98</v>
      </c>
      <c r="J19" s="281">
        <f t="shared" si="2"/>
        <v>41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1170.98</v>
      </c>
      <c r="J20" s="281">
        <f t="shared" si="2"/>
        <v>41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1170.98</v>
      </c>
      <c r="J21" s="281">
        <f t="shared" si="2"/>
        <v>41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1170.98</v>
      </c>
      <c r="J22" s="281">
        <f t="shared" si="2"/>
        <v>41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1170.98</v>
      </c>
      <c r="J23" s="281">
        <f t="shared" si="2"/>
        <v>41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1170.98</v>
      </c>
      <c r="J24" s="131">
        <f t="shared" si="2"/>
        <v>41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1170.98</v>
      </c>
      <c r="J25" s="131">
        <f t="shared" si="2"/>
        <v>41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1170.98</v>
      </c>
      <c r="J26" s="131">
        <f t="shared" si="2"/>
        <v>41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104</v>
      </c>
      <c r="D37" s="162">
        <v>0</v>
      </c>
      <c r="E37" s="38"/>
      <c r="F37" s="5">
        <f>SUM(F10:F36)</f>
        <v>2928.23</v>
      </c>
    </row>
    <row r="38" spans="1:8" ht="15.75" thickBot="1" x14ac:dyDescent="0.3">
      <c r="A38" s="51"/>
      <c r="D38" s="162">
        <v>0</v>
      </c>
      <c r="E38" s="69">
        <f>F4+F5+F6-+C37</f>
        <v>41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85" t="s">
        <v>11</v>
      </c>
      <c r="D40" s="1186"/>
      <c r="E40" s="152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H18" sqref="H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00" t="s">
        <v>248</v>
      </c>
      <c r="B1" s="1200"/>
      <c r="C1" s="1200"/>
      <c r="D1" s="1200"/>
      <c r="E1" s="1200"/>
      <c r="F1" s="1200"/>
      <c r="G1" s="1200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07" t="s">
        <v>68</v>
      </c>
      <c r="B5" s="1208" t="s">
        <v>577</v>
      </c>
      <c r="C5" s="305"/>
      <c r="D5" s="458"/>
      <c r="E5" s="359"/>
      <c r="F5" s="330"/>
      <c r="G5" s="317">
        <f>F37</f>
        <v>495</v>
      </c>
      <c r="H5" s="59">
        <f>E4+E5+E6-G5</f>
        <v>495</v>
      </c>
    </row>
    <row r="6" spans="1:11" ht="16.5" customHeight="1" x14ac:dyDescent="0.25">
      <c r="A6" s="1207"/>
      <c r="B6" s="1209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07"/>
      <c r="B7" s="1209"/>
      <c r="C7" s="305"/>
      <c r="D7" s="458"/>
      <c r="E7" s="359"/>
      <c r="F7" s="330"/>
      <c r="G7" s="256"/>
      <c r="H7" s="253"/>
      <c r="I7" s="747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201" t="s">
        <v>50</v>
      </c>
      <c r="J8" s="120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8" t="s">
        <v>15</v>
      </c>
      <c r="H9" s="749"/>
      <c r="I9" s="1202"/>
      <c r="J9" s="1204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576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5">
        <v>2</v>
      </c>
      <c r="D11" s="162">
        <f t="shared" ref="D11:D28" si="1">C11*B11</f>
        <v>30</v>
      </c>
      <c r="E11" s="865">
        <v>44552</v>
      </c>
      <c r="F11" s="277">
        <f t="shared" si="0"/>
        <v>30</v>
      </c>
      <c r="G11" s="278" t="s">
        <v>580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599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603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>
        <v>2</v>
      </c>
      <c r="D14" s="162">
        <f t="shared" si="1"/>
        <v>30</v>
      </c>
      <c r="E14" s="545">
        <v>44556</v>
      </c>
      <c r="F14" s="277">
        <f t="shared" si="0"/>
        <v>30</v>
      </c>
      <c r="G14" s="278" t="s">
        <v>621</v>
      </c>
      <c r="H14" s="279">
        <v>85</v>
      </c>
      <c r="I14" s="280">
        <f t="shared" si="2"/>
        <v>615</v>
      </c>
      <c r="J14" s="281">
        <f t="shared" si="3"/>
        <v>41</v>
      </c>
      <c r="K14" s="253"/>
    </row>
    <row r="15" spans="1:11" x14ac:dyDescent="0.25">
      <c r="A15" s="83" t="s">
        <v>33</v>
      </c>
      <c r="B15" s="84">
        <v>15</v>
      </c>
      <c r="C15" s="15">
        <v>1</v>
      </c>
      <c r="D15" s="162">
        <f t="shared" si="1"/>
        <v>15</v>
      </c>
      <c r="E15" s="545">
        <v>44557</v>
      </c>
      <c r="F15" s="277">
        <f t="shared" si="0"/>
        <v>15</v>
      </c>
      <c r="G15" s="278" t="s">
        <v>628</v>
      </c>
      <c r="H15" s="279">
        <v>85</v>
      </c>
      <c r="I15" s="280">
        <f t="shared" si="2"/>
        <v>600</v>
      </c>
      <c r="J15" s="281">
        <f t="shared" si="3"/>
        <v>40</v>
      </c>
      <c r="K15" s="253"/>
    </row>
    <row r="16" spans="1:11" x14ac:dyDescent="0.25">
      <c r="A16" s="82"/>
      <c r="B16" s="84">
        <v>15</v>
      </c>
      <c r="C16" s="15">
        <v>2</v>
      </c>
      <c r="D16" s="162">
        <f t="shared" si="1"/>
        <v>30</v>
      </c>
      <c r="E16" s="341">
        <v>44558</v>
      </c>
      <c r="F16" s="70">
        <f t="shared" si="0"/>
        <v>30</v>
      </c>
      <c r="G16" s="278" t="s">
        <v>647</v>
      </c>
      <c r="H16" s="279">
        <v>85</v>
      </c>
      <c r="I16" s="280">
        <f t="shared" si="2"/>
        <v>570</v>
      </c>
      <c r="J16" s="281">
        <f t="shared" si="3"/>
        <v>38</v>
      </c>
      <c r="K16" s="253"/>
    </row>
    <row r="17" spans="1:11" x14ac:dyDescent="0.25">
      <c r="A17" s="84"/>
      <c r="B17" s="84">
        <v>15</v>
      </c>
      <c r="C17" s="15">
        <v>5</v>
      </c>
      <c r="D17" s="162">
        <f t="shared" si="1"/>
        <v>75</v>
      </c>
      <c r="E17" s="357">
        <v>44559</v>
      </c>
      <c r="F17" s="70">
        <f t="shared" si="0"/>
        <v>75</v>
      </c>
      <c r="G17" s="278" t="s">
        <v>650</v>
      </c>
      <c r="H17" s="279">
        <v>85</v>
      </c>
      <c r="I17" s="280">
        <f t="shared" si="2"/>
        <v>495</v>
      </c>
      <c r="J17" s="281">
        <f t="shared" si="3"/>
        <v>33</v>
      </c>
      <c r="K17" s="253"/>
    </row>
    <row r="18" spans="1:11" x14ac:dyDescent="0.25">
      <c r="A18" s="2"/>
      <c r="B18" s="84">
        <v>15</v>
      </c>
      <c r="C18" s="15"/>
      <c r="D18" s="162">
        <f t="shared" si="1"/>
        <v>0</v>
      </c>
      <c r="E18" s="357"/>
      <c r="F18" s="70">
        <f t="shared" si="0"/>
        <v>0</v>
      </c>
      <c r="G18" s="669"/>
      <c r="H18" s="279"/>
      <c r="I18" s="280">
        <f t="shared" si="2"/>
        <v>495</v>
      </c>
      <c r="J18" s="281">
        <f t="shared" si="3"/>
        <v>33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495</v>
      </c>
      <c r="J19" s="281">
        <f t="shared" si="3"/>
        <v>33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495</v>
      </c>
      <c r="J20" s="281">
        <f t="shared" si="3"/>
        <v>33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495</v>
      </c>
      <c r="J21" s="281">
        <f t="shared" si="3"/>
        <v>33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495</v>
      </c>
      <c r="J22" s="281">
        <f t="shared" si="3"/>
        <v>33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495</v>
      </c>
      <c r="J23" s="281">
        <f t="shared" si="3"/>
        <v>33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495</v>
      </c>
      <c r="J24" s="131">
        <f t="shared" si="3"/>
        <v>33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495</v>
      </c>
      <c r="J25" s="131">
        <f t="shared" si="3"/>
        <v>33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495</v>
      </c>
      <c r="J26" s="131">
        <f t="shared" si="3"/>
        <v>33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33</v>
      </c>
      <c r="D37" s="162">
        <v>0</v>
      </c>
      <c r="E37" s="38"/>
      <c r="F37" s="5">
        <f>SUM(F10:F36)</f>
        <v>495</v>
      </c>
    </row>
    <row r="38" spans="1:8" ht="15.75" thickBot="1" x14ac:dyDescent="0.3">
      <c r="A38" s="51"/>
      <c r="D38" s="162">
        <v>0</v>
      </c>
      <c r="E38" s="69">
        <f>F4+F5+F6-+C37</f>
        <v>33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85" t="s">
        <v>11</v>
      </c>
      <c r="D40" s="1186"/>
      <c r="E40" s="152">
        <f>E5+E4+E6+-F37</f>
        <v>495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V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64" t="s">
        <v>260</v>
      </c>
      <c r="B1" s="1164"/>
      <c r="C1" s="1164"/>
      <c r="D1" s="1164"/>
      <c r="E1" s="1164"/>
      <c r="F1" s="1164"/>
      <c r="G1" s="1164"/>
      <c r="H1" s="100">
        <v>1</v>
      </c>
      <c r="L1" s="1164" t="str">
        <f>A1</f>
        <v>INVENTARIO     DEL MES DE    NOVIEMBRE    2021</v>
      </c>
      <c r="M1" s="1164"/>
      <c r="N1" s="1164"/>
      <c r="O1" s="1164"/>
      <c r="P1" s="1164"/>
      <c r="Q1" s="1164"/>
      <c r="R1" s="1164"/>
      <c r="S1" s="100">
        <v>2</v>
      </c>
      <c r="W1" s="1168" t="s">
        <v>267</v>
      </c>
      <c r="X1" s="1168"/>
      <c r="Y1" s="1168"/>
      <c r="Z1" s="1168"/>
      <c r="AA1" s="1168"/>
      <c r="AB1" s="1168"/>
      <c r="AC1" s="1168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42">
        <v>245.97</v>
      </c>
      <c r="Q4" s="328">
        <v>14</v>
      </c>
      <c r="W4" s="76"/>
      <c r="X4" s="151"/>
      <c r="Y4" s="260"/>
      <c r="Z4" s="326"/>
      <c r="AA4" s="942">
        <v>513.65</v>
      </c>
      <c r="AB4" s="328">
        <v>38</v>
      </c>
    </row>
    <row r="5" spans="1:32" ht="15" customHeight="1" x14ac:dyDescent="0.25">
      <c r="A5" s="1210" t="s">
        <v>67</v>
      </c>
      <c r="B5" s="1212" t="s">
        <v>102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17" t="s">
        <v>67</v>
      </c>
      <c r="M5" s="1212" t="s">
        <v>102</v>
      </c>
      <c r="N5" s="260">
        <v>60</v>
      </c>
      <c r="O5" s="326">
        <v>44519</v>
      </c>
      <c r="P5" s="943">
        <v>307.74</v>
      </c>
      <c r="Q5" s="330">
        <v>15</v>
      </c>
      <c r="R5" s="317">
        <f>Q98</f>
        <v>2112.96</v>
      </c>
      <c r="S5" s="59">
        <f>P4+P5+P7-R5+P6</f>
        <v>0</v>
      </c>
      <c r="W5" s="1217" t="s">
        <v>268</v>
      </c>
      <c r="X5" s="1219" t="s">
        <v>269</v>
      </c>
      <c r="Y5" s="260">
        <v>64.56</v>
      </c>
      <c r="Z5" s="326">
        <v>44537</v>
      </c>
      <c r="AA5" s="943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10"/>
      <c r="B6" s="1213"/>
      <c r="C6" s="260"/>
      <c r="D6" s="326"/>
      <c r="E6" s="327"/>
      <c r="F6" s="328"/>
      <c r="G6" s="317"/>
      <c r="H6" s="59"/>
      <c r="L6" s="1217"/>
      <c r="M6" s="1213"/>
      <c r="N6" s="260">
        <v>62</v>
      </c>
      <c r="O6" s="326">
        <v>44526</v>
      </c>
      <c r="P6" s="942">
        <v>1027.9100000000001</v>
      </c>
      <c r="Q6" s="328">
        <v>37</v>
      </c>
      <c r="R6" s="317"/>
      <c r="S6" s="59"/>
      <c r="W6" s="1217"/>
      <c r="X6" s="1220"/>
      <c r="Y6" s="260"/>
      <c r="Z6" s="326"/>
      <c r="AA6" s="943"/>
      <c r="AB6" s="330"/>
      <c r="AC6" s="317"/>
      <c r="AD6" s="59"/>
    </row>
    <row r="7" spans="1:32" ht="17.25" thickTop="1" thickBot="1" x14ac:dyDescent="0.3">
      <c r="A7" s="1211"/>
      <c r="B7" s="1214"/>
      <c r="C7" s="260"/>
      <c r="D7" s="326"/>
      <c r="E7" s="329"/>
      <c r="F7" s="330"/>
      <c r="G7" s="253"/>
      <c r="I7" s="1215" t="s">
        <v>3</v>
      </c>
      <c r="J7" s="1222" t="s">
        <v>4</v>
      </c>
      <c r="L7" s="1218"/>
      <c r="M7" s="1214"/>
      <c r="N7" s="260"/>
      <c r="O7" s="326"/>
      <c r="P7" s="942">
        <v>531.34</v>
      </c>
      <c r="Q7" s="328">
        <v>40</v>
      </c>
      <c r="R7" s="253"/>
      <c r="T7" s="1215" t="s">
        <v>3</v>
      </c>
      <c r="U7" s="1222" t="s">
        <v>4</v>
      </c>
      <c r="W7" s="1218"/>
      <c r="X7" s="1221"/>
      <c r="Y7" s="260"/>
      <c r="Z7" s="326"/>
      <c r="AA7" s="942"/>
      <c r="AB7" s="328"/>
      <c r="AC7" s="253"/>
      <c r="AE7" s="1215" t="s">
        <v>3</v>
      </c>
      <c r="AF7" s="1222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16"/>
      <c r="J8" s="1223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16"/>
      <c r="U8" s="1223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16"/>
      <c r="AF8" s="1223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107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7">
        <v>798.42</v>
      </c>
      <c r="P9" s="815">
        <v>44537</v>
      </c>
      <c r="Q9" s="707">
        <f t="shared" ref="Q9:Q13" si="1">O9</f>
        <v>798.42</v>
      </c>
      <c r="R9" s="708" t="s">
        <v>473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502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108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7">
        <v>800.89</v>
      </c>
      <c r="P10" s="815">
        <v>44539</v>
      </c>
      <c r="Q10" s="707">
        <f t="shared" si="1"/>
        <v>800.89</v>
      </c>
      <c r="R10" s="708" t="s">
        <v>502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502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109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7"/>
      <c r="P11" s="815"/>
      <c r="Q11" s="707">
        <f t="shared" si="1"/>
        <v>0</v>
      </c>
      <c r="R11" s="708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502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111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7"/>
      <c r="P12" s="815"/>
      <c r="Q12" s="707">
        <f t="shared" si="1"/>
        <v>0</v>
      </c>
      <c r="R12" s="708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466</v>
      </c>
      <c r="AD12" s="1097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112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7"/>
      <c r="P13" s="815"/>
      <c r="Q13" s="707">
        <f t="shared" si="1"/>
        <v>0</v>
      </c>
      <c r="R13" s="708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512</v>
      </c>
      <c r="AD13" s="1097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113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96"/>
      <c r="T14" s="1094">
        <f t="shared" si="5"/>
        <v>0</v>
      </c>
      <c r="U14" s="1095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521</v>
      </c>
      <c r="AD14" s="1097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110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96"/>
      <c r="T15" s="1094">
        <f t="shared" si="5"/>
        <v>0</v>
      </c>
      <c r="U15" s="1095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114" t="s">
        <v>595</v>
      </c>
      <c r="AD15" s="1097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114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96"/>
      <c r="T16" s="1094">
        <f t="shared" si="5"/>
        <v>0</v>
      </c>
      <c r="U16" s="1095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114" t="s">
        <v>595</v>
      </c>
      <c r="AD16" s="1097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115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96"/>
      <c r="T17" s="1094">
        <f t="shared" si="5"/>
        <v>0</v>
      </c>
      <c r="U17" s="1095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114" t="s">
        <v>595</v>
      </c>
      <c r="AD17" s="1097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9" t="s">
        <v>116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9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115" t="s">
        <v>595</v>
      </c>
      <c r="AD18" s="1097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117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114" t="s">
        <v>595</v>
      </c>
      <c r="AD19" s="1097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118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97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119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97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7">
        <v>111.29</v>
      </c>
      <c r="E22" s="814">
        <v>44474</v>
      </c>
      <c r="F22" s="707">
        <f t="shared" si="10"/>
        <v>111.29</v>
      </c>
      <c r="G22" s="708" t="s">
        <v>127</v>
      </c>
      <c r="H22" s="866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7">
        <v>111.1</v>
      </c>
      <c r="E23" s="814">
        <v>44477</v>
      </c>
      <c r="F23" s="707">
        <f t="shared" si="10"/>
        <v>111.1</v>
      </c>
      <c r="G23" s="708" t="s">
        <v>128</v>
      </c>
      <c r="H23" s="866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7">
        <v>23.29</v>
      </c>
      <c r="E24" s="814">
        <v>44480</v>
      </c>
      <c r="F24" s="707">
        <f t="shared" si="10"/>
        <v>23.29</v>
      </c>
      <c r="G24" s="708" t="s">
        <v>129</v>
      </c>
      <c r="H24" s="866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7">
        <v>48.57</v>
      </c>
      <c r="E25" s="816">
        <v>44482</v>
      </c>
      <c r="F25" s="707">
        <f t="shared" si="10"/>
        <v>48.57</v>
      </c>
      <c r="G25" s="708" t="s">
        <v>130</v>
      </c>
      <c r="H25" s="866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7">
        <v>48.01</v>
      </c>
      <c r="E26" s="816">
        <v>44482</v>
      </c>
      <c r="F26" s="707">
        <f t="shared" si="10"/>
        <v>48.01</v>
      </c>
      <c r="G26" s="708" t="s">
        <v>131</v>
      </c>
      <c r="H26" s="866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7">
        <v>22.83</v>
      </c>
      <c r="E27" s="816">
        <v>44483</v>
      </c>
      <c r="F27" s="707">
        <f t="shared" si="10"/>
        <v>22.83</v>
      </c>
      <c r="G27" s="708" t="s">
        <v>132</v>
      </c>
      <c r="H27" s="866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7">
        <v>106.01</v>
      </c>
      <c r="E28" s="816">
        <v>44485</v>
      </c>
      <c r="F28" s="707">
        <f t="shared" si="10"/>
        <v>106.01</v>
      </c>
      <c r="G28" s="708" t="s">
        <v>134</v>
      </c>
      <c r="H28" s="866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7">
        <v>23.66</v>
      </c>
      <c r="E29" s="814">
        <v>44490</v>
      </c>
      <c r="F29" s="707">
        <f t="shared" si="10"/>
        <v>23.66</v>
      </c>
      <c r="G29" s="689" t="s">
        <v>133</v>
      </c>
      <c r="H29" s="867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97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7">
        <v>97.92</v>
      </c>
      <c r="E30" s="814">
        <v>44491</v>
      </c>
      <c r="F30" s="707">
        <f t="shared" si="10"/>
        <v>97.92</v>
      </c>
      <c r="G30" s="689" t="s">
        <v>135</v>
      </c>
      <c r="H30" s="867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97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7">
        <v>24.87</v>
      </c>
      <c r="E31" s="814">
        <v>44495</v>
      </c>
      <c r="F31" s="707">
        <f t="shared" si="10"/>
        <v>24.87</v>
      </c>
      <c r="G31" s="689" t="s">
        <v>136</v>
      </c>
      <c r="H31" s="867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97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7">
        <v>118.77</v>
      </c>
      <c r="E32" s="814">
        <v>44496</v>
      </c>
      <c r="F32" s="707">
        <f t="shared" si="10"/>
        <v>118.77</v>
      </c>
      <c r="G32" s="689" t="s">
        <v>138</v>
      </c>
      <c r="H32" s="867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97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7">
        <v>99.52</v>
      </c>
      <c r="E33" s="814">
        <v>44501</v>
      </c>
      <c r="F33" s="707">
        <f t="shared" si="10"/>
        <v>99.52</v>
      </c>
      <c r="G33" s="689" t="s">
        <v>143</v>
      </c>
      <c r="H33" s="867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97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7">
        <v>106.22</v>
      </c>
      <c r="E34" s="814">
        <v>44501</v>
      </c>
      <c r="F34" s="707">
        <f t="shared" si="10"/>
        <v>106.22</v>
      </c>
      <c r="G34" s="708" t="s">
        <v>145</v>
      </c>
      <c r="H34" s="866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7">
        <v>51.43</v>
      </c>
      <c r="E35" s="814">
        <v>44501</v>
      </c>
      <c r="F35" s="707">
        <f t="shared" si="10"/>
        <v>51.43</v>
      </c>
      <c r="G35" s="708" t="s">
        <v>145</v>
      </c>
      <c r="H35" s="866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7">
        <v>39.68</v>
      </c>
      <c r="E36" s="815">
        <v>44501</v>
      </c>
      <c r="F36" s="707">
        <f t="shared" si="10"/>
        <v>39.68</v>
      </c>
      <c r="G36" s="708" t="s">
        <v>146</v>
      </c>
      <c r="H36" s="866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7">
        <v>62.83</v>
      </c>
      <c r="E37" s="815">
        <v>44503</v>
      </c>
      <c r="F37" s="707">
        <f t="shared" si="10"/>
        <v>62.83</v>
      </c>
      <c r="G37" s="708" t="s">
        <v>150</v>
      </c>
      <c r="H37" s="866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7">
        <v>122.57</v>
      </c>
      <c r="E38" s="815">
        <v>44505</v>
      </c>
      <c r="F38" s="707">
        <f t="shared" si="10"/>
        <v>122.57</v>
      </c>
      <c r="G38" s="708" t="s">
        <v>153</v>
      </c>
      <c r="H38" s="866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7">
        <v>487.32</v>
      </c>
      <c r="E39" s="815">
        <v>44506</v>
      </c>
      <c r="F39" s="707">
        <f t="shared" si="10"/>
        <v>487.32</v>
      </c>
      <c r="G39" s="708" t="s">
        <v>156</v>
      </c>
      <c r="H39" s="866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8">
        <v>461.89</v>
      </c>
      <c r="E40" s="344">
        <v>44511</v>
      </c>
      <c r="F40" s="240">
        <f t="shared" si="10"/>
        <v>461.89</v>
      </c>
      <c r="G40" s="183" t="s">
        <v>177</v>
      </c>
      <c r="H40" s="962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8">
        <v>1001.41</v>
      </c>
      <c r="E41" s="344">
        <v>44515</v>
      </c>
      <c r="F41" s="240">
        <f t="shared" si="10"/>
        <v>1001.41</v>
      </c>
      <c r="G41" s="183" t="s">
        <v>181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8">
        <v>57.07</v>
      </c>
      <c r="E42" s="344">
        <v>44516</v>
      </c>
      <c r="F42" s="240">
        <f t="shared" si="10"/>
        <v>57.07</v>
      </c>
      <c r="G42" s="183" t="s">
        <v>188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8">
        <v>135.05000000000001</v>
      </c>
      <c r="E43" s="344">
        <v>44516</v>
      </c>
      <c r="F43" s="240">
        <f t="shared" si="10"/>
        <v>135.05000000000001</v>
      </c>
      <c r="G43" s="183" t="s">
        <v>190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8">
        <v>36.01</v>
      </c>
      <c r="E44" s="344">
        <v>44518</v>
      </c>
      <c r="F44" s="240">
        <f t="shared" si="10"/>
        <v>36.01</v>
      </c>
      <c r="G44" s="183" t="s">
        <v>196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8">
        <v>113.18</v>
      </c>
      <c r="E45" s="344">
        <v>44519</v>
      </c>
      <c r="F45" s="240">
        <f t="shared" si="10"/>
        <v>113.18</v>
      </c>
      <c r="G45" s="183" t="s">
        <v>198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8">
        <v>115.1</v>
      </c>
      <c r="E46" s="344">
        <v>44522</v>
      </c>
      <c r="F46" s="240">
        <f t="shared" si="10"/>
        <v>115.1</v>
      </c>
      <c r="G46" s="183" t="s">
        <v>205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63">
        <v>44522</v>
      </c>
      <c r="F47" s="455">
        <f t="shared" si="10"/>
        <v>16.45</v>
      </c>
      <c r="G47" s="447" t="s">
        <v>206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63">
        <v>44522</v>
      </c>
      <c r="F48" s="455">
        <f t="shared" si="10"/>
        <v>64.540000000000006</v>
      </c>
      <c r="G48" s="447" t="s">
        <v>208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8">
        <v>77.78</v>
      </c>
      <c r="E49" s="344">
        <v>44522</v>
      </c>
      <c r="F49" s="240">
        <f t="shared" si="10"/>
        <v>77.78</v>
      </c>
      <c r="G49" s="183" t="s">
        <v>209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8">
        <v>127.11</v>
      </c>
      <c r="E50" s="344">
        <v>44525</v>
      </c>
      <c r="F50" s="240">
        <f t="shared" si="10"/>
        <v>127.11</v>
      </c>
      <c r="G50" s="183" t="s">
        <v>220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8">
        <v>305.42</v>
      </c>
      <c r="E51" s="344">
        <v>44527</v>
      </c>
      <c r="F51" s="240">
        <f t="shared" si="10"/>
        <v>305.42</v>
      </c>
      <c r="G51" s="183" t="s">
        <v>230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8">
        <v>114.6</v>
      </c>
      <c r="E52" s="344">
        <v>44529</v>
      </c>
      <c r="F52" s="240">
        <f t="shared" si="10"/>
        <v>114.6</v>
      </c>
      <c r="G52" s="964" t="s">
        <v>232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8">
        <v>210.66</v>
      </c>
      <c r="E53" s="344">
        <v>44529</v>
      </c>
      <c r="F53" s="240">
        <f t="shared" si="10"/>
        <v>210.66</v>
      </c>
      <c r="G53" s="965" t="s">
        <v>232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8">
        <v>50.19</v>
      </c>
      <c r="E54" s="344">
        <v>44529</v>
      </c>
      <c r="F54" s="240">
        <f t="shared" ref="F54:F95" si="17">D54</f>
        <v>50.19</v>
      </c>
      <c r="G54" s="183" t="s">
        <v>233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8">
        <v>162.79</v>
      </c>
      <c r="E55" s="344">
        <v>44530</v>
      </c>
      <c r="F55" s="240">
        <f t="shared" si="17"/>
        <v>162.79</v>
      </c>
      <c r="G55" s="183" t="s">
        <v>236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8">
        <v>110.9</v>
      </c>
      <c r="E56" s="344">
        <v>44531</v>
      </c>
      <c r="F56" s="240">
        <f t="shared" si="17"/>
        <v>110.9</v>
      </c>
      <c r="G56" s="183" t="s">
        <v>239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8">
        <v>94.29</v>
      </c>
      <c r="E57" s="344">
        <v>44533</v>
      </c>
      <c r="F57" s="240">
        <f t="shared" si="17"/>
        <v>94.29</v>
      </c>
      <c r="G57" s="183" t="s">
        <v>240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8">
        <v>187.77</v>
      </c>
      <c r="E58" s="344">
        <v>44533</v>
      </c>
      <c r="F58" s="240">
        <f t="shared" si="17"/>
        <v>187.77</v>
      </c>
      <c r="G58" s="183" t="s">
        <v>245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7">
        <v>274.69</v>
      </c>
      <c r="E59" s="815">
        <v>44537</v>
      </c>
      <c r="F59" s="707">
        <f t="shared" si="17"/>
        <v>274.69</v>
      </c>
      <c r="G59" s="708" t="s">
        <v>454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7">
        <v>744.15</v>
      </c>
      <c r="E60" s="815">
        <v>44537</v>
      </c>
      <c r="F60" s="707">
        <f t="shared" si="17"/>
        <v>744.15</v>
      </c>
      <c r="G60" s="708" t="s">
        <v>472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7">
        <v>822.39</v>
      </c>
      <c r="E61" s="815">
        <v>44537</v>
      </c>
      <c r="F61" s="707">
        <f t="shared" si="17"/>
        <v>822.39</v>
      </c>
      <c r="G61" s="708" t="s">
        <v>472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7">
        <v>834.3</v>
      </c>
      <c r="E62" s="815">
        <v>44537</v>
      </c>
      <c r="F62" s="707">
        <f t="shared" si="17"/>
        <v>834.3</v>
      </c>
      <c r="G62" s="708" t="s">
        <v>473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7">
        <v>835.09</v>
      </c>
      <c r="E63" s="815">
        <v>44537</v>
      </c>
      <c r="F63" s="707">
        <f t="shared" si="17"/>
        <v>835.09</v>
      </c>
      <c r="G63" s="708" t="s">
        <v>473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7"/>
      <c r="E64" s="815"/>
      <c r="F64" s="707">
        <f t="shared" si="17"/>
        <v>0</v>
      </c>
      <c r="G64" s="708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7"/>
      <c r="E65" s="815"/>
      <c r="F65" s="707">
        <f t="shared" si="17"/>
        <v>0</v>
      </c>
      <c r="G65" s="708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7"/>
      <c r="E66" s="815"/>
      <c r="F66" s="707">
        <f t="shared" si="17"/>
        <v>0</v>
      </c>
      <c r="G66" s="708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7"/>
      <c r="E67" s="815"/>
      <c r="F67" s="707">
        <f t="shared" si="17"/>
        <v>0</v>
      </c>
      <c r="G67" s="708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7"/>
      <c r="E68" s="815"/>
      <c r="F68" s="707">
        <f t="shared" si="17"/>
        <v>0</v>
      </c>
      <c r="G68" s="708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7">
        <v>531.34</v>
      </c>
      <c r="E69" s="815"/>
      <c r="F69" s="707">
        <f t="shared" si="17"/>
        <v>531.34</v>
      </c>
      <c r="G69" s="1081"/>
      <c r="H69" s="1082"/>
      <c r="I69" s="1094">
        <f t="shared" si="3"/>
        <v>-1.3642420526593924E-12</v>
      </c>
      <c r="J69" s="1095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7"/>
      <c r="E70" s="815"/>
      <c r="F70" s="707">
        <f t="shared" si="17"/>
        <v>0</v>
      </c>
      <c r="G70" s="1081"/>
      <c r="H70" s="1082"/>
      <c r="I70" s="1094">
        <f t="shared" si="3"/>
        <v>-1.3642420526593924E-12</v>
      </c>
      <c r="J70" s="1095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7"/>
      <c r="E71" s="815"/>
      <c r="F71" s="707">
        <f t="shared" si="17"/>
        <v>0</v>
      </c>
      <c r="G71" s="1081"/>
      <c r="H71" s="1082"/>
      <c r="I71" s="1094">
        <f t="shared" si="3"/>
        <v>-1.3642420526593924E-12</v>
      </c>
      <c r="J71" s="1095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7"/>
      <c r="E72" s="815"/>
      <c r="F72" s="707">
        <f t="shared" si="17"/>
        <v>0</v>
      </c>
      <c r="G72" s="1081"/>
      <c r="H72" s="1082"/>
      <c r="I72" s="1094">
        <f t="shared" si="3"/>
        <v>-1.3642420526593924E-12</v>
      </c>
      <c r="J72" s="1095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7"/>
      <c r="E73" s="815"/>
      <c r="F73" s="707">
        <f t="shared" si="17"/>
        <v>0</v>
      </c>
      <c r="G73" s="1081"/>
      <c r="H73" s="1082"/>
      <c r="I73" s="1094">
        <f t="shared" si="3"/>
        <v>-1.3642420526593924E-12</v>
      </c>
      <c r="J73" s="1095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7"/>
      <c r="E74" s="815"/>
      <c r="F74" s="707">
        <f t="shared" si="17"/>
        <v>0</v>
      </c>
      <c r="G74" s="708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7"/>
      <c r="E75" s="815"/>
      <c r="F75" s="707">
        <f t="shared" si="17"/>
        <v>0</v>
      </c>
      <c r="G75" s="708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7"/>
      <c r="E76" s="815"/>
      <c r="F76" s="707">
        <f t="shared" si="17"/>
        <v>0</v>
      </c>
      <c r="G76" s="708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7"/>
      <c r="E77" s="815"/>
      <c r="F77" s="707">
        <f t="shared" si="17"/>
        <v>0</v>
      </c>
      <c r="G77" s="708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7"/>
      <c r="E78" s="815"/>
      <c r="F78" s="707">
        <f t="shared" si="17"/>
        <v>0</v>
      </c>
      <c r="G78" s="708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7"/>
      <c r="E79" s="815"/>
      <c r="F79" s="707">
        <f t="shared" si="17"/>
        <v>0</v>
      </c>
      <c r="G79" s="708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7"/>
      <c r="E80" s="815"/>
      <c r="F80" s="707">
        <f t="shared" si="17"/>
        <v>0</v>
      </c>
      <c r="G80" s="708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7"/>
      <c r="E81" s="815"/>
      <c r="F81" s="707">
        <f t="shared" si="17"/>
        <v>0</v>
      </c>
      <c r="G81" s="708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7"/>
      <c r="E82" s="815"/>
      <c r="F82" s="707">
        <f t="shared" si="17"/>
        <v>0</v>
      </c>
      <c r="G82" s="708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7"/>
      <c r="E83" s="815"/>
      <c r="F83" s="707">
        <f t="shared" si="17"/>
        <v>0</v>
      </c>
      <c r="G83" s="708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7"/>
      <c r="E84" s="815"/>
      <c r="F84" s="707">
        <f t="shared" si="17"/>
        <v>0</v>
      </c>
      <c r="G84" s="708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7"/>
      <c r="E85" s="815"/>
      <c r="F85" s="707">
        <f t="shared" si="17"/>
        <v>0</v>
      </c>
      <c r="G85" s="708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7"/>
      <c r="E86" s="815"/>
      <c r="F86" s="707">
        <f t="shared" si="17"/>
        <v>0</v>
      </c>
      <c r="G86" s="708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7"/>
      <c r="E87" s="815"/>
      <c r="F87" s="707">
        <f t="shared" si="17"/>
        <v>0</v>
      </c>
      <c r="G87" s="708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7"/>
      <c r="E88" s="815"/>
      <c r="F88" s="707">
        <f t="shared" si="17"/>
        <v>0</v>
      </c>
      <c r="G88" s="708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7"/>
      <c r="E89" s="815"/>
      <c r="F89" s="707">
        <f t="shared" si="17"/>
        <v>0</v>
      </c>
      <c r="G89" s="708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7"/>
      <c r="E90" s="815"/>
      <c r="F90" s="707">
        <f t="shared" si="17"/>
        <v>0</v>
      </c>
      <c r="G90" s="708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7"/>
      <c r="E91" s="815"/>
      <c r="F91" s="707">
        <f t="shared" si="17"/>
        <v>0</v>
      </c>
      <c r="G91" s="708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7"/>
      <c r="E92" s="815"/>
      <c r="F92" s="707">
        <f t="shared" si="17"/>
        <v>0</v>
      </c>
      <c r="G92" s="708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8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8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8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8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9">
        <f>C97*B34</f>
        <v>0</v>
      </c>
      <c r="E97" s="920"/>
      <c r="F97" s="921">
        <f t="shared" si="10"/>
        <v>0</v>
      </c>
      <c r="G97" s="922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185" t="s">
        <v>11</v>
      </c>
      <c r="D101" s="1186"/>
      <c r="E101" s="152">
        <f>E5+E4+E7+-F98</f>
        <v>0</v>
      </c>
      <c r="L101" s="47"/>
      <c r="N101" s="1185" t="s">
        <v>11</v>
      </c>
      <c r="O101" s="1186"/>
      <c r="P101" s="152">
        <f>P5+P4+P7+-Q98</f>
        <v>-1027.9099999999999</v>
      </c>
      <c r="W101" s="47"/>
      <c r="Y101" s="1185" t="s">
        <v>11</v>
      </c>
      <c r="Z101" s="1186"/>
      <c r="AA101" s="152">
        <f>AA5+AA4+AA7+-AB98</f>
        <v>7957.51</v>
      </c>
    </row>
  </sheetData>
  <sortState ref="N4:Q6">
    <sortCondition ref="O4:O6"/>
  </sortState>
  <mergeCells count="18">
    <mergeCell ref="AE7:AE8"/>
    <mergeCell ref="AF7:AF8"/>
    <mergeCell ref="U7:U8"/>
    <mergeCell ref="J7:J8"/>
    <mergeCell ref="C101:D101"/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2" sqref="D11: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8" t="s">
        <v>267</v>
      </c>
      <c r="B1" s="1168"/>
      <c r="C1" s="1168"/>
      <c r="D1" s="1168"/>
      <c r="E1" s="1168"/>
      <c r="F1" s="1168"/>
      <c r="G1" s="1168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42"/>
      <c r="F4" s="328"/>
    </row>
    <row r="5" spans="1:10" ht="16.5" thickBot="1" x14ac:dyDescent="0.3">
      <c r="A5" s="1217" t="s">
        <v>342</v>
      </c>
      <c r="B5" s="1219" t="s">
        <v>418</v>
      </c>
      <c r="C5" s="260">
        <v>53</v>
      </c>
      <c r="D5" s="326">
        <v>44559</v>
      </c>
      <c r="E5" s="943">
        <v>2513.52</v>
      </c>
      <c r="F5" s="330">
        <v>709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18"/>
      <c r="B6" s="1221"/>
      <c r="C6" s="260"/>
      <c r="D6" s="326"/>
      <c r="E6" s="942"/>
      <c r="F6" s="328"/>
      <c r="G6" s="253"/>
      <c r="I6" s="1215" t="s">
        <v>3</v>
      </c>
      <c r="J6" s="122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16"/>
      <c r="J7" s="1223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709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709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709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709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709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709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709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709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709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9"/>
      <c r="H17" s="262"/>
      <c r="I17" s="280">
        <f t="shared" si="1"/>
        <v>2513.52</v>
      </c>
      <c r="J17" s="281">
        <f t="shared" si="2"/>
        <v>709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709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709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709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709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709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709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709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709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709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709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709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709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709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709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709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709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709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709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709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709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709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709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709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709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709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709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709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709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709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709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709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709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709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709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709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709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709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709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709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709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709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709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709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709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709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185" t="s">
        <v>11</v>
      </c>
      <c r="D100" s="1186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H11" sqref="H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4" t="s">
        <v>256</v>
      </c>
      <c r="B1" s="1164"/>
      <c r="C1" s="1164"/>
      <c r="D1" s="1164"/>
      <c r="E1" s="1164"/>
      <c r="F1" s="1164"/>
      <c r="G1" s="116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181" t="s">
        <v>67</v>
      </c>
      <c r="B5" s="1212" t="s">
        <v>167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1281.28</v>
      </c>
    </row>
    <row r="6" spans="1:11" ht="17.25" thickTop="1" thickBot="1" x14ac:dyDescent="0.3">
      <c r="A6" s="1182"/>
      <c r="B6" s="1214"/>
      <c r="C6" s="260"/>
      <c r="D6" s="326"/>
      <c r="E6" s="329"/>
      <c r="F6" s="330"/>
      <c r="G6" s="253"/>
      <c r="I6" s="1215" t="s">
        <v>3</v>
      </c>
      <c r="J6" s="122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16"/>
      <c r="J7" s="1223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171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7">
        <v>328.28</v>
      </c>
      <c r="E9" s="815">
        <v>44541</v>
      </c>
      <c r="F9" s="989">
        <f t="shared" si="0"/>
        <v>328.28</v>
      </c>
      <c r="G9" s="689" t="s">
        <v>513</v>
      </c>
      <c r="H9" s="867">
        <v>67</v>
      </c>
      <c r="I9" s="280">
        <f>I8-F9</f>
        <v>674.5</v>
      </c>
      <c r="J9" s="281">
        <f>J8-C9</f>
        <v>25</v>
      </c>
      <c r="K9" s="253"/>
    </row>
    <row r="10" spans="1:11" x14ac:dyDescent="0.25">
      <c r="A10" s="205"/>
      <c r="B10" s="84"/>
      <c r="C10" s="15">
        <v>14</v>
      </c>
      <c r="D10" s="817">
        <v>356.2</v>
      </c>
      <c r="E10" s="1000">
        <v>44559</v>
      </c>
      <c r="F10" s="989">
        <f t="shared" si="0"/>
        <v>356.2</v>
      </c>
      <c r="G10" s="689" t="s">
        <v>664</v>
      </c>
      <c r="H10" s="867">
        <v>67</v>
      </c>
      <c r="I10" s="280">
        <f t="shared" ref="I10:I28" si="1">I9-F10</f>
        <v>318.3</v>
      </c>
      <c r="J10" s="281">
        <f t="shared" ref="J10:J28" si="2">J9-C10</f>
        <v>11</v>
      </c>
      <c r="K10" s="253"/>
    </row>
    <row r="11" spans="1:11" x14ac:dyDescent="0.25">
      <c r="A11" s="83" t="s">
        <v>33</v>
      </c>
      <c r="B11" s="84"/>
      <c r="C11" s="15"/>
      <c r="D11" s="817">
        <f t="shared" ref="D11:D28" si="3">C11*B11</f>
        <v>0</v>
      </c>
      <c r="E11" s="1000"/>
      <c r="F11" s="989">
        <f t="shared" si="0"/>
        <v>0</v>
      </c>
      <c r="G11" s="689"/>
      <c r="H11" s="867"/>
      <c r="I11" s="280">
        <f t="shared" si="1"/>
        <v>318.3</v>
      </c>
      <c r="J11" s="281">
        <f t="shared" si="2"/>
        <v>11</v>
      </c>
      <c r="K11" s="253"/>
    </row>
    <row r="12" spans="1:11" x14ac:dyDescent="0.25">
      <c r="A12" s="74"/>
      <c r="B12" s="84"/>
      <c r="C12" s="15"/>
      <c r="D12" s="817">
        <f t="shared" si="3"/>
        <v>0</v>
      </c>
      <c r="E12" s="1000"/>
      <c r="F12" s="989">
        <f t="shared" si="0"/>
        <v>0</v>
      </c>
      <c r="G12" s="689"/>
      <c r="H12" s="867"/>
      <c r="I12" s="280">
        <f t="shared" si="1"/>
        <v>318.3</v>
      </c>
      <c r="J12" s="281">
        <f t="shared" si="2"/>
        <v>11</v>
      </c>
      <c r="K12" s="253"/>
    </row>
    <row r="13" spans="1:11" x14ac:dyDescent="0.25">
      <c r="A13" s="74"/>
      <c r="B13" s="84"/>
      <c r="C13" s="15"/>
      <c r="D13" s="817">
        <f t="shared" si="3"/>
        <v>0</v>
      </c>
      <c r="E13" s="997"/>
      <c r="F13" s="989">
        <f t="shared" si="0"/>
        <v>0</v>
      </c>
      <c r="G13" s="689"/>
      <c r="H13" s="867"/>
      <c r="I13" s="280">
        <f t="shared" si="1"/>
        <v>318.3</v>
      </c>
      <c r="J13" s="281">
        <f t="shared" si="2"/>
        <v>11</v>
      </c>
    </row>
    <row r="14" spans="1:11" x14ac:dyDescent="0.25">
      <c r="B14" s="84"/>
      <c r="C14" s="15"/>
      <c r="D14" s="817">
        <f t="shared" si="3"/>
        <v>0</v>
      </c>
      <c r="E14" s="997"/>
      <c r="F14" s="989">
        <f>D14</f>
        <v>0</v>
      </c>
      <c r="G14" s="689"/>
      <c r="H14" s="867"/>
      <c r="I14" s="280">
        <f t="shared" si="1"/>
        <v>318.3</v>
      </c>
      <c r="J14" s="281">
        <f t="shared" si="2"/>
        <v>11</v>
      </c>
    </row>
    <row r="15" spans="1:11" x14ac:dyDescent="0.25">
      <c r="B15" s="84"/>
      <c r="C15" s="276"/>
      <c r="D15" s="817">
        <f t="shared" si="3"/>
        <v>0</v>
      </c>
      <c r="E15" s="814"/>
      <c r="F15" s="707">
        <f>D15</f>
        <v>0</v>
      </c>
      <c r="G15" s="689"/>
      <c r="H15" s="867"/>
      <c r="I15" s="280">
        <f t="shared" si="1"/>
        <v>318.3</v>
      </c>
      <c r="J15" s="281">
        <f t="shared" si="2"/>
        <v>11</v>
      </c>
    </row>
    <row r="16" spans="1:11" x14ac:dyDescent="0.25">
      <c r="A16" s="82"/>
      <c r="B16" s="84"/>
      <c r="C16" s="15"/>
      <c r="D16" s="817">
        <f t="shared" si="3"/>
        <v>0</v>
      </c>
      <c r="E16" s="816"/>
      <c r="F16" s="707">
        <f>D16</f>
        <v>0</v>
      </c>
      <c r="G16" s="708"/>
      <c r="H16" s="867"/>
      <c r="I16" s="280">
        <f t="shared" si="1"/>
        <v>318.3</v>
      </c>
      <c r="J16" s="281">
        <f t="shared" si="2"/>
        <v>11</v>
      </c>
    </row>
    <row r="17" spans="1:10" x14ac:dyDescent="0.25">
      <c r="A17" s="84"/>
      <c r="B17" s="84"/>
      <c r="C17" s="15"/>
      <c r="D17" s="817">
        <f t="shared" si="3"/>
        <v>0</v>
      </c>
      <c r="E17" s="816"/>
      <c r="F17" s="707">
        <f t="shared" ref="F17:F29" si="4">D17</f>
        <v>0</v>
      </c>
      <c r="G17" s="1003"/>
      <c r="H17" s="867"/>
      <c r="I17" s="280">
        <f t="shared" si="1"/>
        <v>318.3</v>
      </c>
      <c r="J17" s="281">
        <f t="shared" si="2"/>
        <v>11</v>
      </c>
    </row>
    <row r="18" spans="1:10" x14ac:dyDescent="0.25">
      <c r="A18" s="2"/>
      <c r="B18" s="84"/>
      <c r="C18" s="15"/>
      <c r="D18" s="817">
        <f t="shared" si="3"/>
        <v>0</v>
      </c>
      <c r="E18" s="816"/>
      <c r="F18" s="707">
        <f t="shared" si="4"/>
        <v>0</v>
      </c>
      <c r="G18" s="708"/>
      <c r="H18" s="866"/>
      <c r="I18" s="235">
        <f t="shared" si="1"/>
        <v>318.3</v>
      </c>
      <c r="J18" s="131">
        <f t="shared" si="2"/>
        <v>11</v>
      </c>
    </row>
    <row r="19" spans="1:10" x14ac:dyDescent="0.25">
      <c r="A19" s="2"/>
      <c r="B19" s="84"/>
      <c r="C19" s="15"/>
      <c r="D19" s="817">
        <f t="shared" si="3"/>
        <v>0</v>
      </c>
      <c r="E19" s="816"/>
      <c r="F19" s="707">
        <f t="shared" si="4"/>
        <v>0</v>
      </c>
      <c r="G19" s="708"/>
      <c r="H19" s="866"/>
      <c r="I19" s="235">
        <f t="shared" si="1"/>
        <v>318.3</v>
      </c>
      <c r="J19" s="131">
        <f t="shared" si="2"/>
        <v>11</v>
      </c>
    </row>
    <row r="20" spans="1:10" x14ac:dyDescent="0.25">
      <c r="A20" s="2"/>
      <c r="B20" s="84"/>
      <c r="C20" s="15"/>
      <c r="D20" s="817">
        <f t="shared" si="3"/>
        <v>0</v>
      </c>
      <c r="E20" s="814"/>
      <c r="F20" s="707">
        <f t="shared" si="4"/>
        <v>0</v>
      </c>
      <c r="G20" s="708"/>
      <c r="H20" s="866"/>
      <c r="I20" s="235">
        <f t="shared" si="1"/>
        <v>318.3</v>
      </c>
      <c r="J20" s="131">
        <f t="shared" si="2"/>
        <v>11</v>
      </c>
    </row>
    <row r="21" spans="1:10" x14ac:dyDescent="0.25">
      <c r="A21" s="2"/>
      <c r="B21" s="84"/>
      <c r="C21" s="15"/>
      <c r="D21" s="817">
        <f t="shared" si="3"/>
        <v>0</v>
      </c>
      <c r="E21" s="814"/>
      <c r="F21" s="707">
        <f t="shared" si="4"/>
        <v>0</v>
      </c>
      <c r="G21" s="708"/>
      <c r="H21" s="866"/>
      <c r="I21" s="235">
        <f t="shared" si="1"/>
        <v>318.3</v>
      </c>
      <c r="J21" s="131">
        <f t="shared" si="2"/>
        <v>11</v>
      </c>
    </row>
    <row r="22" spans="1:10" x14ac:dyDescent="0.25">
      <c r="A22" s="2"/>
      <c r="B22" s="84"/>
      <c r="C22" s="15"/>
      <c r="D22" s="817">
        <f t="shared" si="3"/>
        <v>0</v>
      </c>
      <c r="E22" s="814"/>
      <c r="F22" s="707">
        <f t="shared" si="4"/>
        <v>0</v>
      </c>
      <c r="G22" s="708"/>
      <c r="H22" s="866"/>
      <c r="I22" s="235">
        <f t="shared" si="1"/>
        <v>318.3</v>
      </c>
      <c r="J22" s="131">
        <f t="shared" si="2"/>
        <v>11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318.3</v>
      </c>
      <c r="J23" s="131">
        <f t="shared" si="2"/>
        <v>11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318.3</v>
      </c>
      <c r="J24" s="131">
        <f t="shared" si="2"/>
        <v>11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318.3</v>
      </c>
      <c r="J25" s="131">
        <f t="shared" si="2"/>
        <v>11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318.3</v>
      </c>
      <c r="J26" s="131">
        <f t="shared" si="2"/>
        <v>11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318.3</v>
      </c>
      <c r="J27" s="131">
        <f t="shared" si="2"/>
        <v>11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318.3</v>
      </c>
      <c r="J28" s="131">
        <f t="shared" si="2"/>
        <v>11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36</v>
      </c>
      <c r="D30" s="48">
        <f>SUM(D8:D29)</f>
        <v>962.98</v>
      </c>
      <c r="E30" s="38"/>
      <c r="F30" s="5">
        <f>SUM(F8:F29)</f>
        <v>962.98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11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85" t="s">
        <v>11</v>
      </c>
      <c r="D33" s="1186"/>
      <c r="E33" s="152">
        <f>E5+E4+E6+-F30</f>
        <v>318.29999999999995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4" t="s">
        <v>256</v>
      </c>
      <c r="B1" s="1164"/>
      <c r="C1" s="1164"/>
      <c r="D1" s="1164"/>
      <c r="E1" s="1164"/>
      <c r="F1" s="1164"/>
      <c r="G1" s="116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24" t="s">
        <v>253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25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26"/>
      <c r="C6" s="260"/>
      <c r="D6" s="258"/>
      <c r="E6" s="486"/>
      <c r="F6" s="281"/>
      <c r="G6" s="253"/>
      <c r="H6" s="253"/>
      <c r="I6" s="1215" t="s">
        <v>3</v>
      </c>
      <c r="J6" s="122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16"/>
      <c r="J7" s="1227"/>
    </row>
    <row r="8" spans="1:10" ht="15.75" thickTop="1" x14ac:dyDescent="0.25">
      <c r="A8" s="81" t="s">
        <v>32</v>
      </c>
      <c r="B8" s="692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92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92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92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92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92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92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92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92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92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92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92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92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92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92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92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92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92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92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92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92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92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92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92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44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92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2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85" t="s">
        <v>11</v>
      </c>
      <c r="D36" s="1186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G21" sqref="G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64" t="s">
        <v>256</v>
      </c>
      <c r="B1" s="1164"/>
      <c r="C1" s="1164"/>
      <c r="D1" s="1164"/>
      <c r="E1" s="1164"/>
      <c r="F1" s="1164"/>
      <c r="G1" s="1164"/>
      <c r="H1" s="11">
        <v>1</v>
      </c>
      <c r="K1" s="1154" t="s">
        <v>248</v>
      </c>
      <c r="L1" s="1154"/>
      <c r="M1" s="1154"/>
      <c r="N1" s="1154"/>
      <c r="O1" s="1154"/>
      <c r="P1" s="1154"/>
      <c r="Q1" s="1154"/>
      <c r="R1" s="378">
        <v>1</v>
      </c>
      <c r="S1" s="633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9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4"/>
    </row>
    <row r="4" spans="1:20" ht="15.75" customHeight="1" thickTop="1" x14ac:dyDescent="0.25">
      <c r="B4" s="1228" t="s">
        <v>72</v>
      </c>
      <c r="C4" s="132"/>
      <c r="D4" s="141"/>
      <c r="E4" s="87"/>
      <c r="F4" s="74"/>
      <c r="G4" s="475"/>
      <c r="K4" s="76"/>
      <c r="L4" s="76"/>
      <c r="M4" s="626"/>
      <c r="N4" s="261"/>
      <c r="O4" s="259"/>
      <c r="P4" s="256"/>
      <c r="Q4" s="1039"/>
      <c r="R4" s="159"/>
      <c r="S4" s="638"/>
    </row>
    <row r="5" spans="1:20" ht="15" customHeight="1" thickBot="1" x14ac:dyDescent="0.3">
      <c r="A5" s="74" t="s">
        <v>67</v>
      </c>
      <c r="B5" s="1229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  <c r="K5" s="1038" t="s">
        <v>67</v>
      </c>
      <c r="L5" s="915" t="s">
        <v>340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5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721"/>
      <c r="M6" s="629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10"/>
      <c r="M7" s="629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6"/>
    </row>
    <row r="9" spans="1:20" ht="15.75" thickTop="1" x14ac:dyDescent="0.25">
      <c r="A9" s="56"/>
      <c r="B9" s="297">
        <f>F4+F5+F6+F7-C9</f>
        <v>61</v>
      </c>
      <c r="C9" s="15"/>
      <c r="D9" s="709"/>
      <c r="E9" s="712"/>
      <c r="F9" s="292">
        <f>D9</f>
        <v>0</v>
      </c>
      <c r="G9" s="334"/>
      <c r="H9" s="279"/>
      <c r="I9" s="283">
        <f>E6+E5+E4-F9+E7</f>
        <v>1493.63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9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61</v>
      </c>
      <c r="C10" s="459"/>
      <c r="D10" s="722"/>
      <c r="E10" s="713"/>
      <c r="F10" s="460">
        <f t="shared" ref="F10:F29" si="0">D10</f>
        <v>0</v>
      </c>
      <c r="G10" s="492"/>
      <c r="H10" s="649"/>
      <c r="I10" s="283">
        <f>I9-F10</f>
        <v>1493.63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61</v>
      </c>
      <c r="C11" s="459"/>
      <c r="D11" s="722"/>
      <c r="E11" s="750"/>
      <c r="F11" s="460">
        <f t="shared" si="0"/>
        <v>0</v>
      </c>
      <c r="G11" s="492"/>
      <c r="H11" s="649"/>
      <c r="I11" s="283">
        <f t="shared" ref="I11:I29" si="4">I10-F11</f>
        <v>1493.63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61</v>
      </c>
      <c r="C12" s="459"/>
      <c r="D12" s="722"/>
      <c r="E12" s="750"/>
      <c r="F12" s="460">
        <f t="shared" si="0"/>
        <v>0</v>
      </c>
      <c r="G12" s="492"/>
      <c r="H12" s="649"/>
      <c r="I12" s="283">
        <f t="shared" si="4"/>
        <v>1493.63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61</v>
      </c>
      <c r="C13" s="459"/>
      <c r="D13" s="722"/>
      <c r="E13" s="750"/>
      <c r="F13" s="460">
        <f t="shared" si="0"/>
        <v>0</v>
      </c>
      <c r="G13" s="492"/>
      <c r="H13" s="649"/>
      <c r="I13" s="283">
        <f t="shared" si="4"/>
        <v>1493.63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61</v>
      </c>
      <c r="C14" s="459"/>
      <c r="D14" s="722"/>
      <c r="E14" s="713"/>
      <c r="F14" s="460">
        <f t="shared" si="0"/>
        <v>0</v>
      </c>
      <c r="G14" s="492"/>
      <c r="H14" s="649"/>
      <c r="I14" s="283">
        <f t="shared" si="4"/>
        <v>1493.63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61</v>
      </c>
      <c r="C15" s="459"/>
      <c r="D15" s="722"/>
      <c r="E15" s="713"/>
      <c r="F15" s="460">
        <f t="shared" si="0"/>
        <v>0</v>
      </c>
      <c r="G15" s="492"/>
      <c r="H15" s="649"/>
      <c r="I15" s="283">
        <f t="shared" si="4"/>
        <v>1493.63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61</v>
      </c>
      <c r="C16" s="459"/>
      <c r="D16" s="722"/>
      <c r="E16" s="713"/>
      <c r="F16" s="460">
        <f t="shared" si="0"/>
        <v>0</v>
      </c>
      <c r="G16" s="492"/>
      <c r="H16" s="649"/>
      <c r="I16" s="283">
        <f t="shared" si="4"/>
        <v>1493.63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61</v>
      </c>
      <c r="C17" s="459"/>
      <c r="D17" s="722"/>
      <c r="E17" s="714"/>
      <c r="F17" s="460">
        <f t="shared" si="0"/>
        <v>0</v>
      </c>
      <c r="G17" s="492"/>
      <c r="H17" s="649"/>
      <c r="I17" s="283">
        <f t="shared" si="4"/>
        <v>1493.63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61</v>
      </c>
      <c r="C18" s="459"/>
      <c r="D18" s="722"/>
      <c r="E18" s="714"/>
      <c r="F18" s="460">
        <f t="shared" si="0"/>
        <v>0</v>
      </c>
      <c r="G18" s="492"/>
      <c r="H18" s="649"/>
      <c r="I18" s="283">
        <f t="shared" si="4"/>
        <v>1493.63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9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61</v>
      </c>
      <c r="C19" s="459"/>
      <c r="D19" s="722"/>
      <c r="E19" s="714"/>
      <c r="F19" s="460">
        <f t="shared" si="0"/>
        <v>0</v>
      </c>
      <c r="G19" s="461"/>
      <c r="H19" s="630"/>
      <c r="I19" s="283">
        <f t="shared" si="4"/>
        <v>1493.63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9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61</v>
      </c>
      <c r="C20" s="459"/>
      <c r="D20" s="722"/>
      <c r="E20" s="714"/>
      <c r="F20" s="460">
        <f t="shared" si="0"/>
        <v>0</v>
      </c>
      <c r="G20" s="461"/>
      <c r="H20" s="630"/>
      <c r="I20" s="283">
        <f t="shared" si="4"/>
        <v>1493.63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9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61</v>
      </c>
      <c r="C21" s="459"/>
      <c r="D21" s="722"/>
      <c r="E21" s="714"/>
      <c r="F21" s="460">
        <f t="shared" si="0"/>
        <v>0</v>
      </c>
      <c r="G21" s="461"/>
      <c r="H21" s="630"/>
      <c r="I21" s="283">
        <f t="shared" si="4"/>
        <v>1493.63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9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61</v>
      </c>
      <c r="C22" s="459"/>
      <c r="D22" s="722"/>
      <c r="E22" s="714"/>
      <c r="F22" s="460">
        <f t="shared" si="0"/>
        <v>0</v>
      </c>
      <c r="G22" s="461"/>
      <c r="H22" s="630"/>
      <c r="I22" s="283">
        <f t="shared" si="4"/>
        <v>1493.63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9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61</v>
      </c>
      <c r="C23" s="459"/>
      <c r="D23" s="722"/>
      <c r="E23" s="714"/>
      <c r="F23" s="460">
        <f t="shared" si="0"/>
        <v>0</v>
      </c>
      <c r="G23" s="461"/>
      <c r="H23" s="630"/>
      <c r="I23" s="283">
        <f t="shared" si="4"/>
        <v>1493.63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9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61</v>
      </c>
      <c r="C24" s="459"/>
      <c r="D24" s="710"/>
      <c r="E24" s="714"/>
      <c r="F24" s="460">
        <f t="shared" si="0"/>
        <v>0</v>
      </c>
      <c r="G24" s="461"/>
      <c r="H24" s="630"/>
      <c r="I24" s="283">
        <f t="shared" si="4"/>
        <v>1493.63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9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61</v>
      </c>
      <c r="C25" s="459"/>
      <c r="D25" s="710"/>
      <c r="E25" s="714"/>
      <c r="F25" s="460">
        <f t="shared" si="0"/>
        <v>0</v>
      </c>
      <c r="G25" s="461"/>
      <c r="H25" s="630"/>
      <c r="I25" s="283">
        <f t="shared" si="4"/>
        <v>1493.63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9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61</v>
      </c>
      <c r="C26" s="459"/>
      <c r="D26" s="710"/>
      <c r="E26" s="714"/>
      <c r="F26" s="460">
        <f t="shared" si="0"/>
        <v>0</v>
      </c>
      <c r="G26" s="461"/>
      <c r="H26" s="630"/>
      <c r="I26" s="283">
        <f t="shared" si="4"/>
        <v>1493.63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9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61</v>
      </c>
      <c r="C27" s="459"/>
      <c r="D27" s="710"/>
      <c r="E27" s="714"/>
      <c r="F27" s="460">
        <f t="shared" si="0"/>
        <v>0</v>
      </c>
      <c r="G27" s="461"/>
      <c r="H27" s="630"/>
      <c r="I27" s="283">
        <f t="shared" si="4"/>
        <v>1493.63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9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61</v>
      </c>
      <c r="C28" s="459"/>
      <c r="D28" s="710"/>
      <c r="E28" s="714"/>
      <c r="F28" s="460">
        <f t="shared" si="0"/>
        <v>0</v>
      </c>
      <c r="G28" s="461"/>
      <c r="H28" s="630"/>
      <c r="I28" s="283">
        <f t="shared" si="4"/>
        <v>1493.63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9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61</v>
      </c>
      <c r="C29" s="459"/>
      <c r="D29" s="710"/>
      <c r="E29" s="714"/>
      <c r="F29" s="460">
        <f t="shared" si="0"/>
        <v>0</v>
      </c>
      <c r="G29" s="461"/>
      <c r="H29" s="495"/>
      <c r="I29" s="283">
        <f t="shared" si="4"/>
        <v>1493.63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10"/>
      <c r="E30" s="715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10"/>
      <c r="E31" s="716"/>
      <c r="F31" s="491"/>
      <c r="G31" s="497"/>
      <c r="H31" s="497"/>
      <c r="K31" s="47"/>
    </row>
    <row r="32" spans="2:20" ht="15.75" thickBot="1" x14ac:dyDescent="0.3">
      <c r="B32" s="75"/>
      <c r="C32" s="462"/>
      <c r="D32" s="711"/>
      <c r="E32" s="717"/>
      <c r="F32" s="498"/>
      <c r="G32" s="500"/>
      <c r="H32" s="500"/>
      <c r="I32" s="396"/>
      <c r="L32" s="207"/>
      <c r="N32" s="1150" t="s">
        <v>21</v>
      </c>
      <c r="O32" s="1151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  <c r="K33" s="129"/>
      <c r="N33" s="1036" t="s">
        <v>4</v>
      </c>
      <c r="O33" s="1037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1493.63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61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4">
    <mergeCell ref="A1:G1"/>
    <mergeCell ref="B4:B5"/>
    <mergeCell ref="K1:Q1"/>
    <mergeCell ref="N32:O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D1" zoomScaleNormal="100" workbookViewId="0">
      <selection activeCell="AM11" sqref="AM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64" t="s">
        <v>256</v>
      </c>
      <c r="B1" s="1164"/>
      <c r="C1" s="1164"/>
      <c r="D1" s="1164"/>
      <c r="E1" s="1164"/>
      <c r="F1" s="1164"/>
      <c r="G1" s="1164"/>
      <c r="H1" s="11">
        <v>1</v>
      </c>
      <c r="K1" s="1164" t="str">
        <f>A1</f>
        <v>INVENTARIO    DEL MES DE NOVIEMBRE 2021</v>
      </c>
      <c r="L1" s="1164"/>
      <c r="M1" s="1164"/>
      <c r="N1" s="1164"/>
      <c r="O1" s="1164"/>
      <c r="P1" s="1164"/>
      <c r="Q1" s="1164"/>
      <c r="R1" s="11">
        <v>2</v>
      </c>
      <c r="V1" s="1164" t="str">
        <f>K1</f>
        <v>INVENTARIO    DEL MES DE NOVIEMBRE 2021</v>
      </c>
      <c r="W1" s="1164"/>
      <c r="X1" s="1164"/>
      <c r="Y1" s="1164"/>
      <c r="Z1" s="1164"/>
      <c r="AA1" s="1164"/>
      <c r="AB1" s="1164"/>
      <c r="AC1" s="11">
        <v>3</v>
      </c>
      <c r="AF1" s="1168" t="s">
        <v>248</v>
      </c>
      <c r="AG1" s="1168"/>
      <c r="AH1" s="1168"/>
      <c r="AI1" s="1168"/>
      <c r="AJ1" s="1168"/>
      <c r="AK1" s="1168"/>
      <c r="AL1" s="1168"/>
      <c r="AM1" s="11">
        <v>4</v>
      </c>
      <c r="AP1" s="1168" t="s">
        <v>248</v>
      </c>
      <c r="AQ1" s="1168"/>
      <c r="AR1" s="1168"/>
      <c r="AS1" s="1168"/>
      <c r="AT1" s="1168"/>
      <c r="AU1" s="1168"/>
      <c r="AV1" s="1168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0"/>
      <c r="N4" s="261"/>
      <c r="O4" s="272"/>
      <c r="P4" s="266"/>
      <c r="Q4" s="166"/>
      <c r="R4" s="166"/>
      <c r="V4" s="12"/>
      <c r="W4" s="12"/>
      <c r="X4" s="907"/>
      <c r="Y4" s="261"/>
      <c r="Z4" s="272"/>
      <c r="AA4" s="266"/>
      <c r="AB4" s="166"/>
      <c r="AC4" s="166"/>
      <c r="AF4" s="12"/>
      <c r="AG4" s="12"/>
      <c r="AH4" s="690"/>
      <c r="AI4" s="261"/>
      <c r="AJ4" s="272"/>
      <c r="AK4" s="266"/>
      <c r="AL4" s="166"/>
      <c r="AM4" s="166"/>
      <c r="AP4" s="12"/>
      <c r="AQ4" s="12"/>
      <c r="AR4" s="907"/>
      <c r="AS4" s="261"/>
      <c r="AT4" s="272"/>
      <c r="AU4" s="266"/>
      <c r="AV4" s="166"/>
      <c r="AW4" s="166"/>
    </row>
    <row r="5" spans="1:50" ht="15" customHeight="1" x14ac:dyDescent="0.25">
      <c r="A5" s="263" t="s">
        <v>103</v>
      </c>
      <c r="B5" s="1165" t="s">
        <v>100</v>
      </c>
      <c r="C5" s="626"/>
      <c r="D5" s="261"/>
      <c r="E5" s="280">
        <v>167.16</v>
      </c>
      <c r="F5" s="266">
        <v>13</v>
      </c>
      <c r="G5" s="273"/>
      <c r="K5" s="263" t="s">
        <v>98</v>
      </c>
      <c r="L5" s="1166" t="s">
        <v>99</v>
      </c>
      <c r="M5" s="626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167" t="s">
        <v>161</v>
      </c>
      <c r="X5" s="876"/>
      <c r="Y5" s="287"/>
      <c r="Z5" s="272"/>
      <c r="AA5" s="266"/>
      <c r="AB5" s="273"/>
      <c r="AF5" s="263" t="s">
        <v>98</v>
      </c>
      <c r="AG5" s="1166" t="s">
        <v>99</v>
      </c>
      <c r="AH5" s="626">
        <v>92</v>
      </c>
      <c r="AI5" s="261">
        <v>44554</v>
      </c>
      <c r="AJ5" s="280">
        <v>496.89</v>
      </c>
      <c r="AK5" s="266">
        <v>41</v>
      </c>
      <c r="AL5" s="273"/>
      <c r="AP5" s="263" t="s">
        <v>98</v>
      </c>
      <c r="AQ5" s="1167" t="s">
        <v>161</v>
      </c>
      <c r="AR5" s="876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50"/>
      <c r="B6" s="1165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66"/>
      <c r="M6" s="876">
        <v>92</v>
      </c>
      <c r="N6" s="261">
        <v>44515</v>
      </c>
      <c r="O6" s="904">
        <v>674.48</v>
      </c>
      <c r="P6" s="256">
        <v>59</v>
      </c>
      <c r="Q6" s="275">
        <f>P78</f>
        <v>1638.64</v>
      </c>
      <c r="R6" s="7">
        <f>O6-Q6+O7+O5-Q5+O4</f>
        <v>-8.5265128291212022E-14</v>
      </c>
      <c r="V6" s="263"/>
      <c r="W6" s="1167"/>
      <c r="X6" s="626">
        <v>120</v>
      </c>
      <c r="Y6" s="261">
        <v>44519</v>
      </c>
      <c r="Z6" s="280">
        <v>474.01</v>
      </c>
      <c r="AA6" s="266">
        <v>40</v>
      </c>
      <c r="AB6" s="275">
        <f>AA78</f>
        <v>783.15999999999985</v>
      </c>
      <c r="AC6" s="7">
        <f>Z6-AB6+Z7+Z5-AB5+Z4</f>
        <v>1.1368683772161603E-13</v>
      </c>
      <c r="AF6" s="263"/>
      <c r="AG6" s="1166"/>
      <c r="AH6" s="876">
        <v>92</v>
      </c>
      <c r="AI6" s="261">
        <v>44560</v>
      </c>
      <c r="AJ6" s="904">
        <v>505.06</v>
      </c>
      <c r="AK6" s="256">
        <v>42</v>
      </c>
      <c r="AL6" s="275">
        <f>AK78</f>
        <v>207.82</v>
      </c>
      <c r="AM6" s="7">
        <f>AJ6-AL6+AJ7+AJ5-AL5+AJ4</f>
        <v>794.13</v>
      </c>
      <c r="AP6" s="263"/>
      <c r="AQ6" s="1167"/>
      <c r="AR6" s="626"/>
      <c r="AS6" s="261"/>
      <c r="AT6" s="280"/>
      <c r="AU6" s="266"/>
      <c r="AV6" s="275">
        <f>AU78</f>
        <v>0</v>
      </c>
      <c r="AW6" s="7">
        <f>AT6-AV6+AT7+AT5-AV5+AT4</f>
        <v>573.66</v>
      </c>
    </row>
    <row r="7" spans="1:50" ht="15.75" thickBot="1" x14ac:dyDescent="0.3">
      <c r="A7" s="253"/>
      <c r="B7" s="285"/>
      <c r="C7" s="877"/>
      <c r="D7" s="261"/>
      <c r="E7" s="70"/>
      <c r="F7" s="74"/>
      <c r="G7" s="253"/>
      <c r="K7" s="253"/>
      <c r="L7" s="285"/>
      <c r="M7" s="876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6">
        <v>120</v>
      </c>
      <c r="Y7" s="261">
        <v>44530</v>
      </c>
      <c r="Z7" s="904">
        <v>309.14999999999998</v>
      </c>
      <c r="AA7" s="309">
        <v>25</v>
      </c>
      <c r="AB7" s="253"/>
      <c r="AF7" s="253"/>
      <c r="AG7" s="285"/>
      <c r="AH7" s="876"/>
      <c r="AI7" s="287"/>
      <c r="AJ7" s="272"/>
      <c r="AK7" s="266"/>
      <c r="AL7" s="253"/>
      <c r="AP7" s="253"/>
      <c r="AQ7" s="285"/>
      <c r="AR7" s="876"/>
      <c r="AS7" s="261"/>
      <c r="AT7" s="904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187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185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203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76</v>
      </c>
      <c r="AH9" s="15">
        <v>7</v>
      </c>
      <c r="AI9" s="277">
        <v>87.58</v>
      </c>
      <c r="AJ9" s="308">
        <v>44554</v>
      </c>
      <c r="AK9" s="277">
        <f t="shared" ref="AK9:AK72" si="3">AI9</f>
        <v>87.58</v>
      </c>
      <c r="AL9" s="278" t="s">
        <v>615</v>
      </c>
      <c r="AM9" s="279">
        <v>95</v>
      </c>
      <c r="AN9" s="288">
        <f>AJ6-AK9+AJ5+AJ7+AJ4</f>
        <v>914.37</v>
      </c>
      <c r="AP9" s="81" t="s">
        <v>32</v>
      </c>
      <c r="AQ9" s="84">
        <f>AU6-AR9+AU5+AU7+AU4</f>
        <v>50</v>
      </c>
      <c r="AR9" s="15"/>
      <c r="AS9" s="277"/>
      <c r="AT9" s="308"/>
      <c r="AU9" s="277">
        <f t="shared" ref="AU9:AU72" si="4">AS9</f>
        <v>0</v>
      </c>
      <c r="AV9" s="278"/>
      <c r="AW9" s="279"/>
      <c r="AX9" s="288">
        <f>AT6-AU9+AT5+AT7+AT4</f>
        <v>573.66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240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187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225</v>
      </c>
      <c r="AC10" s="279">
        <v>125</v>
      </c>
      <c r="AD10" s="288">
        <f>AD9-AA10</f>
        <v>549.75999999999988</v>
      </c>
      <c r="AF10" s="217"/>
      <c r="AG10" s="84">
        <f>AG9-AH10</f>
        <v>66</v>
      </c>
      <c r="AH10" s="74">
        <v>10</v>
      </c>
      <c r="AI10" s="277">
        <v>120.24</v>
      </c>
      <c r="AJ10" s="308">
        <v>44559</v>
      </c>
      <c r="AK10" s="277">
        <f t="shared" si="3"/>
        <v>120.24</v>
      </c>
      <c r="AL10" s="278" t="s">
        <v>662</v>
      </c>
      <c r="AM10" s="279">
        <v>95</v>
      </c>
      <c r="AN10" s="288">
        <f>AN9-AK10</f>
        <v>794.13</v>
      </c>
      <c r="AP10" s="217"/>
      <c r="AQ10" s="84">
        <f>AQ9-AR10</f>
        <v>50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573.66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9">
        <v>192.04</v>
      </c>
      <c r="E11" s="990">
        <v>44551</v>
      </c>
      <c r="F11" s="989">
        <f t="shared" si="0"/>
        <v>192.04</v>
      </c>
      <c r="G11" s="689" t="s">
        <v>576</v>
      </c>
      <c r="H11" s="991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219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9">
        <v>144.16999999999999</v>
      </c>
      <c r="Z11" s="990">
        <v>44538</v>
      </c>
      <c r="AA11" s="989">
        <f t="shared" si="2"/>
        <v>144.16999999999999</v>
      </c>
      <c r="AB11" s="689" t="s">
        <v>478</v>
      </c>
      <c r="AC11" s="991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66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794.13</v>
      </c>
      <c r="AP11" s="205"/>
      <c r="AQ11" s="84">
        <f t="shared" ref="AQ11:AQ54" si="13">AQ10-AR11</f>
        <v>50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573.66</v>
      </c>
    </row>
    <row r="12" spans="1:50" x14ac:dyDescent="0.25">
      <c r="A12" s="205"/>
      <c r="B12" s="84">
        <f t="shared" si="5"/>
        <v>52</v>
      </c>
      <c r="C12" s="15"/>
      <c r="D12" s="989"/>
      <c r="E12" s="990"/>
      <c r="F12" s="989">
        <f t="shared" si="0"/>
        <v>0</v>
      </c>
      <c r="G12" s="689"/>
      <c r="H12" s="991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9">
        <v>249.49</v>
      </c>
      <c r="O12" s="990">
        <v>44536</v>
      </c>
      <c r="P12" s="989">
        <f t="shared" si="1"/>
        <v>249.49</v>
      </c>
      <c r="Q12" s="689" t="s">
        <v>448</v>
      </c>
      <c r="R12" s="991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9">
        <v>183.67</v>
      </c>
      <c r="Z12" s="990">
        <v>44539</v>
      </c>
      <c r="AA12" s="989">
        <f t="shared" si="2"/>
        <v>183.67</v>
      </c>
      <c r="AB12" s="689" t="s">
        <v>503</v>
      </c>
      <c r="AC12" s="991">
        <v>125</v>
      </c>
      <c r="AD12" s="288">
        <f t="shared" si="10"/>
        <v>221.91999999999993</v>
      </c>
      <c r="AF12" s="205"/>
      <c r="AG12" s="84">
        <f t="shared" si="11"/>
        <v>66</v>
      </c>
      <c r="AH12" s="74"/>
      <c r="AI12" s="989"/>
      <c r="AJ12" s="990"/>
      <c r="AK12" s="989">
        <f t="shared" si="3"/>
        <v>0</v>
      </c>
      <c r="AL12" s="689"/>
      <c r="AM12" s="991"/>
      <c r="AN12" s="288">
        <f t="shared" si="12"/>
        <v>794.13</v>
      </c>
      <c r="AP12" s="205"/>
      <c r="AQ12" s="84">
        <f t="shared" si="13"/>
        <v>50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573.66</v>
      </c>
    </row>
    <row r="13" spans="1:50" x14ac:dyDescent="0.25">
      <c r="A13" s="83" t="s">
        <v>33</v>
      </c>
      <c r="B13" s="84">
        <f t="shared" si="5"/>
        <v>52</v>
      </c>
      <c r="C13" s="15"/>
      <c r="D13" s="989"/>
      <c r="E13" s="990"/>
      <c r="F13" s="989">
        <f t="shared" si="0"/>
        <v>0</v>
      </c>
      <c r="G13" s="689"/>
      <c r="H13" s="991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9">
        <v>185.25</v>
      </c>
      <c r="O13" s="990">
        <v>44541</v>
      </c>
      <c r="P13" s="989">
        <f t="shared" si="1"/>
        <v>185.25</v>
      </c>
      <c r="Q13" s="689" t="s">
        <v>512</v>
      </c>
      <c r="R13" s="991">
        <v>90</v>
      </c>
      <c r="S13" s="288">
        <f t="shared" si="8"/>
        <v>624.26</v>
      </c>
      <c r="V13" s="83" t="s">
        <v>33</v>
      </c>
      <c r="W13" s="84">
        <f t="shared" si="9"/>
        <v>8</v>
      </c>
      <c r="X13" s="74">
        <v>10</v>
      </c>
      <c r="Y13" s="989">
        <v>123.13</v>
      </c>
      <c r="Z13" s="990">
        <v>44554</v>
      </c>
      <c r="AA13" s="989">
        <f t="shared" si="2"/>
        <v>123.13</v>
      </c>
      <c r="AB13" s="689" t="s">
        <v>612</v>
      </c>
      <c r="AC13" s="991">
        <v>125</v>
      </c>
      <c r="AD13" s="288">
        <f t="shared" si="10"/>
        <v>98.789999999999935</v>
      </c>
      <c r="AF13" s="83" t="s">
        <v>33</v>
      </c>
      <c r="AG13" s="84">
        <f t="shared" si="11"/>
        <v>66</v>
      </c>
      <c r="AH13" s="74"/>
      <c r="AI13" s="989"/>
      <c r="AJ13" s="990"/>
      <c r="AK13" s="989">
        <f t="shared" si="3"/>
        <v>0</v>
      </c>
      <c r="AL13" s="689"/>
      <c r="AM13" s="991"/>
      <c r="AN13" s="288">
        <f t="shared" si="12"/>
        <v>794.13</v>
      </c>
      <c r="AP13" s="83" t="s">
        <v>33</v>
      </c>
      <c r="AQ13" s="84">
        <f t="shared" si="13"/>
        <v>50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573.66</v>
      </c>
    </row>
    <row r="14" spans="1:50" x14ac:dyDescent="0.25">
      <c r="A14" s="74"/>
      <c r="B14" s="84">
        <f t="shared" si="5"/>
        <v>52</v>
      </c>
      <c r="C14" s="15"/>
      <c r="D14" s="989"/>
      <c r="E14" s="990"/>
      <c r="F14" s="989">
        <f t="shared" si="0"/>
        <v>0</v>
      </c>
      <c r="G14" s="689"/>
      <c r="H14" s="991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9">
        <v>231.49</v>
      </c>
      <c r="O14" s="990">
        <v>44545</v>
      </c>
      <c r="P14" s="989">
        <f t="shared" si="1"/>
        <v>231.49</v>
      </c>
      <c r="Q14" s="689" t="s">
        <v>532</v>
      </c>
      <c r="R14" s="991">
        <v>95</v>
      </c>
      <c r="S14" s="288">
        <f t="shared" si="8"/>
        <v>392.77</v>
      </c>
      <c r="V14" s="74"/>
      <c r="W14" s="84">
        <f t="shared" si="9"/>
        <v>0</v>
      </c>
      <c r="X14" s="74">
        <v>8</v>
      </c>
      <c r="Y14" s="989">
        <v>98.79</v>
      </c>
      <c r="Z14" s="990">
        <v>44558</v>
      </c>
      <c r="AA14" s="989">
        <f t="shared" si="2"/>
        <v>98.79</v>
      </c>
      <c r="AB14" s="689" t="s">
        <v>646</v>
      </c>
      <c r="AC14" s="991">
        <v>125</v>
      </c>
      <c r="AD14" s="288">
        <f t="shared" si="10"/>
        <v>0</v>
      </c>
      <c r="AF14" s="74"/>
      <c r="AG14" s="84">
        <f t="shared" si="11"/>
        <v>66</v>
      </c>
      <c r="AH14" s="74"/>
      <c r="AI14" s="989"/>
      <c r="AJ14" s="990"/>
      <c r="AK14" s="989">
        <f t="shared" si="3"/>
        <v>0</v>
      </c>
      <c r="AL14" s="689"/>
      <c r="AM14" s="991"/>
      <c r="AN14" s="288">
        <f t="shared" si="12"/>
        <v>794.13</v>
      </c>
      <c r="AP14" s="74"/>
      <c r="AQ14" s="84">
        <f t="shared" si="13"/>
        <v>50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573.66</v>
      </c>
    </row>
    <row r="15" spans="1:50" x14ac:dyDescent="0.25">
      <c r="A15" s="74"/>
      <c r="B15" s="84">
        <f t="shared" si="5"/>
        <v>52</v>
      </c>
      <c r="C15" s="15"/>
      <c r="D15" s="989"/>
      <c r="E15" s="990"/>
      <c r="F15" s="989">
        <f t="shared" si="0"/>
        <v>0</v>
      </c>
      <c r="G15" s="689"/>
      <c r="H15" s="991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9">
        <v>119.13</v>
      </c>
      <c r="O15" s="990">
        <v>44548</v>
      </c>
      <c r="P15" s="989">
        <f t="shared" si="1"/>
        <v>119.13</v>
      </c>
      <c r="Q15" s="689" t="s">
        <v>554</v>
      </c>
      <c r="R15" s="991">
        <v>95</v>
      </c>
      <c r="S15" s="288">
        <f t="shared" si="8"/>
        <v>273.64</v>
      </c>
      <c r="V15" s="74"/>
      <c r="W15" s="84">
        <f t="shared" si="9"/>
        <v>0</v>
      </c>
      <c r="X15" s="74"/>
      <c r="Y15" s="989"/>
      <c r="Z15" s="990"/>
      <c r="AA15" s="1239">
        <f t="shared" si="2"/>
        <v>0</v>
      </c>
      <c r="AB15" s="1099"/>
      <c r="AC15" s="1100"/>
      <c r="AD15" s="1101">
        <f t="shared" si="10"/>
        <v>0</v>
      </c>
      <c r="AF15" s="74"/>
      <c r="AG15" s="84">
        <f t="shared" si="11"/>
        <v>66</v>
      </c>
      <c r="AH15" s="74"/>
      <c r="AI15" s="989"/>
      <c r="AJ15" s="990"/>
      <c r="AK15" s="989">
        <f t="shared" si="3"/>
        <v>0</v>
      </c>
      <c r="AL15" s="689"/>
      <c r="AM15" s="991"/>
      <c r="AN15" s="288">
        <f t="shared" si="12"/>
        <v>794.13</v>
      </c>
      <c r="AP15" s="74"/>
      <c r="AQ15" s="84">
        <f t="shared" si="13"/>
        <v>50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573.66</v>
      </c>
    </row>
    <row r="16" spans="1:50" x14ac:dyDescent="0.25">
      <c r="B16" s="84">
        <f t="shared" si="5"/>
        <v>52</v>
      </c>
      <c r="C16" s="15"/>
      <c r="D16" s="989"/>
      <c r="E16" s="990"/>
      <c r="F16" s="989">
        <f t="shared" si="0"/>
        <v>0</v>
      </c>
      <c r="G16" s="689"/>
      <c r="H16" s="991"/>
      <c r="I16" s="288">
        <f t="shared" si="6"/>
        <v>664.98</v>
      </c>
      <c r="L16" s="84">
        <f t="shared" si="7"/>
        <v>8</v>
      </c>
      <c r="M16" s="74">
        <v>15</v>
      </c>
      <c r="N16" s="989">
        <v>177.38</v>
      </c>
      <c r="O16" s="990">
        <v>44551</v>
      </c>
      <c r="P16" s="989">
        <f t="shared" si="1"/>
        <v>177.38</v>
      </c>
      <c r="Q16" s="689" t="s">
        <v>576</v>
      </c>
      <c r="R16" s="991">
        <v>95</v>
      </c>
      <c r="S16" s="288">
        <f t="shared" si="8"/>
        <v>96.259999999999991</v>
      </c>
      <c r="W16" s="84">
        <f t="shared" si="9"/>
        <v>0</v>
      </c>
      <c r="X16" s="74"/>
      <c r="Y16" s="989"/>
      <c r="Z16" s="990"/>
      <c r="AA16" s="1239">
        <f t="shared" si="2"/>
        <v>0</v>
      </c>
      <c r="AB16" s="1099"/>
      <c r="AC16" s="1100"/>
      <c r="AD16" s="1101">
        <f t="shared" si="10"/>
        <v>0</v>
      </c>
      <c r="AG16" s="84">
        <f t="shared" si="11"/>
        <v>66</v>
      </c>
      <c r="AH16" s="74"/>
      <c r="AI16" s="989"/>
      <c r="AJ16" s="990"/>
      <c r="AK16" s="989">
        <f t="shared" si="3"/>
        <v>0</v>
      </c>
      <c r="AL16" s="689"/>
      <c r="AM16" s="991"/>
      <c r="AN16" s="288">
        <f t="shared" si="12"/>
        <v>794.13</v>
      </c>
      <c r="AQ16" s="84">
        <f t="shared" si="13"/>
        <v>50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573.66</v>
      </c>
    </row>
    <row r="17" spans="1:50" x14ac:dyDescent="0.25">
      <c r="B17" s="84">
        <f t="shared" si="5"/>
        <v>52</v>
      </c>
      <c r="C17" s="15"/>
      <c r="D17" s="989"/>
      <c r="E17" s="990"/>
      <c r="F17" s="989">
        <f t="shared" si="0"/>
        <v>0</v>
      </c>
      <c r="G17" s="689"/>
      <c r="H17" s="991"/>
      <c r="I17" s="288">
        <f t="shared" si="6"/>
        <v>664.98</v>
      </c>
      <c r="L17" s="84">
        <f t="shared" si="7"/>
        <v>0</v>
      </c>
      <c r="M17" s="74">
        <v>8</v>
      </c>
      <c r="N17" s="989">
        <v>96.26</v>
      </c>
      <c r="O17" s="990">
        <v>44554</v>
      </c>
      <c r="P17" s="989">
        <f t="shared" si="1"/>
        <v>96.26</v>
      </c>
      <c r="Q17" s="689" t="s">
        <v>612</v>
      </c>
      <c r="R17" s="991">
        <v>95</v>
      </c>
      <c r="S17" s="288">
        <f t="shared" si="8"/>
        <v>0</v>
      </c>
      <c r="W17" s="84">
        <f t="shared" si="9"/>
        <v>0</v>
      </c>
      <c r="X17" s="74"/>
      <c r="Y17" s="989"/>
      <c r="Z17" s="990"/>
      <c r="AA17" s="1239">
        <f t="shared" si="2"/>
        <v>0</v>
      </c>
      <c r="AB17" s="1099"/>
      <c r="AC17" s="1100"/>
      <c r="AD17" s="1101">
        <f t="shared" si="10"/>
        <v>0</v>
      </c>
      <c r="AG17" s="84">
        <f t="shared" si="11"/>
        <v>66</v>
      </c>
      <c r="AH17" s="74"/>
      <c r="AI17" s="989"/>
      <c r="AJ17" s="990"/>
      <c r="AK17" s="989">
        <f t="shared" si="3"/>
        <v>0</v>
      </c>
      <c r="AL17" s="689"/>
      <c r="AM17" s="991"/>
      <c r="AN17" s="288">
        <f t="shared" si="12"/>
        <v>794.13</v>
      </c>
      <c r="AQ17" s="84">
        <f t="shared" si="13"/>
        <v>50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573.66</v>
      </c>
    </row>
    <row r="18" spans="1:50" x14ac:dyDescent="0.25">
      <c r="A18" s="126"/>
      <c r="B18" s="84">
        <f t="shared" si="5"/>
        <v>52</v>
      </c>
      <c r="C18" s="15"/>
      <c r="D18" s="989"/>
      <c r="E18" s="990"/>
      <c r="F18" s="989">
        <f t="shared" si="0"/>
        <v>0</v>
      </c>
      <c r="G18" s="689"/>
      <c r="H18" s="991"/>
      <c r="I18" s="288">
        <f t="shared" si="6"/>
        <v>664.98</v>
      </c>
      <c r="K18" s="126"/>
      <c r="L18" s="84">
        <f t="shared" si="7"/>
        <v>0</v>
      </c>
      <c r="M18" s="74"/>
      <c r="N18" s="989"/>
      <c r="O18" s="990"/>
      <c r="P18" s="1239">
        <f t="shared" si="1"/>
        <v>0</v>
      </c>
      <c r="Q18" s="1099"/>
      <c r="R18" s="1100"/>
      <c r="S18" s="1101">
        <f t="shared" si="8"/>
        <v>0</v>
      </c>
      <c r="V18" s="126"/>
      <c r="W18" s="84">
        <f t="shared" si="9"/>
        <v>0</v>
      </c>
      <c r="X18" s="74"/>
      <c r="Y18" s="989"/>
      <c r="Z18" s="990"/>
      <c r="AA18" s="1239">
        <f t="shared" si="2"/>
        <v>0</v>
      </c>
      <c r="AB18" s="1099"/>
      <c r="AC18" s="1100"/>
      <c r="AD18" s="1101">
        <f t="shared" si="10"/>
        <v>0</v>
      </c>
      <c r="AF18" s="126"/>
      <c r="AG18" s="84">
        <f t="shared" si="11"/>
        <v>66</v>
      </c>
      <c r="AH18" s="74"/>
      <c r="AI18" s="989"/>
      <c r="AJ18" s="990"/>
      <c r="AK18" s="989">
        <f t="shared" si="3"/>
        <v>0</v>
      </c>
      <c r="AL18" s="689"/>
      <c r="AM18" s="991"/>
      <c r="AN18" s="288">
        <f t="shared" si="12"/>
        <v>794.13</v>
      </c>
      <c r="AP18" s="126"/>
      <c r="AQ18" s="84">
        <f t="shared" si="13"/>
        <v>50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573.66</v>
      </c>
    </row>
    <row r="19" spans="1:50" x14ac:dyDescent="0.25">
      <c r="A19" s="126"/>
      <c r="B19" s="84">
        <f t="shared" si="5"/>
        <v>52</v>
      </c>
      <c r="C19" s="15"/>
      <c r="D19" s="989"/>
      <c r="E19" s="990"/>
      <c r="F19" s="989">
        <f t="shared" si="0"/>
        <v>0</v>
      </c>
      <c r="G19" s="689"/>
      <c r="H19" s="991"/>
      <c r="I19" s="288">
        <f t="shared" si="6"/>
        <v>664.98</v>
      </c>
      <c r="K19" s="126"/>
      <c r="L19" s="84">
        <f t="shared" si="7"/>
        <v>0</v>
      </c>
      <c r="M19" s="15"/>
      <c r="N19" s="989"/>
      <c r="O19" s="990"/>
      <c r="P19" s="1239">
        <f t="shared" si="1"/>
        <v>0</v>
      </c>
      <c r="Q19" s="1099"/>
      <c r="R19" s="1100"/>
      <c r="S19" s="1101">
        <f t="shared" si="8"/>
        <v>0</v>
      </c>
      <c r="V19" s="126"/>
      <c r="W19" s="84">
        <f t="shared" si="9"/>
        <v>0</v>
      </c>
      <c r="X19" s="15"/>
      <c r="Y19" s="989"/>
      <c r="Z19" s="990"/>
      <c r="AA19" s="989">
        <f t="shared" si="2"/>
        <v>0</v>
      </c>
      <c r="AB19" s="689"/>
      <c r="AC19" s="991"/>
      <c r="AD19" s="288">
        <f t="shared" si="10"/>
        <v>0</v>
      </c>
      <c r="AF19" s="126"/>
      <c r="AG19" s="84">
        <f t="shared" si="11"/>
        <v>66</v>
      </c>
      <c r="AH19" s="15"/>
      <c r="AI19" s="989"/>
      <c r="AJ19" s="990"/>
      <c r="AK19" s="989">
        <f t="shared" si="3"/>
        <v>0</v>
      </c>
      <c r="AL19" s="689"/>
      <c r="AM19" s="991"/>
      <c r="AN19" s="288">
        <f t="shared" si="12"/>
        <v>794.13</v>
      </c>
      <c r="AP19" s="126"/>
      <c r="AQ19" s="84">
        <f t="shared" si="13"/>
        <v>50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573.66</v>
      </c>
    </row>
    <row r="20" spans="1:50" x14ac:dyDescent="0.25">
      <c r="A20" s="126"/>
      <c r="B20" s="84">
        <f t="shared" si="5"/>
        <v>52</v>
      </c>
      <c r="C20" s="15"/>
      <c r="D20" s="989"/>
      <c r="E20" s="990"/>
      <c r="F20" s="989">
        <f t="shared" si="0"/>
        <v>0</v>
      </c>
      <c r="G20" s="689"/>
      <c r="H20" s="991"/>
      <c r="I20" s="288">
        <f t="shared" si="6"/>
        <v>664.98</v>
      </c>
      <c r="K20" s="126"/>
      <c r="L20" s="84">
        <f t="shared" si="7"/>
        <v>0</v>
      </c>
      <c r="M20" s="15"/>
      <c r="N20" s="989"/>
      <c r="O20" s="990"/>
      <c r="P20" s="1239">
        <f t="shared" si="1"/>
        <v>0</v>
      </c>
      <c r="Q20" s="1099"/>
      <c r="R20" s="1100"/>
      <c r="S20" s="1101">
        <f t="shared" si="8"/>
        <v>0</v>
      </c>
      <c r="V20" s="126"/>
      <c r="W20" s="84">
        <f t="shared" si="9"/>
        <v>0</v>
      </c>
      <c r="X20" s="15"/>
      <c r="Y20" s="989"/>
      <c r="Z20" s="990"/>
      <c r="AA20" s="989">
        <f t="shared" si="2"/>
        <v>0</v>
      </c>
      <c r="AB20" s="689"/>
      <c r="AC20" s="991"/>
      <c r="AD20" s="288">
        <f t="shared" si="10"/>
        <v>0</v>
      </c>
      <c r="AF20" s="126"/>
      <c r="AG20" s="84">
        <f t="shared" si="11"/>
        <v>66</v>
      </c>
      <c r="AH20" s="15"/>
      <c r="AI20" s="989"/>
      <c r="AJ20" s="990"/>
      <c r="AK20" s="989">
        <f t="shared" si="3"/>
        <v>0</v>
      </c>
      <c r="AL20" s="689"/>
      <c r="AM20" s="991"/>
      <c r="AN20" s="288">
        <f t="shared" si="12"/>
        <v>794.13</v>
      </c>
      <c r="AP20" s="126"/>
      <c r="AQ20" s="84">
        <f t="shared" si="13"/>
        <v>50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573.66</v>
      </c>
    </row>
    <row r="21" spans="1:50" x14ac:dyDescent="0.25">
      <c r="A21" s="126"/>
      <c r="B21" s="84">
        <f t="shared" si="5"/>
        <v>52</v>
      </c>
      <c r="C21" s="15"/>
      <c r="D21" s="989"/>
      <c r="E21" s="990"/>
      <c r="F21" s="989">
        <f t="shared" si="0"/>
        <v>0</v>
      </c>
      <c r="G21" s="689"/>
      <c r="H21" s="991"/>
      <c r="I21" s="288">
        <f t="shared" si="6"/>
        <v>664.98</v>
      </c>
      <c r="K21" s="126"/>
      <c r="L21" s="84">
        <f t="shared" si="7"/>
        <v>0</v>
      </c>
      <c r="M21" s="15"/>
      <c r="N21" s="989"/>
      <c r="O21" s="990"/>
      <c r="P21" s="989">
        <f t="shared" si="1"/>
        <v>0</v>
      </c>
      <c r="Q21" s="689"/>
      <c r="R21" s="991"/>
      <c r="S21" s="288">
        <f t="shared" si="8"/>
        <v>0</v>
      </c>
      <c r="V21" s="126"/>
      <c r="W21" s="84">
        <f t="shared" si="9"/>
        <v>0</v>
      </c>
      <c r="X21" s="15"/>
      <c r="Y21" s="989"/>
      <c r="Z21" s="990"/>
      <c r="AA21" s="989">
        <f t="shared" si="2"/>
        <v>0</v>
      </c>
      <c r="AB21" s="689"/>
      <c r="AC21" s="991"/>
      <c r="AD21" s="288">
        <f t="shared" si="10"/>
        <v>0</v>
      </c>
      <c r="AF21" s="126"/>
      <c r="AG21" s="84">
        <f t="shared" si="11"/>
        <v>66</v>
      </c>
      <c r="AH21" s="15"/>
      <c r="AI21" s="989"/>
      <c r="AJ21" s="990"/>
      <c r="AK21" s="989">
        <f t="shared" si="3"/>
        <v>0</v>
      </c>
      <c r="AL21" s="689"/>
      <c r="AM21" s="991"/>
      <c r="AN21" s="288">
        <f t="shared" si="12"/>
        <v>794.13</v>
      </c>
      <c r="AP21" s="126"/>
      <c r="AQ21" s="84">
        <f t="shared" si="13"/>
        <v>50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573.66</v>
      </c>
    </row>
    <row r="22" spans="1:50" x14ac:dyDescent="0.25">
      <c r="A22" s="126"/>
      <c r="B22" s="294">
        <f t="shared" si="5"/>
        <v>52</v>
      </c>
      <c r="C22" s="15"/>
      <c r="D22" s="989"/>
      <c r="E22" s="990"/>
      <c r="F22" s="989">
        <f t="shared" si="0"/>
        <v>0</v>
      </c>
      <c r="G22" s="689"/>
      <c r="H22" s="991"/>
      <c r="I22" s="288">
        <f t="shared" si="6"/>
        <v>664.98</v>
      </c>
      <c r="K22" s="126"/>
      <c r="L22" s="294">
        <f t="shared" si="7"/>
        <v>0</v>
      </c>
      <c r="M22" s="15"/>
      <c r="N22" s="989"/>
      <c r="O22" s="990"/>
      <c r="P22" s="989">
        <f t="shared" si="1"/>
        <v>0</v>
      </c>
      <c r="Q22" s="689"/>
      <c r="R22" s="991"/>
      <c r="S22" s="288">
        <f t="shared" si="8"/>
        <v>0</v>
      </c>
      <c r="V22" s="126"/>
      <c r="W22" s="294">
        <f t="shared" si="9"/>
        <v>0</v>
      </c>
      <c r="X22" s="15"/>
      <c r="Y22" s="989"/>
      <c r="Z22" s="990"/>
      <c r="AA22" s="989">
        <f t="shared" si="2"/>
        <v>0</v>
      </c>
      <c r="AB22" s="689"/>
      <c r="AC22" s="991"/>
      <c r="AD22" s="288">
        <f t="shared" si="10"/>
        <v>0</v>
      </c>
      <c r="AF22" s="126"/>
      <c r="AG22" s="294">
        <f t="shared" si="11"/>
        <v>66</v>
      </c>
      <c r="AH22" s="15"/>
      <c r="AI22" s="989"/>
      <c r="AJ22" s="990"/>
      <c r="AK22" s="989">
        <f t="shared" si="3"/>
        <v>0</v>
      </c>
      <c r="AL22" s="689"/>
      <c r="AM22" s="991"/>
      <c r="AN22" s="288">
        <f t="shared" si="12"/>
        <v>794.13</v>
      </c>
      <c r="AP22" s="126"/>
      <c r="AQ22" s="294">
        <f t="shared" si="13"/>
        <v>50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573.66</v>
      </c>
    </row>
    <row r="23" spans="1:50" x14ac:dyDescent="0.25">
      <c r="A23" s="127"/>
      <c r="B23" s="294">
        <f t="shared" si="5"/>
        <v>52</v>
      </c>
      <c r="C23" s="15"/>
      <c r="D23" s="989"/>
      <c r="E23" s="990"/>
      <c r="F23" s="989">
        <f t="shared" si="0"/>
        <v>0</v>
      </c>
      <c r="G23" s="689"/>
      <c r="H23" s="991"/>
      <c r="I23" s="288">
        <f t="shared" si="6"/>
        <v>664.98</v>
      </c>
      <c r="K23" s="127"/>
      <c r="L23" s="294">
        <f t="shared" si="7"/>
        <v>0</v>
      </c>
      <c r="M23" s="15"/>
      <c r="N23" s="989"/>
      <c r="O23" s="990"/>
      <c r="P23" s="989">
        <f t="shared" si="1"/>
        <v>0</v>
      </c>
      <c r="Q23" s="689"/>
      <c r="R23" s="991"/>
      <c r="S23" s="288">
        <f t="shared" si="8"/>
        <v>0</v>
      </c>
      <c r="V23" s="127"/>
      <c r="W23" s="294">
        <f t="shared" si="9"/>
        <v>0</v>
      </c>
      <c r="X23" s="15"/>
      <c r="Y23" s="989"/>
      <c r="Z23" s="990"/>
      <c r="AA23" s="989">
        <f t="shared" si="2"/>
        <v>0</v>
      </c>
      <c r="AB23" s="689"/>
      <c r="AC23" s="991"/>
      <c r="AD23" s="288">
        <f t="shared" si="10"/>
        <v>0</v>
      </c>
      <c r="AF23" s="127"/>
      <c r="AG23" s="294">
        <f t="shared" si="11"/>
        <v>66</v>
      </c>
      <c r="AH23" s="15"/>
      <c r="AI23" s="989"/>
      <c r="AJ23" s="990"/>
      <c r="AK23" s="989">
        <f t="shared" si="3"/>
        <v>0</v>
      </c>
      <c r="AL23" s="689"/>
      <c r="AM23" s="991"/>
      <c r="AN23" s="288">
        <f t="shared" si="12"/>
        <v>794.13</v>
      </c>
      <c r="AP23" s="127"/>
      <c r="AQ23" s="294">
        <f t="shared" si="13"/>
        <v>50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573.66</v>
      </c>
    </row>
    <row r="24" spans="1:50" x14ac:dyDescent="0.25">
      <c r="A24" s="126"/>
      <c r="B24" s="294">
        <f t="shared" si="5"/>
        <v>52</v>
      </c>
      <c r="C24" s="15"/>
      <c r="D24" s="989"/>
      <c r="E24" s="990"/>
      <c r="F24" s="989">
        <f t="shared" si="0"/>
        <v>0</v>
      </c>
      <c r="G24" s="689"/>
      <c r="H24" s="991"/>
      <c r="I24" s="288">
        <f t="shared" si="6"/>
        <v>664.98</v>
      </c>
      <c r="K24" s="126"/>
      <c r="L24" s="294">
        <f t="shared" si="7"/>
        <v>0</v>
      </c>
      <c r="M24" s="15"/>
      <c r="N24" s="989"/>
      <c r="O24" s="990"/>
      <c r="P24" s="989">
        <f t="shared" si="1"/>
        <v>0</v>
      </c>
      <c r="Q24" s="689"/>
      <c r="R24" s="991"/>
      <c r="S24" s="288">
        <f t="shared" si="8"/>
        <v>0</v>
      </c>
      <c r="V24" s="126"/>
      <c r="W24" s="294">
        <f t="shared" si="9"/>
        <v>0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0</v>
      </c>
      <c r="AF24" s="126"/>
      <c r="AG24" s="294">
        <f t="shared" si="11"/>
        <v>66</v>
      </c>
      <c r="AH24" s="15"/>
      <c r="AI24" s="989"/>
      <c r="AJ24" s="990"/>
      <c r="AK24" s="989">
        <f t="shared" si="3"/>
        <v>0</v>
      </c>
      <c r="AL24" s="689"/>
      <c r="AM24" s="991"/>
      <c r="AN24" s="288">
        <f t="shared" si="12"/>
        <v>794.13</v>
      </c>
      <c r="AP24" s="126"/>
      <c r="AQ24" s="294">
        <f t="shared" si="13"/>
        <v>50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573.66</v>
      </c>
    </row>
    <row r="25" spans="1:50" x14ac:dyDescent="0.25">
      <c r="A25" s="126"/>
      <c r="B25" s="294">
        <f t="shared" si="5"/>
        <v>52</v>
      </c>
      <c r="C25" s="15"/>
      <c r="D25" s="989"/>
      <c r="E25" s="990"/>
      <c r="F25" s="989">
        <f t="shared" si="0"/>
        <v>0</v>
      </c>
      <c r="G25" s="689"/>
      <c r="H25" s="991"/>
      <c r="I25" s="288">
        <f t="shared" si="6"/>
        <v>664.98</v>
      </c>
      <c r="K25" s="126"/>
      <c r="L25" s="294">
        <f t="shared" si="7"/>
        <v>0</v>
      </c>
      <c r="M25" s="15"/>
      <c r="N25" s="989"/>
      <c r="O25" s="990"/>
      <c r="P25" s="989">
        <f t="shared" si="1"/>
        <v>0</v>
      </c>
      <c r="Q25" s="689"/>
      <c r="R25" s="991"/>
      <c r="S25" s="288">
        <f t="shared" si="8"/>
        <v>0</v>
      </c>
      <c r="V25" s="126"/>
      <c r="W25" s="294">
        <f t="shared" si="9"/>
        <v>0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0</v>
      </c>
      <c r="AF25" s="126"/>
      <c r="AG25" s="294">
        <f t="shared" si="11"/>
        <v>66</v>
      </c>
      <c r="AH25" s="15"/>
      <c r="AI25" s="989"/>
      <c r="AJ25" s="990"/>
      <c r="AK25" s="989">
        <f t="shared" si="3"/>
        <v>0</v>
      </c>
      <c r="AL25" s="689"/>
      <c r="AM25" s="991"/>
      <c r="AN25" s="288">
        <f t="shared" si="12"/>
        <v>794.13</v>
      </c>
      <c r="AP25" s="126"/>
      <c r="AQ25" s="294">
        <f t="shared" si="13"/>
        <v>50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573.66</v>
      </c>
    </row>
    <row r="26" spans="1:50" x14ac:dyDescent="0.25">
      <c r="A26" s="126"/>
      <c r="B26" s="205">
        <f t="shared" si="5"/>
        <v>52</v>
      </c>
      <c r="C26" s="15"/>
      <c r="D26" s="989"/>
      <c r="E26" s="990"/>
      <c r="F26" s="989">
        <f t="shared" si="0"/>
        <v>0</v>
      </c>
      <c r="G26" s="689"/>
      <c r="H26" s="991"/>
      <c r="I26" s="288">
        <f t="shared" si="6"/>
        <v>664.98</v>
      </c>
      <c r="K26" s="126"/>
      <c r="L26" s="205">
        <f t="shared" si="7"/>
        <v>0</v>
      </c>
      <c r="M26" s="15"/>
      <c r="N26" s="989"/>
      <c r="O26" s="990"/>
      <c r="P26" s="989">
        <f t="shared" si="1"/>
        <v>0</v>
      </c>
      <c r="Q26" s="689"/>
      <c r="R26" s="991"/>
      <c r="S26" s="288">
        <f t="shared" si="8"/>
        <v>0</v>
      </c>
      <c r="V26" s="126"/>
      <c r="W26" s="205">
        <f t="shared" si="9"/>
        <v>0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0</v>
      </c>
      <c r="AF26" s="126"/>
      <c r="AG26" s="205">
        <f t="shared" si="11"/>
        <v>66</v>
      </c>
      <c r="AH26" s="15"/>
      <c r="AI26" s="989"/>
      <c r="AJ26" s="990"/>
      <c r="AK26" s="989">
        <f t="shared" si="3"/>
        <v>0</v>
      </c>
      <c r="AL26" s="689"/>
      <c r="AM26" s="991"/>
      <c r="AN26" s="288">
        <f t="shared" si="12"/>
        <v>794.13</v>
      </c>
      <c r="AP26" s="126"/>
      <c r="AQ26" s="205">
        <f t="shared" si="13"/>
        <v>50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573.66</v>
      </c>
    </row>
    <row r="27" spans="1:50" x14ac:dyDescent="0.25">
      <c r="A27" s="126"/>
      <c r="B27" s="294">
        <f t="shared" si="5"/>
        <v>52</v>
      </c>
      <c r="C27" s="15"/>
      <c r="D27" s="989"/>
      <c r="E27" s="990"/>
      <c r="F27" s="989">
        <f t="shared" si="0"/>
        <v>0</v>
      </c>
      <c r="G27" s="689"/>
      <c r="H27" s="991"/>
      <c r="I27" s="288">
        <f t="shared" si="6"/>
        <v>664.98</v>
      </c>
      <c r="K27" s="126"/>
      <c r="L27" s="294">
        <f t="shared" si="7"/>
        <v>0</v>
      </c>
      <c r="M27" s="15"/>
      <c r="N27" s="989"/>
      <c r="O27" s="990"/>
      <c r="P27" s="989">
        <f t="shared" si="1"/>
        <v>0</v>
      </c>
      <c r="Q27" s="689"/>
      <c r="R27" s="991"/>
      <c r="S27" s="288">
        <f t="shared" si="8"/>
        <v>0</v>
      </c>
      <c r="V27" s="126"/>
      <c r="W27" s="294">
        <f t="shared" si="9"/>
        <v>0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0</v>
      </c>
      <c r="AF27" s="126"/>
      <c r="AG27" s="294">
        <f t="shared" si="11"/>
        <v>66</v>
      </c>
      <c r="AH27" s="15"/>
      <c r="AI27" s="989"/>
      <c r="AJ27" s="990"/>
      <c r="AK27" s="989">
        <f t="shared" si="3"/>
        <v>0</v>
      </c>
      <c r="AL27" s="689"/>
      <c r="AM27" s="991"/>
      <c r="AN27" s="288">
        <f t="shared" si="12"/>
        <v>794.13</v>
      </c>
      <c r="AP27" s="126"/>
      <c r="AQ27" s="294">
        <f t="shared" si="13"/>
        <v>50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573.66</v>
      </c>
    </row>
    <row r="28" spans="1:50" x14ac:dyDescent="0.25">
      <c r="A28" s="126"/>
      <c r="B28" s="205">
        <f t="shared" si="5"/>
        <v>52</v>
      </c>
      <c r="C28" s="15"/>
      <c r="D28" s="989"/>
      <c r="E28" s="990"/>
      <c r="F28" s="989">
        <f t="shared" si="0"/>
        <v>0</v>
      </c>
      <c r="G28" s="689"/>
      <c r="H28" s="991"/>
      <c r="I28" s="288">
        <f t="shared" si="6"/>
        <v>664.98</v>
      </c>
      <c r="K28" s="126"/>
      <c r="L28" s="205">
        <f t="shared" si="7"/>
        <v>0</v>
      </c>
      <c r="M28" s="15"/>
      <c r="N28" s="989"/>
      <c r="O28" s="990"/>
      <c r="P28" s="989">
        <f t="shared" si="1"/>
        <v>0</v>
      </c>
      <c r="Q28" s="689"/>
      <c r="R28" s="991"/>
      <c r="S28" s="288">
        <f t="shared" si="8"/>
        <v>0</v>
      </c>
      <c r="V28" s="126"/>
      <c r="W28" s="205">
        <f t="shared" si="9"/>
        <v>0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0</v>
      </c>
      <c r="AF28" s="126"/>
      <c r="AG28" s="205">
        <f t="shared" si="11"/>
        <v>66</v>
      </c>
      <c r="AH28" s="15"/>
      <c r="AI28" s="989"/>
      <c r="AJ28" s="990"/>
      <c r="AK28" s="989">
        <f t="shared" si="3"/>
        <v>0</v>
      </c>
      <c r="AL28" s="689"/>
      <c r="AM28" s="991"/>
      <c r="AN28" s="288">
        <f t="shared" si="12"/>
        <v>794.13</v>
      </c>
      <c r="AP28" s="126"/>
      <c r="AQ28" s="205">
        <f t="shared" si="13"/>
        <v>50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573.66</v>
      </c>
    </row>
    <row r="29" spans="1:50" x14ac:dyDescent="0.25">
      <c r="A29" s="126"/>
      <c r="B29" s="294">
        <f t="shared" si="5"/>
        <v>52</v>
      </c>
      <c r="C29" s="15"/>
      <c r="D29" s="989"/>
      <c r="E29" s="990"/>
      <c r="F29" s="989">
        <f t="shared" si="0"/>
        <v>0</v>
      </c>
      <c r="G29" s="689"/>
      <c r="H29" s="991"/>
      <c r="I29" s="288">
        <f t="shared" si="6"/>
        <v>664.98</v>
      </c>
      <c r="K29" s="126"/>
      <c r="L29" s="294">
        <f t="shared" si="7"/>
        <v>0</v>
      </c>
      <c r="M29" s="15"/>
      <c r="N29" s="989"/>
      <c r="O29" s="990"/>
      <c r="P29" s="989">
        <f t="shared" si="1"/>
        <v>0</v>
      </c>
      <c r="Q29" s="689"/>
      <c r="R29" s="991"/>
      <c r="S29" s="288">
        <f t="shared" si="8"/>
        <v>0</v>
      </c>
      <c r="V29" s="126"/>
      <c r="W29" s="294">
        <f t="shared" si="9"/>
        <v>0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0</v>
      </c>
      <c r="AF29" s="126"/>
      <c r="AG29" s="294">
        <f t="shared" si="11"/>
        <v>66</v>
      </c>
      <c r="AH29" s="15"/>
      <c r="AI29" s="989"/>
      <c r="AJ29" s="990"/>
      <c r="AK29" s="989">
        <f t="shared" si="3"/>
        <v>0</v>
      </c>
      <c r="AL29" s="689"/>
      <c r="AM29" s="991"/>
      <c r="AN29" s="288">
        <f t="shared" si="12"/>
        <v>794.13</v>
      </c>
      <c r="AP29" s="126"/>
      <c r="AQ29" s="294">
        <f t="shared" si="13"/>
        <v>50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573.66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0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0</v>
      </c>
      <c r="V30" s="126"/>
      <c r="W30" s="294">
        <f t="shared" si="9"/>
        <v>0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0</v>
      </c>
      <c r="AF30" s="126"/>
      <c r="AG30" s="294">
        <f t="shared" si="11"/>
        <v>66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794.13</v>
      </c>
      <c r="AP30" s="126"/>
      <c r="AQ30" s="294">
        <f t="shared" si="13"/>
        <v>50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573.66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0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0</v>
      </c>
      <c r="V31" s="126"/>
      <c r="W31" s="294">
        <f t="shared" si="9"/>
        <v>0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0</v>
      </c>
      <c r="AF31" s="126"/>
      <c r="AG31" s="294">
        <f t="shared" si="11"/>
        <v>66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794.13</v>
      </c>
      <c r="AP31" s="126"/>
      <c r="AQ31" s="294">
        <f t="shared" si="13"/>
        <v>50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573.66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0</v>
      </c>
      <c r="V32" s="126"/>
      <c r="W32" s="294">
        <f t="shared" si="9"/>
        <v>0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0</v>
      </c>
      <c r="AF32" s="126"/>
      <c r="AG32" s="294">
        <f t="shared" si="11"/>
        <v>66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794.13</v>
      </c>
      <c r="AP32" s="126"/>
      <c r="AQ32" s="294">
        <f t="shared" si="13"/>
        <v>50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573.66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0</v>
      </c>
      <c r="V33" s="126"/>
      <c r="W33" s="294">
        <f t="shared" si="9"/>
        <v>0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0</v>
      </c>
      <c r="AF33" s="126"/>
      <c r="AG33" s="294">
        <f t="shared" si="11"/>
        <v>66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794.13</v>
      </c>
      <c r="AP33" s="126"/>
      <c r="AQ33" s="294">
        <f t="shared" si="13"/>
        <v>50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573.66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0</v>
      </c>
      <c r="V34" s="126"/>
      <c r="W34" s="294">
        <f t="shared" si="9"/>
        <v>0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0</v>
      </c>
      <c r="AF34" s="126"/>
      <c r="AG34" s="294">
        <f t="shared" si="11"/>
        <v>66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794.13</v>
      </c>
      <c r="AP34" s="126"/>
      <c r="AQ34" s="294">
        <f t="shared" si="13"/>
        <v>50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573.66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0</v>
      </c>
      <c r="V35" s="126"/>
      <c r="W35" s="294">
        <f t="shared" si="9"/>
        <v>0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0</v>
      </c>
      <c r="AF35" s="126"/>
      <c r="AG35" s="294">
        <f t="shared" si="11"/>
        <v>66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794.13</v>
      </c>
      <c r="AP35" s="126"/>
      <c r="AQ35" s="294">
        <f t="shared" si="13"/>
        <v>50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573.66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0</v>
      </c>
      <c r="V36" s="126" t="s">
        <v>22</v>
      </c>
      <c r="W36" s="294">
        <f t="shared" si="9"/>
        <v>0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0</v>
      </c>
      <c r="AF36" s="126" t="s">
        <v>22</v>
      </c>
      <c r="AG36" s="294">
        <f t="shared" si="11"/>
        <v>66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794.13</v>
      </c>
      <c r="AP36" s="126" t="s">
        <v>22</v>
      </c>
      <c r="AQ36" s="294">
        <f t="shared" si="13"/>
        <v>50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573.66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0</v>
      </c>
      <c r="V37" s="127"/>
      <c r="W37" s="294">
        <f t="shared" si="9"/>
        <v>0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0</v>
      </c>
      <c r="AF37" s="127"/>
      <c r="AG37" s="294">
        <f t="shared" si="11"/>
        <v>66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794.13</v>
      </c>
      <c r="AP37" s="127"/>
      <c r="AQ37" s="294">
        <f t="shared" si="13"/>
        <v>50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573.66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0</v>
      </c>
      <c r="V38" s="126"/>
      <c r="W38" s="294">
        <f t="shared" si="9"/>
        <v>0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0</v>
      </c>
      <c r="AF38" s="126"/>
      <c r="AG38" s="294">
        <f t="shared" si="11"/>
        <v>66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794.13</v>
      </c>
      <c r="AP38" s="126"/>
      <c r="AQ38" s="294">
        <f t="shared" si="13"/>
        <v>50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573.66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0</v>
      </c>
      <c r="V39" s="126"/>
      <c r="W39" s="84">
        <f t="shared" si="9"/>
        <v>0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0</v>
      </c>
      <c r="AF39" s="126"/>
      <c r="AG39" s="84">
        <f t="shared" si="11"/>
        <v>66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794.13</v>
      </c>
      <c r="AP39" s="126"/>
      <c r="AQ39" s="84">
        <f t="shared" si="13"/>
        <v>50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573.66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0</v>
      </c>
      <c r="V40" s="126"/>
      <c r="W40" s="84">
        <f t="shared" si="9"/>
        <v>0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0</v>
      </c>
      <c r="AF40" s="126"/>
      <c r="AG40" s="84">
        <f t="shared" si="11"/>
        <v>66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794.13</v>
      </c>
      <c r="AP40" s="126"/>
      <c r="AQ40" s="84">
        <f t="shared" si="13"/>
        <v>50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573.66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0</v>
      </c>
      <c r="V41" s="126"/>
      <c r="W41" s="84">
        <f t="shared" si="9"/>
        <v>0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0</v>
      </c>
      <c r="AF41" s="126"/>
      <c r="AG41" s="84">
        <f t="shared" si="11"/>
        <v>66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794.13</v>
      </c>
      <c r="AP41" s="126"/>
      <c r="AQ41" s="84">
        <f t="shared" si="13"/>
        <v>50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573.66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0</v>
      </c>
      <c r="V42" s="126"/>
      <c r="W42" s="84">
        <f t="shared" si="9"/>
        <v>0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0</v>
      </c>
      <c r="AF42" s="126"/>
      <c r="AG42" s="84">
        <f t="shared" si="11"/>
        <v>66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794.13</v>
      </c>
      <c r="AP42" s="126"/>
      <c r="AQ42" s="84">
        <f t="shared" si="13"/>
        <v>50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573.66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0</v>
      </c>
      <c r="V43" s="126"/>
      <c r="W43" s="84">
        <f t="shared" si="9"/>
        <v>0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0</v>
      </c>
      <c r="AF43" s="126"/>
      <c r="AG43" s="84">
        <f t="shared" si="11"/>
        <v>66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794.13</v>
      </c>
      <c r="AP43" s="126"/>
      <c r="AQ43" s="84">
        <f t="shared" si="13"/>
        <v>50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573.66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0</v>
      </c>
      <c r="V44" s="126"/>
      <c r="W44" s="84">
        <f t="shared" si="9"/>
        <v>0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0</v>
      </c>
      <c r="AF44" s="126"/>
      <c r="AG44" s="84">
        <f t="shared" si="11"/>
        <v>66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794.13</v>
      </c>
      <c r="AP44" s="126"/>
      <c r="AQ44" s="84">
        <f t="shared" si="13"/>
        <v>50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573.66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0</v>
      </c>
      <c r="V45" s="126"/>
      <c r="W45" s="84">
        <f t="shared" si="9"/>
        <v>0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0</v>
      </c>
      <c r="AF45" s="126"/>
      <c r="AG45" s="84">
        <f t="shared" si="11"/>
        <v>66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794.13</v>
      </c>
      <c r="AP45" s="126"/>
      <c r="AQ45" s="84">
        <f t="shared" si="13"/>
        <v>50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573.66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0</v>
      </c>
      <c r="V46" s="126"/>
      <c r="W46" s="84">
        <f t="shared" si="9"/>
        <v>0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0</v>
      </c>
      <c r="AF46" s="126"/>
      <c r="AG46" s="84">
        <f t="shared" si="11"/>
        <v>66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794.13</v>
      </c>
      <c r="AP46" s="126"/>
      <c r="AQ46" s="84">
        <f t="shared" si="13"/>
        <v>50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573.66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0</v>
      </c>
      <c r="V47" s="126"/>
      <c r="W47" s="84">
        <f t="shared" si="9"/>
        <v>0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0</v>
      </c>
      <c r="AF47" s="126"/>
      <c r="AG47" s="84">
        <f t="shared" si="11"/>
        <v>66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794.13</v>
      </c>
      <c r="AP47" s="126"/>
      <c r="AQ47" s="84">
        <f t="shared" si="13"/>
        <v>50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573.66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0</v>
      </c>
      <c r="V48" s="126"/>
      <c r="W48" s="84">
        <f t="shared" si="9"/>
        <v>0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0</v>
      </c>
      <c r="AF48" s="126"/>
      <c r="AG48" s="84">
        <f t="shared" si="11"/>
        <v>66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794.13</v>
      </c>
      <c r="AP48" s="126"/>
      <c r="AQ48" s="84">
        <f t="shared" si="13"/>
        <v>50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573.66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0</v>
      </c>
      <c r="V49" s="126"/>
      <c r="W49" s="84">
        <f t="shared" si="9"/>
        <v>0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0</v>
      </c>
      <c r="AF49" s="126"/>
      <c r="AG49" s="84">
        <f t="shared" si="11"/>
        <v>66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794.13</v>
      </c>
      <c r="AP49" s="126"/>
      <c r="AQ49" s="84">
        <f t="shared" si="13"/>
        <v>50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573.66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0</v>
      </c>
      <c r="V50" s="126"/>
      <c r="W50" s="84">
        <f t="shared" si="9"/>
        <v>0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0</v>
      </c>
      <c r="AF50" s="126"/>
      <c r="AG50" s="84">
        <f t="shared" si="11"/>
        <v>66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794.13</v>
      </c>
      <c r="AP50" s="126"/>
      <c r="AQ50" s="84">
        <f t="shared" si="13"/>
        <v>50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573.66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0</v>
      </c>
      <c r="V51" s="126"/>
      <c r="W51" s="84">
        <f t="shared" si="9"/>
        <v>0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0</v>
      </c>
      <c r="AF51" s="126"/>
      <c r="AG51" s="84">
        <f t="shared" si="11"/>
        <v>66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794.13</v>
      </c>
      <c r="AP51" s="126"/>
      <c r="AQ51" s="84">
        <f t="shared" si="13"/>
        <v>50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573.66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0</v>
      </c>
      <c r="V52" s="126"/>
      <c r="W52" s="84">
        <f t="shared" si="9"/>
        <v>0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0</v>
      </c>
      <c r="AF52" s="126"/>
      <c r="AG52" s="84">
        <f t="shared" si="11"/>
        <v>66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794.13</v>
      </c>
      <c r="AP52" s="126"/>
      <c r="AQ52" s="84">
        <f t="shared" si="13"/>
        <v>50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573.66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0</v>
      </c>
      <c r="V53" s="126"/>
      <c r="W53" s="84">
        <f t="shared" si="9"/>
        <v>0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0</v>
      </c>
      <c r="AF53" s="126"/>
      <c r="AG53" s="84">
        <f t="shared" si="11"/>
        <v>66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794.13</v>
      </c>
      <c r="AP53" s="126"/>
      <c r="AQ53" s="84">
        <f t="shared" si="13"/>
        <v>50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573.66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0</v>
      </c>
      <c r="V54" s="126"/>
      <c r="W54" s="84">
        <f t="shared" si="9"/>
        <v>0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0</v>
      </c>
      <c r="AF54" s="126"/>
      <c r="AG54" s="84">
        <f t="shared" si="11"/>
        <v>66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794.13</v>
      </c>
      <c r="AP54" s="126"/>
      <c r="AQ54" s="84">
        <f t="shared" si="13"/>
        <v>50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573.66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0</v>
      </c>
      <c r="V55" s="126"/>
      <c r="W55" s="12">
        <f>W54-X55</f>
        <v>0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0</v>
      </c>
      <c r="AF55" s="126"/>
      <c r="AG55" s="12">
        <f>AG54-AH55</f>
        <v>66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794.13</v>
      </c>
      <c r="AP55" s="126"/>
      <c r="AQ55" s="12">
        <f>AQ54-AR55</f>
        <v>50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573.66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0</v>
      </c>
      <c r="V56" s="126"/>
      <c r="W56" s="12">
        <f t="shared" ref="W56:W75" si="17">W55-X56</f>
        <v>0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0</v>
      </c>
      <c r="AF56" s="126"/>
      <c r="AG56" s="12">
        <f t="shared" ref="AG56:AG75" si="18">AG55-AH56</f>
        <v>66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794.13</v>
      </c>
      <c r="AP56" s="126"/>
      <c r="AQ56" s="12">
        <f t="shared" ref="AQ56:AQ75" si="19">AQ55-AR56</f>
        <v>50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573.66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0</v>
      </c>
      <c r="V57" s="126"/>
      <c r="W57" s="12">
        <f t="shared" si="17"/>
        <v>0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0</v>
      </c>
      <c r="AF57" s="126"/>
      <c r="AG57" s="12">
        <f t="shared" si="18"/>
        <v>66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794.13</v>
      </c>
      <c r="AP57" s="126"/>
      <c r="AQ57" s="12">
        <f t="shared" si="19"/>
        <v>50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573.66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0</v>
      </c>
      <c r="V58" s="126"/>
      <c r="W58" s="12">
        <f t="shared" si="17"/>
        <v>0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0</v>
      </c>
      <c r="AF58" s="126"/>
      <c r="AG58" s="12">
        <f t="shared" si="18"/>
        <v>66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794.13</v>
      </c>
      <c r="AP58" s="126"/>
      <c r="AQ58" s="12">
        <f t="shared" si="19"/>
        <v>50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573.66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0</v>
      </c>
      <c r="V59" s="126"/>
      <c r="W59" s="12">
        <f t="shared" si="17"/>
        <v>0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0</v>
      </c>
      <c r="AF59" s="126"/>
      <c r="AG59" s="12">
        <f t="shared" si="18"/>
        <v>66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794.13</v>
      </c>
      <c r="AP59" s="126"/>
      <c r="AQ59" s="12">
        <f t="shared" si="19"/>
        <v>50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573.66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0</v>
      </c>
      <c r="V60" s="126"/>
      <c r="W60" s="12">
        <f t="shared" si="17"/>
        <v>0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0</v>
      </c>
      <c r="AF60" s="126"/>
      <c r="AG60" s="12">
        <f t="shared" si="18"/>
        <v>66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794.13</v>
      </c>
      <c r="AP60" s="126"/>
      <c r="AQ60" s="12">
        <f t="shared" si="19"/>
        <v>50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573.66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0</v>
      </c>
      <c r="V61" s="126"/>
      <c r="W61" s="12">
        <f t="shared" si="17"/>
        <v>0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0</v>
      </c>
      <c r="AF61" s="126"/>
      <c r="AG61" s="12">
        <f t="shared" si="18"/>
        <v>66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794.13</v>
      </c>
      <c r="AP61" s="126"/>
      <c r="AQ61" s="12">
        <f t="shared" si="19"/>
        <v>50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573.66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0</v>
      </c>
      <c r="V62" s="126"/>
      <c r="W62" s="12">
        <f t="shared" si="17"/>
        <v>0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0</v>
      </c>
      <c r="AF62" s="126"/>
      <c r="AG62" s="12">
        <f t="shared" si="18"/>
        <v>66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794.13</v>
      </c>
      <c r="AP62" s="126"/>
      <c r="AQ62" s="12">
        <f t="shared" si="19"/>
        <v>50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573.66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0</v>
      </c>
      <c r="V63" s="126"/>
      <c r="W63" s="12">
        <f t="shared" si="17"/>
        <v>0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0</v>
      </c>
      <c r="AF63" s="126"/>
      <c r="AG63" s="12">
        <f t="shared" si="18"/>
        <v>66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794.13</v>
      </c>
      <c r="AP63" s="126"/>
      <c r="AQ63" s="12">
        <f t="shared" si="19"/>
        <v>50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573.66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0</v>
      </c>
      <c r="V64" s="126"/>
      <c r="W64" s="12">
        <f t="shared" si="17"/>
        <v>0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0</v>
      </c>
      <c r="AF64" s="126"/>
      <c r="AG64" s="12">
        <f t="shared" si="18"/>
        <v>66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794.13</v>
      </c>
      <c r="AP64" s="126"/>
      <c r="AQ64" s="12">
        <f t="shared" si="19"/>
        <v>50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573.66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0</v>
      </c>
      <c r="V65" s="126"/>
      <c r="W65" s="12">
        <f t="shared" si="17"/>
        <v>0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0</v>
      </c>
      <c r="AF65" s="126"/>
      <c r="AG65" s="12">
        <f t="shared" si="18"/>
        <v>66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794.13</v>
      </c>
      <c r="AP65" s="126"/>
      <c r="AQ65" s="12">
        <f t="shared" si="19"/>
        <v>50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573.66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0</v>
      </c>
      <c r="V66" s="126"/>
      <c r="W66" s="12">
        <f t="shared" si="17"/>
        <v>0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0</v>
      </c>
      <c r="AF66" s="126"/>
      <c r="AG66" s="12">
        <f t="shared" si="18"/>
        <v>66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794.13</v>
      </c>
      <c r="AP66" s="126"/>
      <c r="AQ66" s="12">
        <f t="shared" si="19"/>
        <v>50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573.66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0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0</v>
      </c>
      <c r="V67" s="126"/>
      <c r="W67" s="12">
        <f t="shared" si="17"/>
        <v>0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0</v>
      </c>
      <c r="AF67" s="126"/>
      <c r="AG67" s="12">
        <f t="shared" si="18"/>
        <v>66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794.13</v>
      </c>
      <c r="AP67" s="126"/>
      <c r="AQ67" s="12">
        <f t="shared" si="19"/>
        <v>50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573.66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0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0</v>
      </c>
      <c r="V68" s="126"/>
      <c r="W68" s="12">
        <f t="shared" si="17"/>
        <v>0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0</v>
      </c>
      <c r="AF68" s="126"/>
      <c r="AG68" s="12">
        <f t="shared" si="18"/>
        <v>66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794.13</v>
      </c>
      <c r="AP68" s="126"/>
      <c r="AQ68" s="12">
        <f t="shared" si="19"/>
        <v>50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573.66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0</v>
      </c>
      <c r="V69" s="126"/>
      <c r="W69" s="12">
        <f t="shared" si="17"/>
        <v>0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0</v>
      </c>
      <c r="AF69" s="126"/>
      <c r="AG69" s="12">
        <f t="shared" si="18"/>
        <v>66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794.13</v>
      </c>
      <c r="AP69" s="126"/>
      <c r="AQ69" s="12">
        <f t="shared" si="19"/>
        <v>50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573.66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0</v>
      </c>
      <c r="V70" s="126"/>
      <c r="W70" s="12">
        <f t="shared" si="17"/>
        <v>0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0</v>
      </c>
      <c r="AF70" s="126"/>
      <c r="AG70" s="12">
        <f t="shared" si="18"/>
        <v>66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794.13</v>
      </c>
      <c r="AP70" s="126"/>
      <c r="AQ70" s="12">
        <f t="shared" si="19"/>
        <v>50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573.66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0</v>
      </c>
      <c r="V71" s="126"/>
      <c r="W71" s="12">
        <f t="shared" si="17"/>
        <v>0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0</v>
      </c>
      <c r="AF71" s="126"/>
      <c r="AG71" s="12">
        <f t="shared" si="18"/>
        <v>66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794.13</v>
      </c>
      <c r="AP71" s="126"/>
      <c r="AQ71" s="12">
        <f t="shared" si="19"/>
        <v>50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573.66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0</v>
      </c>
      <c r="V72" s="126"/>
      <c r="W72" s="12">
        <f t="shared" si="17"/>
        <v>0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0</v>
      </c>
      <c r="AF72" s="126"/>
      <c r="AG72" s="12">
        <f t="shared" si="18"/>
        <v>66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794.13</v>
      </c>
      <c r="AP72" s="126"/>
      <c r="AQ72" s="12">
        <f t="shared" si="19"/>
        <v>50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573.66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0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0</v>
      </c>
      <c r="V73" s="126"/>
      <c r="W73" s="12">
        <f t="shared" si="17"/>
        <v>0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0</v>
      </c>
      <c r="AF73" s="126"/>
      <c r="AG73" s="12">
        <f t="shared" si="18"/>
        <v>66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794.13</v>
      </c>
      <c r="AP73" s="126"/>
      <c r="AQ73" s="12">
        <f t="shared" si="19"/>
        <v>50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573.66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0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0</v>
      </c>
      <c r="V74" s="126"/>
      <c r="W74" s="12">
        <f t="shared" si="17"/>
        <v>0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0</v>
      </c>
      <c r="AF74" s="126"/>
      <c r="AG74" s="12">
        <f t="shared" si="18"/>
        <v>66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794.13</v>
      </c>
      <c r="AP74" s="126"/>
      <c r="AQ74" s="12">
        <f t="shared" si="19"/>
        <v>50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573.66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0</v>
      </c>
      <c r="V75" s="126"/>
      <c r="W75" s="12">
        <f t="shared" si="17"/>
        <v>0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0</v>
      </c>
      <c r="AF75" s="126"/>
      <c r="AG75" s="12">
        <f t="shared" si="18"/>
        <v>66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794.13</v>
      </c>
      <c r="AP75" s="126"/>
      <c r="AQ75" s="12">
        <f t="shared" si="19"/>
        <v>50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573.66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0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0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794.13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573.66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1638.64</v>
      </c>
      <c r="P78" s="6">
        <f>SUM(P9:P77)</f>
        <v>1638.64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0</v>
      </c>
      <c r="AS78" s="6">
        <f>SUM(AS9:AS77)</f>
        <v>0</v>
      </c>
      <c r="AU78" s="6">
        <f>SUM(AU9:AU77)</f>
        <v>0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66</v>
      </c>
      <c r="AS81" s="45" t="s">
        <v>4</v>
      </c>
      <c r="AT81" s="57">
        <f>AU5+AU6-AR78+AU7</f>
        <v>50</v>
      </c>
    </row>
    <row r="82" spans="3:47" ht="15.75" thickBot="1" x14ac:dyDescent="0.3"/>
    <row r="83" spans="3:47" ht="15.75" thickBot="1" x14ac:dyDescent="0.3">
      <c r="C83" s="1162" t="s">
        <v>11</v>
      </c>
      <c r="D83" s="1163"/>
      <c r="E83" s="58">
        <f>E5+E6-F78+E7</f>
        <v>664.98000000000013</v>
      </c>
      <c r="F83" s="74"/>
      <c r="M83" s="1162" t="s">
        <v>11</v>
      </c>
      <c r="N83" s="1163"/>
      <c r="O83" s="58">
        <f>O5+O6-P78+O7</f>
        <v>0</v>
      </c>
      <c r="P83" s="74"/>
      <c r="X83" s="1162" t="s">
        <v>11</v>
      </c>
      <c r="Y83" s="1163"/>
      <c r="Z83" s="58">
        <f>Z5+Z6-AA78+Z7</f>
        <v>0</v>
      </c>
      <c r="AA83" s="74"/>
      <c r="AH83" s="1162" t="s">
        <v>11</v>
      </c>
      <c r="AI83" s="1163"/>
      <c r="AJ83" s="58">
        <f>AJ5+AJ6-AK78+AJ7</f>
        <v>794.13000000000011</v>
      </c>
      <c r="AK83" s="74"/>
      <c r="AR83" s="1162" t="s">
        <v>11</v>
      </c>
      <c r="AS83" s="1163"/>
      <c r="AT83" s="58">
        <f>AT5+AT6-AU78+AT7</f>
        <v>573.66</v>
      </c>
      <c r="AU83" s="74"/>
    </row>
  </sheetData>
  <sortState ref="M5:P7">
    <sortCondition ref="N5:N7"/>
  </sortState>
  <mergeCells count="15">
    <mergeCell ref="AP1:AV1"/>
    <mergeCell ref="AQ5:AQ6"/>
    <mergeCell ref="AR83:AS83"/>
    <mergeCell ref="AF1:AL1"/>
    <mergeCell ref="AG5:AG6"/>
    <mergeCell ref="AH83:AI83"/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H36" sqref="H3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64" t="s">
        <v>261</v>
      </c>
      <c r="B1" s="1164"/>
      <c r="C1" s="1164"/>
      <c r="D1" s="1164"/>
      <c r="E1" s="1164"/>
      <c r="F1" s="1164"/>
      <c r="G1" s="11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59" t="s">
        <v>53</v>
      </c>
      <c r="B5" s="1161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59"/>
      <c r="B6" s="1161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76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77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79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80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81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82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83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78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84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85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86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87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88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89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90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7">
        <v>909.4</v>
      </c>
      <c r="E35" s="815">
        <v>44536</v>
      </c>
      <c r="F35" s="707">
        <f t="shared" si="0"/>
        <v>909.4</v>
      </c>
      <c r="G35" s="708" t="s">
        <v>450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7"/>
      <c r="E36" s="815"/>
      <c r="F36" s="707">
        <f t="shared" si="0"/>
        <v>0</v>
      </c>
      <c r="G36" s="708"/>
      <c r="H36" s="186"/>
      <c r="I36" s="79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7"/>
      <c r="E37" s="815"/>
      <c r="F37" s="707">
        <f t="shared" si="0"/>
        <v>0</v>
      </c>
      <c r="G37" s="708"/>
      <c r="H37" s="186"/>
      <c r="I37" s="79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7"/>
      <c r="E38" s="815"/>
      <c r="F38" s="707">
        <f t="shared" si="0"/>
        <v>0</v>
      </c>
      <c r="G38" s="708"/>
      <c r="H38" s="186"/>
      <c r="I38" s="79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7"/>
      <c r="E39" s="815"/>
      <c r="F39" s="707">
        <f t="shared" si="0"/>
        <v>0</v>
      </c>
      <c r="G39" s="708"/>
      <c r="H39" s="186"/>
      <c r="I39" s="79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7"/>
      <c r="E40" s="815"/>
      <c r="F40" s="707">
        <f t="shared" si="0"/>
        <v>0</v>
      </c>
      <c r="G40" s="708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7"/>
      <c r="E41" s="815"/>
      <c r="F41" s="707">
        <f t="shared" si="0"/>
        <v>0</v>
      </c>
      <c r="G41" s="708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7"/>
      <c r="E42" s="815"/>
      <c r="F42" s="707">
        <f t="shared" si="0"/>
        <v>0</v>
      </c>
      <c r="G42" s="708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7"/>
      <c r="E43" s="815"/>
      <c r="F43" s="707">
        <f t="shared" si="0"/>
        <v>0</v>
      </c>
      <c r="G43" s="708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7"/>
      <c r="E44" s="815"/>
      <c r="F44" s="707">
        <f t="shared" si="0"/>
        <v>0</v>
      </c>
      <c r="G44" s="708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7"/>
      <c r="E45" s="815"/>
      <c r="F45" s="707">
        <f t="shared" si="0"/>
        <v>0</v>
      </c>
      <c r="G45" s="708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7"/>
      <c r="E46" s="815"/>
      <c r="F46" s="707">
        <f t="shared" si="0"/>
        <v>0</v>
      </c>
      <c r="G46" s="708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7"/>
      <c r="E47" s="815"/>
      <c r="F47" s="707">
        <f t="shared" si="0"/>
        <v>0</v>
      </c>
      <c r="G47" s="708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7"/>
      <c r="E48" s="815"/>
      <c r="F48" s="707">
        <f t="shared" si="0"/>
        <v>0</v>
      </c>
      <c r="G48" s="708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7"/>
      <c r="E49" s="815"/>
      <c r="F49" s="707">
        <f t="shared" si="0"/>
        <v>0</v>
      </c>
      <c r="G49" s="708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62" t="s">
        <v>11</v>
      </c>
      <c r="D60" s="1163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topLeftCell="A4" workbookViewId="0">
      <selection activeCell="H22" sqref="H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64" t="s">
        <v>262</v>
      </c>
      <c r="B1" s="1164"/>
      <c r="C1" s="1164"/>
      <c r="D1" s="1164"/>
      <c r="E1" s="1164"/>
      <c r="F1" s="1164"/>
      <c r="G1" s="11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8"/>
      <c r="C4" s="104"/>
      <c r="D4" s="141"/>
      <c r="E4" s="87"/>
      <c r="F4" s="74"/>
      <c r="G4" s="885"/>
    </row>
    <row r="5" spans="1:9" ht="29.25" x14ac:dyDescent="0.25">
      <c r="A5" s="12" t="s">
        <v>67</v>
      </c>
      <c r="B5" s="884" t="s">
        <v>126</v>
      </c>
      <c r="C5" s="104">
        <v>34</v>
      </c>
      <c r="D5" s="141">
        <v>44494</v>
      </c>
      <c r="E5" s="902">
        <v>2022.78</v>
      </c>
      <c r="F5" s="900">
        <v>70</v>
      </c>
      <c r="G5" s="48">
        <f>F34</f>
        <v>1830.6699999999998</v>
      </c>
      <c r="H5" s="144">
        <f>E5-G5+E4+E6+E7+E8</f>
        <v>3690.08</v>
      </c>
    </row>
    <row r="6" spans="1:9" ht="15.75" thickBot="1" x14ac:dyDescent="0.3">
      <c r="B6" s="74"/>
      <c r="C6" s="104">
        <v>32</v>
      </c>
      <c r="D6" s="141">
        <v>44496</v>
      </c>
      <c r="E6" s="902">
        <v>3497.97</v>
      </c>
      <c r="F6" s="900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137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55">
        <v>8</v>
      </c>
      <c r="D11" s="925">
        <v>231.09</v>
      </c>
      <c r="E11" s="924">
        <v>44516</v>
      </c>
      <c r="F11" s="925">
        <f t="shared" ref="F11:F30" si="0">D11</f>
        <v>231.09</v>
      </c>
      <c r="G11" s="926" t="s">
        <v>180</v>
      </c>
      <c r="H11" s="927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55">
        <v>1</v>
      </c>
      <c r="D12" s="925">
        <v>29.56</v>
      </c>
      <c r="E12" s="924">
        <v>44520</v>
      </c>
      <c r="F12" s="925">
        <f t="shared" si="0"/>
        <v>29.56</v>
      </c>
      <c r="G12" s="926" t="s">
        <v>204</v>
      </c>
      <c r="H12" s="927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23">
        <v>199.58</v>
      </c>
      <c r="E13" s="924">
        <v>44522</v>
      </c>
      <c r="F13" s="925">
        <f t="shared" si="0"/>
        <v>199.58</v>
      </c>
      <c r="G13" s="926" t="s">
        <v>205</v>
      </c>
      <c r="H13" s="927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23">
        <v>205.88</v>
      </c>
      <c r="E14" s="924">
        <v>44524</v>
      </c>
      <c r="F14" s="925">
        <f t="shared" si="0"/>
        <v>205.88</v>
      </c>
      <c r="G14" s="926" t="s">
        <v>217</v>
      </c>
      <c r="H14" s="927">
        <v>35</v>
      </c>
      <c r="I14" s="283">
        <f t="shared" si="2"/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23">
        <v>146.31</v>
      </c>
      <c r="E15" s="924">
        <v>44525</v>
      </c>
      <c r="F15" s="925">
        <f t="shared" si="0"/>
        <v>146.31</v>
      </c>
      <c r="G15" s="926" t="s">
        <v>220</v>
      </c>
      <c r="H15" s="927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1004">
        <v>29.57</v>
      </c>
      <c r="E16" s="1005">
        <v>44542</v>
      </c>
      <c r="F16" s="1006">
        <f t="shared" si="0"/>
        <v>29.57</v>
      </c>
      <c r="G16" s="1007" t="s">
        <v>516</v>
      </c>
      <c r="H16" s="1008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1004">
        <v>92.09</v>
      </c>
      <c r="E17" s="1005">
        <v>44547</v>
      </c>
      <c r="F17" s="1006">
        <f t="shared" si="0"/>
        <v>92.09</v>
      </c>
      <c r="G17" s="1007" t="s">
        <v>542</v>
      </c>
      <c r="H17" s="1008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1004">
        <v>200.8</v>
      </c>
      <c r="E18" s="1005">
        <v>44549</v>
      </c>
      <c r="F18" s="1006">
        <f t="shared" si="0"/>
        <v>200.8</v>
      </c>
      <c r="G18" s="1007" t="s">
        <v>561</v>
      </c>
      <c r="H18" s="1008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1004">
        <v>59.46</v>
      </c>
      <c r="E19" s="1005">
        <v>44550</v>
      </c>
      <c r="F19" s="1006">
        <f t="shared" si="0"/>
        <v>59.46</v>
      </c>
      <c r="G19" s="1007" t="s">
        <v>557</v>
      </c>
      <c r="H19" s="1008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1004">
        <v>147.29</v>
      </c>
      <c r="E20" s="1005">
        <v>44551</v>
      </c>
      <c r="F20" s="1006">
        <f t="shared" si="0"/>
        <v>147.29</v>
      </c>
      <c r="G20" s="1007" t="s">
        <v>576</v>
      </c>
      <c r="H20" s="1008">
        <v>35</v>
      </c>
      <c r="I20" s="283">
        <f t="shared" si="2"/>
        <v>3888.0699999999988</v>
      </c>
    </row>
    <row r="21" spans="2:9" x14ac:dyDescent="0.25">
      <c r="B21" s="502">
        <f t="shared" si="1"/>
        <v>127</v>
      </c>
      <c r="C21" s="459">
        <v>7</v>
      </c>
      <c r="D21" s="1004">
        <v>197.99</v>
      </c>
      <c r="E21" s="1005">
        <v>44560</v>
      </c>
      <c r="F21" s="1006">
        <f t="shared" si="0"/>
        <v>197.99</v>
      </c>
      <c r="G21" s="1009" t="s">
        <v>651</v>
      </c>
      <c r="H21" s="1010">
        <v>35</v>
      </c>
      <c r="I21" s="136">
        <f t="shared" si="2"/>
        <v>3690.079999999999</v>
      </c>
    </row>
    <row r="22" spans="2:9" x14ac:dyDescent="0.25">
      <c r="B22" s="502">
        <f t="shared" si="1"/>
        <v>127</v>
      </c>
      <c r="C22" s="459"/>
      <c r="D22" s="1004"/>
      <c r="E22" s="1005"/>
      <c r="F22" s="1006">
        <f t="shared" si="0"/>
        <v>0</v>
      </c>
      <c r="G22" s="1009"/>
      <c r="H22" s="1010"/>
      <c r="I22" s="136">
        <f t="shared" si="2"/>
        <v>3690.079999999999</v>
      </c>
    </row>
    <row r="23" spans="2:9" x14ac:dyDescent="0.25">
      <c r="B23" s="502">
        <f t="shared" si="1"/>
        <v>127</v>
      </c>
      <c r="C23" s="459"/>
      <c r="D23" s="1004"/>
      <c r="E23" s="1005"/>
      <c r="F23" s="1006">
        <f t="shared" si="0"/>
        <v>0</v>
      </c>
      <c r="G23" s="1009"/>
      <c r="H23" s="1010"/>
      <c r="I23" s="136">
        <f t="shared" si="2"/>
        <v>3690.079999999999</v>
      </c>
    </row>
    <row r="24" spans="2:9" x14ac:dyDescent="0.25">
      <c r="B24" s="502">
        <f t="shared" si="1"/>
        <v>127</v>
      </c>
      <c r="C24" s="459"/>
      <c r="D24" s="1004"/>
      <c r="E24" s="1005"/>
      <c r="F24" s="1006">
        <f t="shared" si="0"/>
        <v>0</v>
      </c>
      <c r="G24" s="1009"/>
      <c r="H24" s="1010"/>
      <c r="I24" s="136">
        <f t="shared" si="2"/>
        <v>3690.079999999999</v>
      </c>
    </row>
    <row r="25" spans="2:9" x14ac:dyDescent="0.25">
      <c r="B25" s="502">
        <f t="shared" si="1"/>
        <v>127</v>
      </c>
      <c r="C25" s="459"/>
      <c r="D25" s="1004"/>
      <c r="E25" s="1005"/>
      <c r="F25" s="1006">
        <f t="shared" si="0"/>
        <v>0</v>
      </c>
      <c r="G25" s="1009"/>
      <c r="H25" s="1010"/>
      <c r="I25" s="136">
        <f t="shared" si="2"/>
        <v>3690.079999999999</v>
      </c>
    </row>
    <row r="26" spans="2:9" x14ac:dyDescent="0.25">
      <c r="B26" s="502">
        <f t="shared" si="1"/>
        <v>127</v>
      </c>
      <c r="C26" s="459"/>
      <c r="D26" s="1004"/>
      <c r="E26" s="1005"/>
      <c r="F26" s="1006">
        <f t="shared" si="0"/>
        <v>0</v>
      </c>
      <c r="G26" s="1009"/>
      <c r="H26" s="1010"/>
      <c r="I26" s="136">
        <f t="shared" si="2"/>
        <v>3690.079999999999</v>
      </c>
    </row>
    <row r="27" spans="2:9" x14ac:dyDescent="0.25">
      <c r="B27" s="502">
        <f t="shared" si="1"/>
        <v>127</v>
      </c>
      <c r="C27" s="459"/>
      <c r="D27" s="1004"/>
      <c r="E27" s="1005"/>
      <c r="F27" s="1006">
        <f t="shared" si="0"/>
        <v>0</v>
      </c>
      <c r="G27" s="1009"/>
      <c r="H27" s="1011"/>
      <c r="I27" s="136">
        <f t="shared" si="2"/>
        <v>3690.079999999999</v>
      </c>
    </row>
    <row r="28" spans="2:9" x14ac:dyDescent="0.25">
      <c r="B28" s="502">
        <f t="shared" si="1"/>
        <v>127</v>
      </c>
      <c r="C28" s="459"/>
      <c r="D28" s="1004"/>
      <c r="E28" s="1005"/>
      <c r="F28" s="1006">
        <f t="shared" si="0"/>
        <v>0</v>
      </c>
      <c r="G28" s="1009"/>
      <c r="H28" s="1011"/>
      <c r="I28" s="136">
        <f t="shared" si="2"/>
        <v>3690.079999999999</v>
      </c>
    </row>
    <row r="29" spans="2:9" x14ac:dyDescent="0.25">
      <c r="B29" s="502">
        <f t="shared" si="1"/>
        <v>127</v>
      </c>
      <c r="C29" s="459"/>
      <c r="D29" s="1004"/>
      <c r="E29" s="1005"/>
      <c r="F29" s="1006">
        <f t="shared" si="0"/>
        <v>0</v>
      </c>
      <c r="G29" s="1009"/>
      <c r="H29" s="1011"/>
      <c r="I29" s="136">
        <f t="shared" si="2"/>
        <v>3690.079999999999</v>
      </c>
    </row>
    <row r="30" spans="2:9" x14ac:dyDescent="0.25">
      <c r="B30" s="502">
        <f t="shared" si="1"/>
        <v>127</v>
      </c>
      <c r="C30" s="459"/>
      <c r="D30" s="1012"/>
      <c r="E30" s="1005"/>
      <c r="F30" s="1006">
        <f t="shared" si="0"/>
        <v>0</v>
      </c>
      <c r="G30" s="1009"/>
      <c r="H30" s="1011"/>
      <c r="I30" s="136">
        <f t="shared" si="2"/>
        <v>3690.079999999999</v>
      </c>
    </row>
    <row r="31" spans="2:9" x14ac:dyDescent="0.25">
      <c r="B31" s="503"/>
      <c r="C31" s="459"/>
      <c r="D31" s="491"/>
      <c r="E31" s="1108"/>
      <c r="F31" s="491"/>
      <c r="G31" s="496"/>
      <c r="H31" s="495"/>
    </row>
    <row r="32" spans="2:9" x14ac:dyDescent="0.25">
      <c r="B32" s="503"/>
      <c r="C32" s="459"/>
      <c r="D32" s="491"/>
      <c r="E32" s="1109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1830.6699999999998</v>
      </c>
      <c r="E34" s="76"/>
      <c r="F34" s="107">
        <f>SUM(F10:F33)</f>
        <v>1830.6699999999998</v>
      </c>
      <c r="G34" s="76"/>
      <c r="H34" s="76"/>
    </row>
    <row r="35" spans="1:9" x14ac:dyDescent="0.25">
      <c r="A35" s="76"/>
      <c r="B35" s="76"/>
      <c r="C35" s="76"/>
      <c r="D35" s="880" t="s">
        <v>21</v>
      </c>
      <c r="E35" s="881"/>
      <c r="F35" s="147">
        <f>E6+E5+E4-F34</f>
        <v>3690.08</v>
      </c>
      <c r="G35" s="76"/>
      <c r="H35" s="76"/>
    </row>
    <row r="36" spans="1:9" ht="15.75" thickBot="1" x14ac:dyDescent="0.3">
      <c r="A36" s="76"/>
      <c r="B36" s="76"/>
      <c r="C36" s="76"/>
      <c r="D36" s="882" t="s">
        <v>4</v>
      </c>
      <c r="E36" s="883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0" t="s">
        <v>125</v>
      </c>
      <c r="C4" s="104"/>
      <c r="D4" s="141"/>
      <c r="E4" s="87"/>
      <c r="F4" s="74"/>
      <c r="G4" s="802"/>
    </row>
    <row r="5" spans="1:9" x14ac:dyDescent="0.25">
      <c r="A5" s="76"/>
      <c r="B5" s="1231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1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51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51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1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51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51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51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51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1"/>
      <c r="E16" s="752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3"/>
      <c r="E17" s="752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1"/>
      <c r="E18" s="752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1"/>
      <c r="E19" s="752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1"/>
      <c r="E20" s="752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1"/>
      <c r="E21" s="752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1"/>
      <c r="E22" s="752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1"/>
      <c r="E23" s="752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1"/>
      <c r="E24" s="752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1"/>
      <c r="E25" s="752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1"/>
      <c r="E26" s="752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8" t="s">
        <v>21</v>
      </c>
      <c r="E33" s="799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0" t="s">
        <v>4</v>
      </c>
      <c r="E34" s="801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4" t="s">
        <v>257</v>
      </c>
      <c r="B1" s="1164"/>
      <c r="C1" s="1164"/>
      <c r="D1" s="1164"/>
      <c r="E1" s="1164"/>
      <c r="F1" s="1164"/>
      <c r="G1" s="11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0" t="s">
        <v>74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31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243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13">
        <v>18.7</v>
      </c>
      <c r="E9" s="1014">
        <v>44539</v>
      </c>
      <c r="F9" s="1015">
        <f t="shared" si="0"/>
        <v>18.7</v>
      </c>
      <c r="G9" s="1086" t="s">
        <v>488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13"/>
      <c r="E10" s="1014"/>
      <c r="F10" s="1015">
        <f t="shared" si="0"/>
        <v>0</v>
      </c>
      <c r="G10" s="1088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13"/>
      <c r="E11" s="1014"/>
      <c r="F11" s="1015">
        <f t="shared" si="0"/>
        <v>0</v>
      </c>
      <c r="G11" s="1088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13"/>
      <c r="E12" s="1014"/>
      <c r="F12" s="1015">
        <f t="shared" si="0"/>
        <v>0</v>
      </c>
      <c r="G12" s="1088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13"/>
      <c r="E13" s="1014"/>
      <c r="F13" s="1015">
        <f t="shared" si="0"/>
        <v>0</v>
      </c>
      <c r="G13" s="1088"/>
      <c r="H13" s="279"/>
      <c r="I13" s="47">
        <f t="shared" si="1"/>
        <v>383.34999999999997</v>
      </c>
    </row>
    <row r="14" spans="1:9" x14ac:dyDescent="0.25">
      <c r="B14" s="2"/>
      <c r="C14" s="15"/>
      <c r="D14" s="1013"/>
      <c r="E14" s="1014"/>
      <c r="F14" s="1015">
        <f t="shared" si="0"/>
        <v>0</v>
      </c>
      <c r="G14" s="1088"/>
      <c r="H14" s="279"/>
      <c r="I14" s="47">
        <f t="shared" si="1"/>
        <v>383.34999999999997</v>
      </c>
    </row>
    <row r="15" spans="1:9" x14ac:dyDescent="0.25">
      <c r="B15" s="2"/>
      <c r="C15" s="15"/>
      <c r="D15" s="1013"/>
      <c r="E15" s="1014"/>
      <c r="F15" s="1015">
        <f t="shared" si="0"/>
        <v>0</v>
      </c>
      <c r="G15" s="1089"/>
      <c r="H15" s="72"/>
      <c r="I15" s="47">
        <f t="shared" si="1"/>
        <v>383.34999999999997</v>
      </c>
    </row>
    <row r="16" spans="1:9" x14ac:dyDescent="0.25">
      <c r="B16" s="2"/>
      <c r="C16" s="15"/>
      <c r="D16" s="1013"/>
      <c r="E16" s="1016"/>
      <c r="F16" s="1015">
        <f t="shared" si="0"/>
        <v>0</v>
      </c>
      <c r="G16" s="1089"/>
      <c r="H16" s="72"/>
      <c r="I16" s="47">
        <f t="shared" si="1"/>
        <v>383.34999999999997</v>
      </c>
    </row>
    <row r="17" spans="1:9" x14ac:dyDescent="0.25">
      <c r="B17" s="2"/>
      <c r="C17" s="15"/>
      <c r="D17" s="1017"/>
      <c r="E17" s="1016"/>
      <c r="F17" s="1015">
        <f t="shared" si="0"/>
        <v>0</v>
      </c>
      <c r="G17" s="1089"/>
      <c r="H17" s="72"/>
      <c r="I17" s="47">
        <f t="shared" si="1"/>
        <v>383.34999999999997</v>
      </c>
    </row>
    <row r="18" spans="1:9" x14ac:dyDescent="0.25">
      <c r="B18" s="2"/>
      <c r="C18" s="15"/>
      <c r="D18" s="1013"/>
      <c r="E18" s="1016"/>
      <c r="F18" s="1015">
        <f t="shared" si="0"/>
        <v>0</v>
      </c>
      <c r="G18" s="1089"/>
      <c r="H18" s="72"/>
      <c r="I18" s="47">
        <f t="shared" si="1"/>
        <v>383.34999999999997</v>
      </c>
    </row>
    <row r="19" spans="1:9" x14ac:dyDescent="0.25">
      <c r="B19" s="2"/>
      <c r="C19" s="15"/>
      <c r="D19" s="1013"/>
      <c r="E19" s="1016"/>
      <c r="F19" s="1015">
        <f t="shared" si="0"/>
        <v>0</v>
      </c>
      <c r="G19" s="1089"/>
      <c r="H19" s="72"/>
    </row>
    <row r="20" spans="1:9" x14ac:dyDescent="0.25">
      <c r="B20" s="2"/>
      <c r="C20" s="15"/>
      <c r="D20" s="1013"/>
      <c r="E20" s="1016"/>
      <c r="F20" s="1015">
        <f t="shared" si="0"/>
        <v>0</v>
      </c>
      <c r="G20" s="1089"/>
      <c r="H20" s="72"/>
    </row>
    <row r="21" spans="1:9" x14ac:dyDescent="0.25">
      <c r="B21" s="2"/>
      <c r="C21" s="15"/>
      <c r="D21" s="1013"/>
      <c r="E21" s="1016"/>
      <c r="F21" s="1015">
        <f t="shared" si="0"/>
        <v>0</v>
      </c>
      <c r="G21" s="1089"/>
      <c r="H21" s="72"/>
    </row>
    <row r="22" spans="1:9" x14ac:dyDescent="0.25">
      <c r="B22" s="2"/>
      <c r="C22" s="15"/>
      <c r="D22" s="1013"/>
      <c r="E22" s="1016"/>
      <c r="F22" s="1015">
        <f t="shared" si="0"/>
        <v>0</v>
      </c>
      <c r="G22" s="1089"/>
      <c r="H22" s="72"/>
    </row>
    <row r="23" spans="1:9" x14ac:dyDescent="0.25">
      <c r="B23" s="2"/>
      <c r="C23" s="15"/>
      <c r="D23" s="1013"/>
      <c r="E23" s="1016"/>
      <c r="F23" s="1015">
        <f t="shared" si="0"/>
        <v>0</v>
      </c>
      <c r="G23" s="1089"/>
      <c r="H23" s="72"/>
    </row>
    <row r="24" spans="1:9" x14ac:dyDescent="0.25">
      <c r="B24" s="2"/>
      <c r="C24" s="15"/>
      <c r="D24" s="1013"/>
      <c r="E24" s="1016"/>
      <c r="F24" s="1015">
        <f t="shared" si="0"/>
        <v>0</v>
      </c>
      <c r="G24" s="1087"/>
      <c r="H24" s="72"/>
    </row>
    <row r="25" spans="1:9" x14ac:dyDescent="0.25">
      <c r="B25" s="2"/>
      <c r="C25" s="15"/>
      <c r="D25" s="1013"/>
      <c r="E25" s="1016"/>
      <c r="F25" s="1015">
        <f t="shared" si="0"/>
        <v>0</v>
      </c>
      <c r="G25" s="1087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9"/>
  <sheetViews>
    <sheetView workbookViewId="0">
      <selection activeCell="B12" sqref="B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8" t="s">
        <v>257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230" t="s">
        <v>73</v>
      </c>
      <c r="C4" s="104"/>
      <c r="D4" s="141"/>
      <c r="E4" s="87"/>
      <c r="F4" s="74"/>
      <c r="G4" s="1045"/>
    </row>
    <row r="5" spans="1:9" x14ac:dyDescent="0.25">
      <c r="A5" s="74" t="s">
        <v>67</v>
      </c>
      <c r="B5" s="1232"/>
      <c r="C5" s="104">
        <v>53</v>
      </c>
      <c r="D5" s="141">
        <v>44553</v>
      </c>
      <c r="E5" s="87">
        <v>2984.3</v>
      </c>
      <c r="F5" s="74">
        <v>105</v>
      </c>
      <c r="G5" s="48">
        <f>F32</f>
        <v>0</v>
      </c>
      <c r="H5" s="144">
        <f>E5-G5</f>
        <v>2984.3</v>
      </c>
    </row>
    <row r="6" spans="1:9" ht="15.75" thickBot="1" x14ac:dyDescent="0.3">
      <c r="B6" s="1233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2">
        <f t="shared" ref="F8:F28" si="0">D8</f>
        <v>0</v>
      </c>
      <c r="G8" s="334"/>
      <c r="H8" s="279"/>
      <c r="I8" s="47">
        <f>E4+E5+E6-D8</f>
        <v>2984.3</v>
      </c>
    </row>
    <row r="9" spans="1:9" x14ac:dyDescent="0.25">
      <c r="A9" s="76"/>
      <c r="B9" s="2"/>
      <c r="C9" s="15"/>
      <c r="D9" s="1013"/>
      <c r="E9" s="80"/>
      <c r="F9" s="292">
        <f t="shared" si="0"/>
        <v>0</v>
      </c>
      <c r="G9" s="270"/>
      <c r="H9" s="832"/>
      <c r="I9" s="275">
        <f>I8-D9</f>
        <v>2984.3</v>
      </c>
    </row>
    <row r="10" spans="1:9" x14ac:dyDescent="0.25">
      <c r="A10" s="76"/>
      <c r="B10" s="2"/>
      <c r="C10" s="15"/>
      <c r="D10" s="1013"/>
      <c r="E10" s="80"/>
      <c r="F10" s="292">
        <f t="shared" si="0"/>
        <v>0</v>
      </c>
      <c r="G10" s="334"/>
      <c r="H10" s="334"/>
      <c r="I10" s="275">
        <f t="shared" ref="I10:I18" si="1">I9-D10</f>
        <v>2984.3</v>
      </c>
    </row>
    <row r="11" spans="1:9" x14ac:dyDescent="0.25">
      <c r="A11" s="56"/>
      <c r="B11" s="2"/>
      <c r="C11" s="15"/>
      <c r="D11" s="1013"/>
      <c r="E11" s="80"/>
      <c r="F11" s="292">
        <f t="shared" si="0"/>
        <v>0</v>
      </c>
      <c r="G11" s="334"/>
      <c r="H11" s="832"/>
      <c r="I11" s="275">
        <f t="shared" si="1"/>
        <v>2984.3</v>
      </c>
    </row>
    <row r="12" spans="1:9" x14ac:dyDescent="0.25">
      <c r="A12" s="76"/>
      <c r="B12" s="2"/>
      <c r="C12" s="15"/>
      <c r="D12" s="1013"/>
      <c r="E12" s="80"/>
      <c r="F12" s="292">
        <f t="shared" si="0"/>
        <v>0</v>
      </c>
      <c r="G12" s="334"/>
      <c r="H12" s="832"/>
      <c r="I12" s="275">
        <f t="shared" si="1"/>
        <v>2984.3</v>
      </c>
    </row>
    <row r="13" spans="1:9" x14ac:dyDescent="0.25">
      <c r="A13" s="76"/>
      <c r="B13" s="2"/>
      <c r="C13" s="15"/>
      <c r="D13" s="1013"/>
      <c r="E13" s="80"/>
      <c r="F13" s="292">
        <f t="shared" si="0"/>
        <v>0</v>
      </c>
      <c r="G13" s="334"/>
      <c r="H13" s="832"/>
      <c r="I13" s="47">
        <f t="shared" si="1"/>
        <v>2984.3</v>
      </c>
    </row>
    <row r="14" spans="1:9" x14ac:dyDescent="0.25">
      <c r="B14" s="2"/>
      <c r="C14" s="15"/>
      <c r="D14" s="1013"/>
      <c r="E14" s="80"/>
      <c r="F14" s="292">
        <f t="shared" si="0"/>
        <v>0</v>
      </c>
      <c r="G14" s="334"/>
      <c r="H14" s="832"/>
      <c r="I14" s="47">
        <f t="shared" si="1"/>
        <v>2984.3</v>
      </c>
    </row>
    <row r="15" spans="1:9" x14ac:dyDescent="0.25">
      <c r="B15" s="2"/>
      <c r="C15" s="15"/>
      <c r="D15" s="1013"/>
      <c r="E15" s="80"/>
      <c r="F15" s="292">
        <f t="shared" si="0"/>
        <v>0</v>
      </c>
      <c r="G15" s="96"/>
      <c r="H15" s="66"/>
      <c r="I15" s="47">
        <f t="shared" si="1"/>
        <v>2984.3</v>
      </c>
    </row>
    <row r="16" spans="1:9" x14ac:dyDescent="0.25">
      <c r="B16" s="2"/>
      <c r="C16" s="15"/>
      <c r="D16" s="1013"/>
      <c r="E16" s="1049"/>
      <c r="F16" s="292">
        <f t="shared" si="0"/>
        <v>0</v>
      </c>
      <c r="G16" s="96"/>
      <c r="H16" s="66"/>
      <c r="I16" s="47">
        <f t="shared" si="1"/>
        <v>2984.3</v>
      </c>
    </row>
    <row r="17" spans="1:9" x14ac:dyDescent="0.25">
      <c r="B17" s="2"/>
      <c r="C17" s="15"/>
      <c r="D17" s="1017"/>
      <c r="E17" s="1049"/>
      <c r="F17" s="292">
        <f t="shared" si="0"/>
        <v>0</v>
      </c>
      <c r="G17" s="96"/>
      <c r="H17" s="66"/>
      <c r="I17" s="47">
        <f t="shared" si="1"/>
        <v>2984.3</v>
      </c>
    </row>
    <row r="18" spans="1:9" x14ac:dyDescent="0.25">
      <c r="B18" s="2"/>
      <c r="C18" s="15"/>
      <c r="D18" s="1013"/>
      <c r="E18" s="1049"/>
      <c r="F18" s="292">
        <f t="shared" si="0"/>
        <v>0</v>
      </c>
      <c r="G18" s="96"/>
      <c r="H18" s="66"/>
      <c r="I18" s="47">
        <f t="shared" si="1"/>
        <v>2984.3</v>
      </c>
    </row>
    <row r="19" spans="1:9" x14ac:dyDescent="0.25">
      <c r="B19" s="2"/>
      <c r="C19" s="15"/>
      <c r="D19" s="1013"/>
      <c r="E19" s="1049"/>
      <c r="F19" s="292">
        <f t="shared" si="0"/>
        <v>0</v>
      </c>
      <c r="G19" s="96"/>
      <c r="H19" s="66"/>
    </row>
    <row r="20" spans="1:9" x14ac:dyDescent="0.25">
      <c r="B20" s="2"/>
      <c r="C20" s="15"/>
      <c r="D20" s="1013"/>
      <c r="E20" s="1049"/>
      <c r="F20" s="292">
        <f t="shared" si="0"/>
        <v>0</v>
      </c>
      <c r="G20" s="96"/>
      <c r="H20" s="66"/>
    </row>
    <row r="21" spans="1:9" x14ac:dyDescent="0.25">
      <c r="B21" s="2"/>
      <c r="C21" s="15"/>
      <c r="D21" s="1013"/>
      <c r="E21" s="1049"/>
      <c r="F21" s="292">
        <f t="shared" si="0"/>
        <v>0</v>
      </c>
      <c r="G21" s="96"/>
      <c r="H21" s="66"/>
    </row>
    <row r="22" spans="1:9" x14ac:dyDescent="0.25">
      <c r="B22" s="2"/>
      <c r="C22" s="15"/>
      <c r="D22" s="1013"/>
      <c r="E22" s="1049"/>
      <c r="F22" s="292">
        <f t="shared" si="0"/>
        <v>0</v>
      </c>
      <c r="G22" s="96"/>
      <c r="H22" s="66"/>
    </row>
    <row r="23" spans="1:9" x14ac:dyDescent="0.25">
      <c r="B23" s="2"/>
      <c r="C23" s="15"/>
      <c r="D23" s="1013"/>
      <c r="E23" s="1049"/>
      <c r="F23" s="292">
        <f t="shared" si="0"/>
        <v>0</v>
      </c>
      <c r="G23" s="96"/>
      <c r="H23" s="66"/>
    </row>
    <row r="24" spans="1:9" x14ac:dyDescent="0.25">
      <c r="B24" s="2"/>
      <c r="C24" s="15"/>
      <c r="D24" s="1013"/>
      <c r="E24" s="1049"/>
      <c r="F24" s="292">
        <f t="shared" si="0"/>
        <v>0</v>
      </c>
      <c r="G24" s="96"/>
      <c r="H24" s="66"/>
    </row>
    <row r="25" spans="1:9" x14ac:dyDescent="0.25">
      <c r="B25" s="2"/>
      <c r="C25" s="15"/>
      <c r="D25" s="1013"/>
      <c r="E25" s="1049"/>
      <c r="F25" s="292">
        <f t="shared" si="0"/>
        <v>0</v>
      </c>
      <c r="G25" s="96"/>
      <c r="H25" s="66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1040" t="s">
        <v>21</v>
      </c>
      <c r="E33" s="1041"/>
      <c r="F33" s="147">
        <f>E5-D32</f>
        <v>2984.3</v>
      </c>
      <c r="G33" s="76"/>
      <c r="H33" s="76"/>
    </row>
    <row r="34" spans="1:8" ht="15.75" thickBot="1" x14ac:dyDescent="0.3">
      <c r="A34" s="76"/>
      <c r="B34" s="76"/>
      <c r="C34" s="76"/>
      <c r="D34" s="1042" t="s">
        <v>4</v>
      </c>
      <c r="E34" s="1043"/>
      <c r="F34" s="49">
        <f>F4+F5-C32</f>
        <v>105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25" activePane="bottomLeft" state="frozen"/>
      <selection pane="bottomLeft" activeCell="H33" sqref="H3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64" t="s">
        <v>256</v>
      </c>
      <c r="B1" s="1164"/>
      <c r="C1" s="1164"/>
      <c r="D1" s="1164"/>
      <c r="E1" s="1164"/>
      <c r="F1" s="1164"/>
      <c r="G1" s="1164"/>
      <c r="H1" s="11">
        <v>1</v>
      </c>
      <c r="K1" s="1168" t="s">
        <v>267</v>
      </c>
      <c r="L1" s="1168"/>
      <c r="M1" s="1168"/>
      <c r="N1" s="1168"/>
      <c r="O1" s="1168"/>
      <c r="P1" s="1168"/>
      <c r="Q1" s="11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5"/>
      <c r="B4" s="1169" t="s">
        <v>166</v>
      </c>
      <c r="C4" s="338"/>
      <c r="D4" s="261"/>
      <c r="E4" s="840"/>
      <c r="F4" s="256"/>
      <c r="G4" s="166"/>
      <c r="H4" s="166"/>
      <c r="K4" s="755"/>
      <c r="L4" s="1169" t="s">
        <v>166</v>
      </c>
      <c r="M4" s="338"/>
      <c r="N4" s="261"/>
      <c r="O4" s="840"/>
      <c r="P4" s="256"/>
      <c r="Q4" s="166"/>
      <c r="R4" s="166"/>
    </row>
    <row r="5" spans="1:19" ht="15" customHeight="1" x14ac:dyDescent="0.25">
      <c r="A5" s="1157" t="s">
        <v>53</v>
      </c>
      <c r="B5" s="1166"/>
      <c r="C5" s="338">
        <v>150</v>
      </c>
      <c r="D5" s="261">
        <v>44515</v>
      </c>
      <c r="E5" s="840">
        <v>18217</v>
      </c>
      <c r="F5" s="256">
        <v>590</v>
      </c>
      <c r="G5" s="273"/>
      <c r="K5" s="1157" t="s">
        <v>270</v>
      </c>
      <c r="L5" s="1166"/>
      <c r="M5" s="338">
        <v>150</v>
      </c>
      <c r="N5" s="261">
        <v>44537</v>
      </c>
      <c r="O5" s="840">
        <v>384.1</v>
      </c>
      <c r="P5" s="256">
        <v>10</v>
      </c>
      <c r="Q5" s="273"/>
    </row>
    <row r="6" spans="1:19" x14ac:dyDescent="0.25">
      <c r="A6" s="1157"/>
      <c r="B6" s="1166"/>
      <c r="C6" s="640"/>
      <c r="D6" s="261"/>
      <c r="E6" s="841">
        <v>1691.25</v>
      </c>
      <c r="F6" s="74">
        <v>18</v>
      </c>
      <c r="G6" s="275">
        <f>F79</f>
        <v>10158.429999999998</v>
      </c>
      <c r="H6" s="7">
        <f>E6-G6+E7+E5-G5+E4</f>
        <v>9749.8200000000015</v>
      </c>
      <c r="K6" s="1157"/>
      <c r="L6" s="1166"/>
      <c r="M6" s="640"/>
      <c r="N6" s="261"/>
      <c r="O6" s="841"/>
      <c r="P6" s="74"/>
      <c r="Q6" s="275">
        <f>P79</f>
        <v>0</v>
      </c>
      <c r="R6" s="7">
        <f>O6-Q6+O7+O5-Q5+O4</f>
        <v>384.1</v>
      </c>
    </row>
    <row r="7" spans="1:19" x14ac:dyDescent="0.25">
      <c r="A7" s="755"/>
      <c r="B7" s="285"/>
      <c r="C7" s="296"/>
      <c r="D7" s="287"/>
      <c r="E7" s="840"/>
      <c r="F7" s="256"/>
      <c r="G7" s="253"/>
      <c r="K7" s="755"/>
      <c r="L7" s="285"/>
      <c r="M7" s="296"/>
      <c r="N7" s="287"/>
      <c r="O7" s="840"/>
      <c r="P7" s="256"/>
      <c r="Q7" s="253"/>
    </row>
    <row r="8" spans="1:19" ht="15.75" thickBot="1" x14ac:dyDescent="0.3">
      <c r="A8" s="755"/>
      <c r="B8" s="285"/>
      <c r="C8" s="296"/>
      <c r="D8" s="287"/>
      <c r="E8" s="840"/>
      <c r="F8" s="256"/>
      <c r="G8" s="253"/>
      <c r="K8" s="755"/>
      <c r="L8" s="285"/>
      <c r="M8" s="296"/>
      <c r="N8" s="287"/>
      <c r="O8" s="840"/>
      <c r="P8" s="256"/>
      <c r="Q8" s="253"/>
    </row>
    <row r="9" spans="1:19" ht="16.5" thickTop="1" thickBot="1" x14ac:dyDescent="0.3">
      <c r="A9" s="124"/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239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384.1</v>
      </c>
    </row>
    <row r="11" spans="1:19" x14ac:dyDescent="0.25">
      <c r="A11" s="217"/>
      <c r="B11" s="84">
        <f>B10-C11</f>
        <v>549</v>
      </c>
      <c r="C11" s="15">
        <v>30</v>
      </c>
      <c r="D11" s="989">
        <v>863.59</v>
      </c>
      <c r="E11" s="990">
        <v>44537</v>
      </c>
      <c r="F11" s="989">
        <f t="shared" si="0"/>
        <v>863.59</v>
      </c>
      <c r="G11" s="689" t="s">
        <v>451</v>
      </c>
      <c r="H11" s="991">
        <v>155</v>
      </c>
      <c r="I11" s="288">
        <f>I10-F11</f>
        <v>18223.419999999998</v>
      </c>
      <c r="K11" s="217"/>
      <c r="L11" s="84">
        <f>L10-M11</f>
        <v>10</v>
      </c>
      <c r="M11" s="15"/>
      <c r="N11" s="989"/>
      <c r="O11" s="990"/>
      <c r="P11" s="989">
        <f t="shared" si="1"/>
        <v>0</v>
      </c>
      <c r="Q11" s="689"/>
      <c r="R11" s="991"/>
      <c r="S11" s="288">
        <f>S10-P11</f>
        <v>384.1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9">
        <v>28.03</v>
      </c>
      <c r="E12" s="990">
        <v>44537</v>
      </c>
      <c r="F12" s="989">
        <f t="shared" si="0"/>
        <v>28.03</v>
      </c>
      <c r="G12" s="689" t="s">
        <v>456</v>
      </c>
      <c r="H12" s="991">
        <v>155</v>
      </c>
      <c r="I12" s="288">
        <f t="shared" ref="I12:I75" si="3">I11-F12</f>
        <v>18195.39</v>
      </c>
      <c r="K12" s="205"/>
      <c r="L12" s="84">
        <f t="shared" ref="L12:L18" si="4">L11-M12</f>
        <v>10</v>
      </c>
      <c r="M12" s="15"/>
      <c r="N12" s="989"/>
      <c r="O12" s="990"/>
      <c r="P12" s="989">
        <f t="shared" si="1"/>
        <v>0</v>
      </c>
      <c r="Q12" s="689"/>
      <c r="R12" s="991"/>
      <c r="S12" s="288">
        <f t="shared" ref="S12:S75" si="5">S11-P12</f>
        <v>384.1</v>
      </c>
    </row>
    <row r="13" spans="1:19" ht="15.75" x14ac:dyDescent="0.25">
      <c r="A13" s="205"/>
      <c r="B13" s="84">
        <f t="shared" si="2"/>
        <v>538</v>
      </c>
      <c r="C13" s="15">
        <v>10</v>
      </c>
      <c r="D13" s="989">
        <v>384.1</v>
      </c>
      <c r="E13" s="990">
        <v>44537</v>
      </c>
      <c r="F13" s="989">
        <f t="shared" si="0"/>
        <v>384.1</v>
      </c>
      <c r="G13" s="689" t="s">
        <v>461</v>
      </c>
      <c r="H13" s="991">
        <v>150</v>
      </c>
      <c r="I13" s="468">
        <f t="shared" si="3"/>
        <v>17811.29</v>
      </c>
      <c r="K13" s="205"/>
      <c r="L13" s="84">
        <f t="shared" si="4"/>
        <v>10</v>
      </c>
      <c r="M13" s="15"/>
      <c r="N13" s="989"/>
      <c r="O13" s="990"/>
      <c r="P13" s="989">
        <f t="shared" si="1"/>
        <v>0</v>
      </c>
      <c r="Q13" s="689"/>
      <c r="R13" s="991"/>
      <c r="S13" s="468">
        <f t="shared" si="5"/>
        <v>384.1</v>
      </c>
    </row>
    <row r="14" spans="1:19" ht="15.75" x14ac:dyDescent="0.25">
      <c r="A14" s="83" t="s">
        <v>33</v>
      </c>
      <c r="B14" s="84">
        <f t="shared" si="2"/>
        <v>536</v>
      </c>
      <c r="C14" s="15">
        <v>2</v>
      </c>
      <c r="D14" s="989">
        <v>53.52</v>
      </c>
      <c r="E14" s="990">
        <v>44539</v>
      </c>
      <c r="F14" s="989">
        <f t="shared" si="0"/>
        <v>53.52</v>
      </c>
      <c r="G14" s="689" t="s">
        <v>496</v>
      </c>
      <c r="H14" s="991">
        <v>155</v>
      </c>
      <c r="I14" s="468">
        <f t="shared" si="3"/>
        <v>17757.77</v>
      </c>
      <c r="K14" s="83" t="s">
        <v>33</v>
      </c>
      <c r="L14" s="84">
        <f t="shared" si="4"/>
        <v>10</v>
      </c>
      <c r="M14" s="15"/>
      <c r="N14" s="989"/>
      <c r="O14" s="990"/>
      <c r="P14" s="989">
        <f t="shared" si="1"/>
        <v>0</v>
      </c>
      <c r="Q14" s="689"/>
      <c r="R14" s="991"/>
      <c r="S14" s="468">
        <f t="shared" si="5"/>
        <v>384.1</v>
      </c>
    </row>
    <row r="15" spans="1:19" ht="15.75" x14ac:dyDescent="0.25">
      <c r="A15" s="74"/>
      <c r="B15" s="84">
        <f t="shared" si="2"/>
        <v>501</v>
      </c>
      <c r="C15" s="15">
        <v>35</v>
      </c>
      <c r="D15" s="989">
        <v>1151.5</v>
      </c>
      <c r="E15" s="990">
        <v>44540</v>
      </c>
      <c r="F15" s="989">
        <f t="shared" si="0"/>
        <v>1151.5</v>
      </c>
      <c r="G15" s="689" t="s">
        <v>508</v>
      </c>
      <c r="H15" s="991">
        <v>155</v>
      </c>
      <c r="I15" s="468">
        <f t="shared" si="3"/>
        <v>16606.27</v>
      </c>
      <c r="K15" s="74"/>
      <c r="L15" s="84">
        <f t="shared" si="4"/>
        <v>10</v>
      </c>
      <c r="M15" s="15"/>
      <c r="N15" s="989"/>
      <c r="O15" s="990"/>
      <c r="P15" s="989">
        <f t="shared" si="1"/>
        <v>0</v>
      </c>
      <c r="Q15" s="689"/>
      <c r="R15" s="991"/>
      <c r="S15" s="468">
        <f t="shared" si="5"/>
        <v>384.1</v>
      </c>
    </row>
    <row r="16" spans="1:19" x14ac:dyDescent="0.25">
      <c r="A16" s="74"/>
      <c r="B16" s="84">
        <f t="shared" si="2"/>
        <v>481</v>
      </c>
      <c r="C16" s="15">
        <v>20</v>
      </c>
      <c r="D16" s="989">
        <v>516.39</v>
      </c>
      <c r="E16" s="990">
        <v>44541</v>
      </c>
      <c r="F16" s="989">
        <f t="shared" si="0"/>
        <v>516.39</v>
      </c>
      <c r="G16" s="689" t="s">
        <v>511</v>
      </c>
      <c r="H16" s="991">
        <v>155</v>
      </c>
      <c r="I16" s="288">
        <f t="shared" si="3"/>
        <v>16089.880000000001</v>
      </c>
      <c r="K16" s="74"/>
      <c r="L16" s="84">
        <f t="shared" si="4"/>
        <v>10</v>
      </c>
      <c r="M16" s="15"/>
      <c r="N16" s="989"/>
      <c r="O16" s="990"/>
      <c r="P16" s="989">
        <f t="shared" si="1"/>
        <v>0</v>
      </c>
      <c r="Q16" s="689"/>
      <c r="R16" s="991"/>
      <c r="S16" s="288">
        <f t="shared" si="5"/>
        <v>384.1</v>
      </c>
    </row>
    <row r="17" spans="1:19" x14ac:dyDescent="0.25">
      <c r="B17" s="84">
        <f t="shared" si="2"/>
        <v>446</v>
      </c>
      <c r="C17" s="15">
        <v>35</v>
      </c>
      <c r="D17" s="989">
        <v>1064.5</v>
      </c>
      <c r="E17" s="990">
        <v>44543</v>
      </c>
      <c r="F17" s="989">
        <f t="shared" si="0"/>
        <v>1064.5</v>
      </c>
      <c r="G17" s="689" t="s">
        <v>481</v>
      </c>
      <c r="H17" s="991">
        <v>155</v>
      </c>
      <c r="I17" s="288">
        <f t="shared" si="3"/>
        <v>15025.380000000001</v>
      </c>
      <c r="L17" s="84">
        <f t="shared" si="4"/>
        <v>10</v>
      </c>
      <c r="M17" s="15"/>
      <c r="N17" s="989"/>
      <c r="O17" s="990"/>
      <c r="P17" s="989">
        <f t="shared" si="1"/>
        <v>0</v>
      </c>
      <c r="Q17" s="689"/>
      <c r="R17" s="991"/>
      <c r="S17" s="288">
        <f t="shared" si="5"/>
        <v>384.1</v>
      </c>
    </row>
    <row r="18" spans="1:19" x14ac:dyDescent="0.25">
      <c r="B18" s="84">
        <f t="shared" si="2"/>
        <v>445</v>
      </c>
      <c r="C18" s="15">
        <v>1</v>
      </c>
      <c r="D18" s="989">
        <v>25.45</v>
      </c>
      <c r="E18" s="990">
        <v>44544</v>
      </c>
      <c r="F18" s="989">
        <f t="shared" si="0"/>
        <v>25.45</v>
      </c>
      <c r="G18" s="689" t="s">
        <v>526</v>
      </c>
      <c r="H18" s="991">
        <v>155</v>
      </c>
      <c r="I18" s="288">
        <f t="shared" si="3"/>
        <v>14999.93</v>
      </c>
      <c r="L18" s="84">
        <f t="shared" si="4"/>
        <v>10</v>
      </c>
      <c r="M18" s="15"/>
      <c r="N18" s="989"/>
      <c r="O18" s="990"/>
      <c r="P18" s="989">
        <f t="shared" si="1"/>
        <v>0</v>
      </c>
      <c r="Q18" s="689"/>
      <c r="R18" s="991"/>
      <c r="S18" s="288">
        <f t="shared" si="5"/>
        <v>384.1</v>
      </c>
    </row>
    <row r="19" spans="1:19" x14ac:dyDescent="0.25">
      <c r="A19" s="126"/>
      <c r="B19" s="84">
        <f>B18-C19</f>
        <v>435</v>
      </c>
      <c r="C19" s="15">
        <v>10</v>
      </c>
      <c r="D19" s="989">
        <v>294.98</v>
      </c>
      <c r="E19" s="990">
        <v>44544</v>
      </c>
      <c r="F19" s="989">
        <f t="shared" si="0"/>
        <v>294.98</v>
      </c>
      <c r="G19" s="689" t="s">
        <v>492</v>
      </c>
      <c r="H19" s="991">
        <v>155</v>
      </c>
      <c r="I19" s="288">
        <f t="shared" si="3"/>
        <v>14704.95</v>
      </c>
      <c r="K19" s="126"/>
      <c r="L19" s="84">
        <f>L18-M19</f>
        <v>10</v>
      </c>
      <c r="M19" s="15"/>
      <c r="N19" s="989"/>
      <c r="O19" s="990"/>
      <c r="P19" s="989">
        <f t="shared" si="1"/>
        <v>0</v>
      </c>
      <c r="Q19" s="689"/>
      <c r="R19" s="991"/>
      <c r="S19" s="288">
        <f t="shared" si="5"/>
        <v>384.1</v>
      </c>
    </row>
    <row r="20" spans="1:19" x14ac:dyDescent="0.25">
      <c r="A20" s="126"/>
      <c r="B20" s="84">
        <f t="shared" ref="B20:B55" si="6">B19-C20</f>
        <v>434</v>
      </c>
      <c r="C20" s="15">
        <v>1</v>
      </c>
      <c r="D20" s="989">
        <v>27.4</v>
      </c>
      <c r="E20" s="990">
        <v>44545</v>
      </c>
      <c r="F20" s="989">
        <f t="shared" si="0"/>
        <v>27.4</v>
      </c>
      <c r="G20" s="689" t="s">
        <v>533</v>
      </c>
      <c r="H20" s="991">
        <v>155</v>
      </c>
      <c r="I20" s="288">
        <f t="shared" si="3"/>
        <v>14677.550000000001</v>
      </c>
      <c r="K20" s="126"/>
      <c r="L20" s="84">
        <f t="shared" ref="L20:L55" si="7">L19-M20</f>
        <v>10</v>
      </c>
      <c r="M20" s="15"/>
      <c r="N20" s="989"/>
      <c r="O20" s="990"/>
      <c r="P20" s="989">
        <f t="shared" si="1"/>
        <v>0</v>
      </c>
      <c r="Q20" s="689"/>
      <c r="R20" s="991"/>
      <c r="S20" s="288">
        <f t="shared" si="5"/>
        <v>384.1</v>
      </c>
    </row>
    <row r="21" spans="1:19" x14ac:dyDescent="0.25">
      <c r="A21" s="126"/>
      <c r="B21" s="84">
        <f t="shared" si="6"/>
        <v>432</v>
      </c>
      <c r="C21" s="15">
        <v>2</v>
      </c>
      <c r="D21" s="989">
        <v>55.57</v>
      </c>
      <c r="E21" s="990">
        <v>44548</v>
      </c>
      <c r="F21" s="989">
        <f t="shared" si="0"/>
        <v>55.57</v>
      </c>
      <c r="G21" s="689" t="s">
        <v>552</v>
      </c>
      <c r="H21" s="991">
        <v>155</v>
      </c>
      <c r="I21" s="288">
        <f t="shared" si="3"/>
        <v>14621.980000000001</v>
      </c>
      <c r="K21" s="126"/>
      <c r="L21" s="84">
        <f t="shared" si="7"/>
        <v>10</v>
      </c>
      <c r="M21" s="15"/>
      <c r="N21" s="989"/>
      <c r="O21" s="990"/>
      <c r="P21" s="989">
        <f t="shared" si="1"/>
        <v>0</v>
      </c>
      <c r="Q21" s="689"/>
      <c r="R21" s="991"/>
      <c r="S21" s="288">
        <f t="shared" si="5"/>
        <v>384.1</v>
      </c>
    </row>
    <row r="22" spans="1:19" x14ac:dyDescent="0.25">
      <c r="A22" s="126"/>
      <c r="B22" s="84">
        <f t="shared" si="6"/>
        <v>397</v>
      </c>
      <c r="C22" s="15">
        <v>35</v>
      </c>
      <c r="D22" s="989">
        <v>1121.07</v>
      </c>
      <c r="E22" s="990">
        <v>44548</v>
      </c>
      <c r="F22" s="989">
        <f t="shared" si="0"/>
        <v>1121.07</v>
      </c>
      <c r="G22" s="689" t="s">
        <v>553</v>
      </c>
      <c r="H22" s="991">
        <v>155</v>
      </c>
      <c r="I22" s="288">
        <f t="shared" si="3"/>
        <v>13500.910000000002</v>
      </c>
      <c r="K22" s="126"/>
      <c r="L22" s="84">
        <f t="shared" si="7"/>
        <v>10</v>
      </c>
      <c r="M22" s="15"/>
      <c r="N22" s="989"/>
      <c r="O22" s="990"/>
      <c r="P22" s="989">
        <f t="shared" si="1"/>
        <v>0</v>
      </c>
      <c r="Q22" s="689"/>
      <c r="R22" s="991"/>
      <c r="S22" s="288">
        <f t="shared" si="5"/>
        <v>384.1</v>
      </c>
    </row>
    <row r="23" spans="1:19" x14ac:dyDescent="0.25">
      <c r="A23" s="126"/>
      <c r="B23" s="294">
        <f t="shared" si="6"/>
        <v>396</v>
      </c>
      <c r="C23" s="15">
        <v>1</v>
      </c>
      <c r="D23" s="989">
        <v>28.67</v>
      </c>
      <c r="E23" s="990">
        <v>44548</v>
      </c>
      <c r="F23" s="989">
        <f t="shared" si="0"/>
        <v>28.67</v>
      </c>
      <c r="G23" s="689" t="s">
        <v>555</v>
      </c>
      <c r="H23" s="991">
        <v>155</v>
      </c>
      <c r="I23" s="288">
        <f t="shared" si="3"/>
        <v>13472.240000000002</v>
      </c>
      <c r="K23" s="126"/>
      <c r="L23" s="294">
        <f t="shared" si="7"/>
        <v>10</v>
      </c>
      <c r="M23" s="15"/>
      <c r="N23" s="989"/>
      <c r="O23" s="990"/>
      <c r="P23" s="989">
        <f t="shared" si="1"/>
        <v>0</v>
      </c>
      <c r="Q23" s="689"/>
      <c r="R23" s="991"/>
      <c r="S23" s="288">
        <f t="shared" si="5"/>
        <v>384.1</v>
      </c>
    </row>
    <row r="24" spans="1:19" x14ac:dyDescent="0.25">
      <c r="A24" s="127"/>
      <c r="B24" s="294">
        <f t="shared" si="6"/>
        <v>388</v>
      </c>
      <c r="C24" s="15">
        <v>8</v>
      </c>
      <c r="D24" s="989">
        <v>270.12</v>
      </c>
      <c r="E24" s="990">
        <v>44550</v>
      </c>
      <c r="F24" s="989">
        <f t="shared" si="0"/>
        <v>270.12</v>
      </c>
      <c r="G24" s="689" t="s">
        <v>562</v>
      </c>
      <c r="H24" s="991">
        <v>155</v>
      </c>
      <c r="I24" s="288">
        <f t="shared" si="3"/>
        <v>13202.12</v>
      </c>
      <c r="K24" s="127"/>
      <c r="L24" s="294">
        <f t="shared" si="7"/>
        <v>10</v>
      </c>
      <c r="M24" s="15"/>
      <c r="N24" s="989"/>
      <c r="O24" s="990"/>
      <c r="P24" s="989">
        <f t="shared" si="1"/>
        <v>0</v>
      </c>
      <c r="Q24" s="689"/>
      <c r="R24" s="991"/>
      <c r="S24" s="288">
        <f t="shared" si="5"/>
        <v>384.1</v>
      </c>
    </row>
    <row r="25" spans="1:19" x14ac:dyDescent="0.25">
      <c r="A25" s="126"/>
      <c r="B25" s="294">
        <f t="shared" si="6"/>
        <v>353</v>
      </c>
      <c r="C25" s="15">
        <v>35</v>
      </c>
      <c r="D25" s="989">
        <v>1068.82</v>
      </c>
      <c r="E25" s="990">
        <v>44551</v>
      </c>
      <c r="F25" s="989">
        <f t="shared" si="0"/>
        <v>1068.82</v>
      </c>
      <c r="G25" s="689" t="s">
        <v>576</v>
      </c>
      <c r="H25" s="991">
        <v>155</v>
      </c>
      <c r="I25" s="288">
        <f t="shared" si="3"/>
        <v>12133.300000000001</v>
      </c>
      <c r="K25" s="126"/>
      <c r="L25" s="294">
        <f t="shared" si="7"/>
        <v>10</v>
      </c>
      <c r="M25" s="15"/>
      <c r="N25" s="989"/>
      <c r="O25" s="990"/>
      <c r="P25" s="989">
        <f t="shared" si="1"/>
        <v>0</v>
      </c>
      <c r="Q25" s="689"/>
      <c r="R25" s="991"/>
      <c r="S25" s="288">
        <f t="shared" si="5"/>
        <v>384.1</v>
      </c>
    </row>
    <row r="26" spans="1:19" x14ac:dyDescent="0.25">
      <c r="A26" s="126"/>
      <c r="B26" s="294">
        <f t="shared" si="6"/>
        <v>352</v>
      </c>
      <c r="C26" s="15">
        <v>1</v>
      </c>
      <c r="D26" s="989">
        <v>29.85</v>
      </c>
      <c r="E26" s="990">
        <v>44552</v>
      </c>
      <c r="F26" s="989">
        <f t="shared" si="0"/>
        <v>29.85</v>
      </c>
      <c r="G26" s="689" t="s">
        <v>592</v>
      </c>
      <c r="H26" s="991">
        <v>155</v>
      </c>
      <c r="I26" s="288">
        <f t="shared" si="3"/>
        <v>12103.45</v>
      </c>
      <c r="K26" s="126"/>
      <c r="L26" s="294">
        <f t="shared" si="7"/>
        <v>10</v>
      </c>
      <c r="M26" s="15"/>
      <c r="N26" s="989"/>
      <c r="O26" s="990"/>
      <c r="P26" s="989">
        <f t="shared" si="1"/>
        <v>0</v>
      </c>
      <c r="Q26" s="689"/>
      <c r="R26" s="991"/>
      <c r="S26" s="288">
        <f t="shared" si="5"/>
        <v>384.1</v>
      </c>
    </row>
    <row r="27" spans="1:19" x14ac:dyDescent="0.25">
      <c r="A27" s="126"/>
      <c r="B27" s="205">
        <f t="shared" si="6"/>
        <v>350</v>
      </c>
      <c r="C27" s="15">
        <v>2</v>
      </c>
      <c r="D27" s="989">
        <v>56.48</v>
      </c>
      <c r="E27" s="990">
        <v>44553</v>
      </c>
      <c r="F27" s="989">
        <f t="shared" si="0"/>
        <v>56.48</v>
      </c>
      <c r="G27" s="689" t="s">
        <v>602</v>
      </c>
      <c r="H27" s="991">
        <v>155</v>
      </c>
      <c r="I27" s="288">
        <f t="shared" si="3"/>
        <v>12046.970000000001</v>
      </c>
      <c r="K27" s="126"/>
      <c r="L27" s="205">
        <f t="shared" si="7"/>
        <v>10</v>
      </c>
      <c r="M27" s="15"/>
      <c r="N27" s="989"/>
      <c r="O27" s="990"/>
      <c r="P27" s="989">
        <f t="shared" si="1"/>
        <v>0</v>
      </c>
      <c r="Q27" s="689"/>
      <c r="R27" s="991"/>
      <c r="S27" s="288">
        <f t="shared" si="5"/>
        <v>384.1</v>
      </c>
    </row>
    <row r="28" spans="1:19" x14ac:dyDescent="0.25">
      <c r="A28" s="126"/>
      <c r="B28" s="294">
        <f t="shared" si="6"/>
        <v>349</v>
      </c>
      <c r="C28" s="15">
        <v>1</v>
      </c>
      <c r="D28" s="989">
        <v>28.76</v>
      </c>
      <c r="E28" s="990">
        <v>44553</v>
      </c>
      <c r="F28" s="989">
        <f t="shared" si="0"/>
        <v>28.76</v>
      </c>
      <c r="G28" s="689" t="s">
        <v>607</v>
      </c>
      <c r="H28" s="991">
        <v>155</v>
      </c>
      <c r="I28" s="288">
        <f t="shared" si="3"/>
        <v>12018.210000000001</v>
      </c>
      <c r="K28" s="126"/>
      <c r="L28" s="294">
        <f t="shared" si="7"/>
        <v>10</v>
      </c>
      <c r="M28" s="15"/>
      <c r="N28" s="989"/>
      <c r="O28" s="990"/>
      <c r="P28" s="989">
        <f t="shared" si="1"/>
        <v>0</v>
      </c>
      <c r="Q28" s="689"/>
      <c r="R28" s="991"/>
      <c r="S28" s="288">
        <f t="shared" si="5"/>
        <v>384.1</v>
      </c>
    </row>
    <row r="29" spans="1:19" x14ac:dyDescent="0.25">
      <c r="A29" s="126"/>
      <c r="B29" s="205">
        <f t="shared" si="6"/>
        <v>319</v>
      </c>
      <c r="C29" s="15">
        <v>30</v>
      </c>
      <c r="D29" s="989">
        <v>904.19</v>
      </c>
      <c r="E29" s="990">
        <v>44554</v>
      </c>
      <c r="F29" s="989">
        <f t="shared" si="0"/>
        <v>904.19</v>
      </c>
      <c r="G29" s="689" t="s">
        <v>615</v>
      </c>
      <c r="H29" s="991">
        <v>155</v>
      </c>
      <c r="I29" s="288">
        <f t="shared" si="3"/>
        <v>11114.02</v>
      </c>
      <c r="K29" s="126"/>
      <c r="L29" s="205">
        <f t="shared" si="7"/>
        <v>10</v>
      </c>
      <c r="M29" s="15"/>
      <c r="N29" s="989"/>
      <c r="O29" s="990"/>
      <c r="P29" s="989">
        <f t="shared" si="1"/>
        <v>0</v>
      </c>
      <c r="Q29" s="689"/>
      <c r="R29" s="991"/>
      <c r="S29" s="288">
        <f t="shared" si="5"/>
        <v>384.1</v>
      </c>
    </row>
    <row r="30" spans="1:19" x14ac:dyDescent="0.25">
      <c r="A30" s="126"/>
      <c r="B30" s="294">
        <f t="shared" si="6"/>
        <v>299</v>
      </c>
      <c r="C30" s="15">
        <v>20</v>
      </c>
      <c r="D30" s="989">
        <v>598.11</v>
      </c>
      <c r="E30" s="990">
        <v>44556</v>
      </c>
      <c r="F30" s="989">
        <f t="shared" si="0"/>
        <v>598.11</v>
      </c>
      <c r="G30" s="689" t="s">
        <v>626</v>
      </c>
      <c r="H30" s="991">
        <v>155</v>
      </c>
      <c r="I30" s="288">
        <f t="shared" si="3"/>
        <v>10515.91</v>
      </c>
      <c r="K30" s="126"/>
      <c r="L30" s="294">
        <f t="shared" si="7"/>
        <v>10</v>
      </c>
      <c r="M30" s="15"/>
      <c r="N30" s="989"/>
      <c r="O30" s="990"/>
      <c r="P30" s="989">
        <f t="shared" si="1"/>
        <v>0</v>
      </c>
      <c r="Q30" s="689"/>
      <c r="R30" s="991"/>
      <c r="S30" s="288">
        <f t="shared" si="5"/>
        <v>384.1</v>
      </c>
    </row>
    <row r="31" spans="1:19" x14ac:dyDescent="0.25">
      <c r="A31" s="126"/>
      <c r="B31" s="294">
        <f t="shared" si="6"/>
        <v>289</v>
      </c>
      <c r="C31" s="15">
        <v>10</v>
      </c>
      <c r="D31" s="989">
        <v>294.42</v>
      </c>
      <c r="E31" s="990">
        <v>44556</v>
      </c>
      <c r="F31" s="989">
        <f t="shared" si="0"/>
        <v>294.42</v>
      </c>
      <c r="G31" s="689" t="s">
        <v>627</v>
      </c>
      <c r="H31" s="991">
        <v>155</v>
      </c>
      <c r="I31" s="288">
        <f t="shared" si="3"/>
        <v>10221.49</v>
      </c>
      <c r="K31" s="126"/>
      <c r="L31" s="294">
        <f t="shared" si="7"/>
        <v>10</v>
      </c>
      <c r="M31" s="15"/>
      <c r="N31" s="355"/>
      <c r="O31" s="856"/>
      <c r="P31" s="355">
        <f t="shared" si="1"/>
        <v>0</v>
      </c>
      <c r="Q31" s="857"/>
      <c r="R31" s="316"/>
      <c r="S31" s="288">
        <f t="shared" si="5"/>
        <v>384.1</v>
      </c>
    </row>
    <row r="32" spans="1:19" x14ac:dyDescent="0.25">
      <c r="A32" s="126"/>
      <c r="B32" s="294">
        <f t="shared" si="6"/>
        <v>284</v>
      </c>
      <c r="C32" s="15">
        <v>5</v>
      </c>
      <c r="D32" s="989">
        <v>151.72999999999999</v>
      </c>
      <c r="E32" s="990">
        <v>44557</v>
      </c>
      <c r="F32" s="989">
        <f t="shared" si="0"/>
        <v>151.72999999999999</v>
      </c>
      <c r="G32" s="689" t="s">
        <v>630</v>
      </c>
      <c r="H32" s="991">
        <v>155</v>
      </c>
      <c r="I32" s="288">
        <f t="shared" si="3"/>
        <v>10069.76</v>
      </c>
      <c r="K32" s="126"/>
      <c r="L32" s="294">
        <f t="shared" si="7"/>
        <v>10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384.1</v>
      </c>
    </row>
    <row r="33" spans="1:19" x14ac:dyDescent="0.25">
      <c r="A33" s="126"/>
      <c r="B33" s="294">
        <f t="shared" si="6"/>
        <v>274</v>
      </c>
      <c r="C33" s="15">
        <v>10</v>
      </c>
      <c r="D33" s="989">
        <v>319.94</v>
      </c>
      <c r="E33" s="990">
        <v>44560</v>
      </c>
      <c r="F33" s="989">
        <f t="shared" si="0"/>
        <v>319.94</v>
      </c>
      <c r="G33" s="689" t="s">
        <v>663</v>
      </c>
      <c r="H33" s="991">
        <v>155</v>
      </c>
      <c r="I33" s="288">
        <f t="shared" si="3"/>
        <v>9749.82</v>
      </c>
      <c r="K33" s="126"/>
      <c r="L33" s="294">
        <f t="shared" si="7"/>
        <v>10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384.1</v>
      </c>
    </row>
    <row r="34" spans="1:19" x14ac:dyDescent="0.25">
      <c r="A34" s="126"/>
      <c r="B34" s="294">
        <f t="shared" si="6"/>
        <v>274</v>
      </c>
      <c r="C34" s="15"/>
      <c r="D34" s="989"/>
      <c r="E34" s="990"/>
      <c r="F34" s="989">
        <f t="shared" si="0"/>
        <v>0</v>
      </c>
      <c r="G34" s="689"/>
      <c r="H34" s="991"/>
      <c r="I34" s="288">
        <f t="shared" si="3"/>
        <v>9749.82</v>
      </c>
      <c r="K34" s="126"/>
      <c r="L34" s="294">
        <f t="shared" si="7"/>
        <v>10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384.1</v>
      </c>
    </row>
    <row r="35" spans="1:19" x14ac:dyDescent="0.25">
      <c r="A35" s="126"/>
      <c r="B35" s="294">
        <f t="shared" si="6"/>
        <v>274</v>
      </c>
      <c r="C35" s="15"/>
      <c r="D35" s="989"/>
      <c r="E35" s="990"/>
      <c r="F35" s="989">
        <f t="shared" si="0"/>
        <v>0</v>
      </c>
      <c r="G35" s="689"/>
      <c r="H35" s="991"/>
      <c r="I35" s="288">
        <f t="shared" si="3"/>
        <v>9749.82</v>
      </c>
      <c r="K35" s="126"/>
      <c r="L35" s="294">
        <f t="shared" si="7"/>
        <v>10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384.1</v>
      </c>
    </row>
    <row r="36" spans="1:19" x14ac:dyDescent="0.25">
      <c r="A36" s="126"/>
      <c r="B36" s="294">
        <f t="shared" si="6"/>
        <v>274</v>
      </c>
      <c r="C36" s="15"/>
      <c r="D36" s="989"/>
      <c r="E36" s="990"/>
      <c r="F36" s="989">
        <f t="shared" si="0"/>
        <v>0</v>
      </c>
      <c r="G36" s="689"/>
      <c r="H36" s="991"/>
      <c r="I36" s="288">
        <f t="shared" si="3"/>
        <v>9749.82</v>
      </c>
      <c r="K36" s="126"/>
      <c r="L36" s="294">
        <f t="shared" si="7"/>
        <v>10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384.1</v>
      </c>
    </row>
    <row r="37" spans="1:19" x14ac:dyDescent="0.25">
      <c r="A37" s="126" t="s">
        <v>22</v>
      </c>
      <c r="B37" s="294">
        <f t="shared" si="6"/>
        <v>274</v>
      </c>
      <c r="C37" s="15"/>
      <c r="D37" s="989"/>
      <c r="E37" s="990"/>
      <c r="F37" s="989">
        <f t="shared" si="0"/>
        <v>0</v>
      </c>
      <c r="G37" s="689"/>
      <c r="H37" s="991"/>
      <c r="I37" s="288">
        <f t="shared" si="3"/>
        <v>9749.82</v>
      </c>
      <c r="K37" s="126" t="s">
        <v>22</v>
      </c>
      <c r="L37" s="294">
        <f t="shared" si="7"/>
        <v>10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384.1</v>
      </c>
    </row>
    <row r="38" spans="1:19" x14ac:dyDescent="0.25">
      <c r="A38" s="127"/>
      <c r="B38" s="294">
        <f t="shared" si="6"/>
        <v>274</v>
      </c>
      <c r="C38" s="15"/>
      <c r="D38" s="989"/>
      <c r="E38" s="990"/>
      <c r="F38" s="989">
        <f t="shared" si="0"/>
        <v>0</v>
      </c>
      <c r="G38" s="689"/>
      <c r="H38" s="991"/>
      <c r="I38" s="288">
        <f t="shared" si="3"/>
        <v>9749.82</v>
      </c>
      <c r="K38" s="127"/>
      <c r="L38" s="294">
        <f t="shared" si="7"/>
        <v>10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384.1</v>
      </c>
    </row>
    <row r="39" spans="1:19" x14ac:dyDescent="0.25">
      <c r="A39" s="126"/>
      <c r="B39" s="294">
        <f t="shared" si="6"/>
        <v>274</v>
      </c>
      <c r="C39" s="15"/>
      <c r="D39" s="989"/>
      <c r="E39" s="990"/>
      <c r="F39" s="989">
        <f t="shared" si="0"/>
        <v>0</v>
      </c>
      <c r="G39" s="689"/>
      <c r="H39" s="991"/>
      <c r="I39" s="288">
        <f t="shared" si="3"/>
        <v>9749.82</v>
      </c>
      <c r="K39" s="126"/>
      <c r="L39" s="294">
        <f t="shared" si="7"/>
        <v>10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384.1</v>
      </c>
    </row>
    <row r="40" spans="1:19" x14ac:dyDescent="0.25">
      <c r="A40" s="126"/>
      <c r="B40" s="84">
        <f t="shared" si="6"/>
        <v>274</v>
      </c>
      <c r="C40" s="15"/>
      <c r="D40" s="989"/>
      <c r="E40" s="990"/>
      <c r="F40" s="989">
        <f t="shared" si="0"/>
        <v>0</v>
      </c>
      <c r="G40" s="689"/>
      <c r="H40" s="991"/>
      <c r="I40" s="288">
        <f t="shared" si="3"/>
        <v>9749.82</v>
      </c>
      <c r="K40" s="126"/>
      <c r="L40" s="84">
        <f t="shared" si="7"/>
        <v>10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384.1</v>
      </c>
    </row>
    <row r="41" spans="1:19" x14ac:dyDescent="0.25">
      <c r="A41" s="126"/>
      <c r="B41" s="84">
        <f t="shared" si="6"/>
        <v>274</v>
      </c>
      <c r="C41" s="15"/>
      <c r="D41" s="989"/>
      <c r="E41" s="990"/>
      <c r="F41" s="989">
        <f t="shared" si="0"/>
        <v>0</v>
      </c>
      <c r="G41" s="689"/>
      <c r="H41" s="991"/>
      <c r="I41" s="288">
        <f t="shared" si="3"/>
        <v>9749.82</v>
      </c>
      <c r="K41" s="126"/>
      <c r="L41" s="84">
        <f t="shared" si="7"/>
        <v>10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384.1</v>
      </c>
    </row>
    <row r="42" spans="1:19" x14ac:dyDescent="0.25">
      <c r="A42" s="126"/>
      <c r="B42" s="84">
        <f t="shared" si="6"/>
        <v>274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9749.82</v>
      </c>
      <c r="K42" s="126"/>
      <c r="L42" s="84">
        <f t="shared" si="7"/>
        <v>10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384.1</v>
      </c>
    </row>
    <row r="43" spans="1:19" x14ac:dyDescent="0.25">
      <c r="A43" s="126"/>
      <c r="B43" s="84">
        <f t="shared" si="6"/>
        <v>274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9749.82</v>
      </c>
      <c r="K43" s="126"/>
      <c r="L43" s="84">
        <f t="shared" si="7"/>
        <v>10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384.1</v>
      </c>
    </row>
    <row r="44" spans="1:19" x14ac:dyDescent="0.25">
      <c r="A44" s="126"/>
      <c r="B44" s="84">
        <f t="shared" si="6"/>
        <v>274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9749.82</v>
      </c>
      <c r="K44" s="126"/>
      <c r="L44" s="84">
        <f t="shared" si="7"/>
        <v>10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384.1</v>
      </c>
    </row>
    <row r="45" spans="1:19" x14ac:dyDescent="0.25">
      <c r="A45" s="126"/>
      <c r="B45" s="84">
        <f t="shared" si="6"/>
        <v>274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9749.82</v>
      </c>
      <c r="K45" s="126"/>
      <c r="L45" s="84">
        <f t="shared" si="7"/>
        <v>10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384.1</v>
      </c>
    </row>
    <row r="46" spans="1:19" x14ac:dyDescent="0.25">
      <c r="A46" s="126"/>
      <c r="B46" s="84">
        <f t="shared" si="6"/>
        <v>274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9749.82</v>
      </c>
      <c r="K46" s="126"/>
      <c r="L46" s="84">
        <f t="shared" si="7"/>
        <v>10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384.1</v>
      </c>
    </row>
    <row r="47" spans="1:19" x14ac:dyDescent="0.25">
      <c r="A47" s="126"/>
      <c r="B47" s="84">
        <f t="shared" si="6"/>
        <v>274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9749.82</v>
      </c>
      <c r="K47" s="126"/>
      <c r="L47" s="84">
        <f t="shared" si="7"/>
        <v>10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384.1</v>
      </c>
    </row>
    <row r="48" spans="1:19" x14ac:dyDescent="0.25">
      <c r="A48" s="126"/>
      <c r="B48" s="84">
        <f t="shared" si="6"/>
        <v>274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9749.82</v>
      </c>
      <c r="K48" s="126"/>
      <c r="L48" s="84">
        <f t="shared" si="7"/>
        <v>10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384.1</v>
      </c>
    </row>
    <row r="49" spans="1:19" x14ac:dyDescent="0.25">
      <c r="A49" s="126"/>
      <c r="B49" s="84">
        <f t="shared" si="6"/>
        <v>274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9749.82</v>
      </c>
      <c r="K49" s="126"/>
      <c r="L49" s="84">
        <f t="shared" si="7"/>
        <v>10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384.1</v>
      </c>
    </row>
    <row r="50" spans="1:19" x14ac:dyDescent="0.25">
      <c r="A50" s="126"/>
      <c r="B50" s="84">
        <f t="shared" si="6"/>
        <v>274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9749.82</v>
      </c>
      <c r="K50" s="126"/>
      <c r="L50" s="84">
        <f t="shared" si="7"/>
        <v>10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384.1</v>
      </c>
    </row>
    <row r="51" spans="1:19" x14ac:dyDescent="0.25">
      <c r="A51" s="126"/>
      <c r="B51" s="84">
        <f t="shared" si="6"/>
        <v>274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9749.82</v>
      </c>
      <c r="K51" s="126"/>
      <c r="L51" s="84">
        <f t="shared" si="7"/>
        <v>10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384.1</v>
      </c>
    </row>
    <row r="52" spans="1:19" x14ac:dyDescent="0.25">
      <c r="A52" s="126"/>
      <c r="B52" s="84">
        <f t="shared" si="6"/>
        <v>274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9749.82</v>
      </c>
      <c r="K52" s="126"/>
      <c r="L52" s="84">
        <f t="shared" si="7"/>
        <v>10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384.1</v>
      </c>
    </row>
    <row r="53" spans="1:19" x14ac:dyDescent="0.25">
      <c r="A53" s="126"/>
      <c r="B53" s="84">
        <f t="shared" si="6"/>
        <v>274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9749.82</v>
      </c>
      <c r="K53" s="126"/>
      <c r="L53" s="84">
        <f t="shared" si="7"/>
        <v>10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384.1</v>
      </c>
    </row>
    <row r="54" spans="1:19" x14ac:dyDescent="0.25">
      <c r="A54" s="126"/>
      <c r="B54" s="84">
        <f t="shared" si="6"/>
        <v>274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9749.82</v>
      </c>
      <c r="K54" s="126"/>
      <c r="L54" s="84">
        <f t="shared" si="7"/>
        <v>10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384.1</v>
      </c>
    </row>
    <row r="55" spans="1:19" x14ac:dyDescent="0.25">
      <c r="A55" s="126"/>
      <c r="B55" s="84">
        <f t="shared" si="6"/>
        <v>274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9749.82</v>
      </c>
      <c r="K55" s="126"/>
      <c r="L55" s="84">
        <f t="shared" si="7"/>
        <v>10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384.1</v>
      </c>
    </row>
    <row r="56" spans="1:19" x14ac:dyDescent="0.25">
      <c r="A56" s="126"/>
      <c r="B56" s="12">
        <f>B55-C56</f>
        <v>274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9749.82</v>
      </c>
      <c r="K56" s="126"/>
      <c r="L56" s="12">
        <f>L55-M56</f>
        <v>10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384.1</v>
      </c>
    </row>
    <row r="57" spans="1:19" x14ac:dyDescent="0.25">
      <c r="A57" s="126"/>
      <c r="B57" s="12">
        <f t="shared" ref="B57:B76" si="8">B56-C57</f>
        <v>274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9749.82</v>
      </c>
      <c r="K57" s="126"/>
      <c r="L57" s="12">
        <f t="shared" ref="L57:L76" si="9">L56-M57</f>
        <v>10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384.1</v>
      </c>
    </row>
    <row r="58" spans="1:19" x14ac:dyDescent="0.25">
      <c r="A58" s="126"/>
      <c r="B58" s="12">
        <f t="shared" si="8"/>
        <v>274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9749.82</v>
      </c>
      <c r="K58" s="126"/>
      <c r="L58" s="12">
        <f t="shared" si="9"/>
        <v>10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384.1</v>
      </c>
    </row>
    <row r="59" spans="1:19" x14ac:dyDescent="0.25">
      <c r="A59" s="126"/>
      <c r="B59" s="12">
        <f t="shared" si="8"/>
        <v>274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9749.82</v>
      </c>
      <c r="K59" s="126"/>
      <c r="L59" s="12">
        <f t="shared" si="9"/>
        <v>10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384.1</v>
      </c>
    </row>
    <row r="60" spans="1:19" x14ac:dyDescent="0.25">
      <c r="A60" s="126"/>
      <c r="B60" s="12">
        <f t="shared" si="8"/>
        <v>274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9749.82</v>
      </c>
      <c r="K60" s="126"/>
      <c r="L60" s="12">
        <f t="shared" si="9"/>
        <v>10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384.1</v>
      </c>
    </row>
    <row r="61" spans="1:19" x14ac:dyDescent="0.25">
      <c r="A61" s="126"/>
      <c r="B61" s="12">
        <f t="shared" si="8"/>
        <v>274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9749.82</v>
      </c>
      <c r="K61" s="126"/>
      <c r="L61" s="12">
        <f t="shared" si="9"/>
        <v>10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384.1</v>
      </c>
    </row>
    <row r="62" spans="1:19" x14ac:dyDescent="0.25">
      <c r="A62" s="126"/>
      <c r="B62" s="12">
        <f t="shared" si="8"/>
        <v>274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9749.82</v>
      </c>
      <c r="K62" s="126"/>
      <c r="L62" s="12">
        <f t="shared" si="9"/>
        <v>10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384.1</v>
      </c>
    </row>
    <row r="63" spans="1:19" x14ac:dyDescent="0.25">
      <c r="A63" s="126"/>
      <c r="B63" s="12">
        <f t="shared" si="8"/>
        <v>274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9749.82</v>
      </c>
      <c r="K63" s="126"/>
      <c r="L63" s="12">
        <f t="shared" si="9"/>
        <v>10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384.1</v>
      </c>
    </row>
    <row r="64" spans="1:19" x14ac:dyDescent="0.25">
      <c r="A64" s="126"/>
      <c r="B64" s="12">
        <f t="shared" si="8"/>
        <v>274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9749.82</v>
      </c>
      <c r="K64" s="126"/>
      <c r="L64" s="12">
        <f t="shared" si="9"/>
        <v>10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384.1</v>
      </c>
    </row>
    <row r="65" spans="1:19" x14ac:dyDescent="0.25">
      <c r="A65" s="126"/>
      <c r="B65" s="12">
        <f t="shared" si="8"/>
        <v>274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9749.82</v>
      </c>
      <c r="K65" s="126"/>
      <c r="L65" s="12">
        <f t="shared" si="9"/>
        <v>10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384.1</v>
      </c>
    </row>
    <row r="66" spans="1:19" x14ac:dyDescent="0.25">
      <c r="A66" s="126"/>
      <c r="B66" s="12">
        <f t="shared" si="8"/>
        <v>274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9749.82</v>
      </c>
      <c r="K66" s="126"/>
      <c r="L66" s="12">
        <f t="shared" si="9"/>
        <v>10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384.1</v>
      </c>
    </row>
    <row r="67" spans="1:19" x14ac:dyDescent="0.25">
      <c r="A67" s="126"/>
      <c r="B67" s="12">
        <f t="shared" si="8"/>
        <v>274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9749.82</v>
      </c>
      <c r="K67" s="126"/>
      <c r="L67" s="12">
        <f t="shared" si="9"/>
        <v>10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384.1</v>
      </c>
    </row>
    <row r="68" spans="1:19" x14ac:dyDescent="0.25">
      <c r="A68" s="126"/>
      <c r="B68" s="12">
        <f t="shared" si="8"/>
        <v>274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9749.82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274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9749.82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274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9749.82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274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9749.82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274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9749.82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274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9749.82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274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9749.82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274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9749.82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274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9749.82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9749.82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334</v>
      </c>
      <c r="D79" s="6">
        <f>SUM(D10:D78)</f>
        <v>10158.429999999998</v>
      </c>
      <c r="F79" s="6">
        <f>SUM(F10:F78)</f>
        <v>10158.429999999998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274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162" t="s">
        <v>11</v>
      </c>
      <c r="D84" s="1163"/>
      <c r="E84" s="58">
        <f>E5+E6-F79+E7</f>
        <v>9749.8200000000015</v>
      </c>
      <c r="F84" s="74"/>
      <c r="M84" s="1162" t="s">
        <v>11</v>
      </c>
      <c r="N84" s="1163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68" t="s">
        <v>267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58" t="s">
        <v>280</v>
      </c>
      <c r="B5" s="1170" t="s">
        <v>281</v>
      </c>
      <c r="C5" s="284" t="s">
        <v>272</v>
      </c>
      <c r="D5" s="261">
        <v>44541</v>
      </c>
      <c r="E5" s="272">
        <v>18701.099999999999</v>
      </c>
      <c r="F5" s="266">
        <v>24</v>
      </c>
      <c r="G5" s="1098">
        <v>18480</v>
      </c>
    </row>
    <row r="6" spans="1:9" x14ac:dyDescent="0.25">
      <c r="A6" s="1158"/>
      <c r="B6" s="1170"/>
      <c r="C6" s="626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58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22"/>
      <c r="C9" s="779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490</v>
      </c>
      <c r="H9" s="279">
        <v>55</v>
      </c>
      <c r="I9" s="288">
        <f>E6-F9+E5+E7</f>
        <v>17914.099999999999</v>
      </c>
    </row>
    <row r="10" spans="1:9" x14ac:dyDescent="0.25">
      <c r="A10" s="217"/>
      <c r="B10" s="1023"/>
      <c r="C10" s="779">
        <v>2</v>
      </c>
      <c r="D10" s="277">
        <v>769</v>
      </c>
      <c r="E10" s="308">
        <v>44541</v>
      </c>
      <c r="F10" s="277">
        <f t="shared" si="0"/>
        <v>769</v>
      </c>
      <c r="G10" s="278" t="s">
        <v>490</v>
      </c>
      <c r="H10" s="279">
        <v>55</v>
      </c>
      <c r="I10" s="288">
        <f>I9-F10</f>
        <v>17145.099999999999</v>
      </c>
    </row>
    <row r="11" spans="1:9" x14ac:dyDescent="0.25">
      <c r="A11" s="205"/>
      <c r="B11" s="1023"/>
      <c r="C11" s="779">
        <v>3</v>
      </c>
      <c r="D11" s="277">
        <v>767</v>
      </c>
      <c r="E11" s="308">
        <v>44541</v>
      </c>
      <c r="F11" s="277">
        <f t="shared" si="0"/>
        <v>767</v>
      </c>
      <c r="G11" s="278" t="s">
        <v>490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23"/>
      <c r="C12" s="779">
        <v>4</v>
      </c>
      <c r="D12" s="277">
        <v>835</v>
      </c>
      <c r="E12" s="308">
        <v>44541</v>
      </c>
      <c r="F12" s="277">
        <f t="shared" si="0"/>
        <v>835</v>
      </c>
      <c r="G12" s="278" t="s">
        <v>490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23"/>
      <c r="C13" s="779">
        <v>5</v>
      </c>
      <c r="D13" s="277">
        <v>753</v>
      </c>
      <c r="E13" s="308">
        <v>44541</v>
      </c>
      <c r="F13" s="277">
        <f t="shared" si="0"/>
        <v>753</v>
      </c>
      <c r="G13" s="278" t="s">
        <v>490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23"/>
      <c r="C14" s="779">
        <v>6</v>
      </c>
      <c r="D14" s="277">
        <v>724</v>
      </c>
      <c r="E14" s="308">
        <v>44541</v>
      </c>
      <c r="F14" s="277">
        <f t="shared" si="0"/>
        <v>724</v>
      </c>
      <c r="G14" s="278" t="s">
        <v>490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23"/>
      <c r="C15" s="779">
        <v>7</v>
      </c>
      <c r="D15" s="277">
        <v>745</v>
      </c>
      <c r="E15" s="308">
        <v>44541</v>
      </c>
      <c r="F15" s="277">
        <f t="shared" si="0"/>
        <v>745</v>
      </c>
      <c r="G15" s="278" t="s">
        <v>490</v>
      </c>
      <c r="H15" s="279">
        <v>55</v>
      </c>
      <c r="I15" s="288">
        <f t="shared" si="1"/>
        <v>13321.099999999999</v>
      </c>
    </row>
    <row r="16" spans="1:9" x14ac:dyDescent="0.25">
      <c r="B16" s="1023"/>
      <c r="C16" s="779">
        <v>8</v>
      </c>
      <c r="D16" s="277">
        <v>721</v>
      </c>
      <c r="E16" s="308">
        <v>44541</v>
      </c>
      <c r="F16" s="277">
        <f t="shared" si="0"/>
        <v>721</v>
      </c>
      <c r="G16" s="278" t="s">
        <v>490</v>
      </c>
      <c r="H16" s="279">
        <v>55</v>
      </c>
      <c r="I16" s="288">
        <f t="shared" si="1"/>
        <v>12600.099999999999</v>
      </c>
    </row>
    <row r="17" spans="1:9" x14ac:dyDescent="0.25">
      <c r="B17" s="1023"/>
      <c r="C17" s="779">
        <v>9</v>
      </c>
      <c r="D17" s="277">
        <v>730</v>
      </c>
      <c r="E17" s="308">
        <v>44541</v>
      </c>
      <c r="F17" s="277">
        <f t="shared" si="0"/>
        <v>730</v>
      </c>
      <c r="G17" s="278" t="s">
        <v>490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23"/>
      <c r="C18" s="779">
        <v>10</v>
      </c>
      <c r="D18" s="277">
        <v>842</v>
      </c>
      <c r="E18" s="308">
        <v>44541</v>
      </c>
      <c r="F18" s="277">
        <f t="shared" si="0"/>
        <v>842</v>
      </c>
      <c r="G18" s="278" t="s">
        <v>490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23"/>
      <c r="C19" s="779">
        <v>11</v>
      </c>
      <c r="D19" s="277">
        <v>801</v>
      </c>
      <c r="E19" s="308">
        <v>44541</v>
      </c>
      <c r="F19" s="277">
        <f t="shared" si="0"/>
        <v>801</v>
      </c>
      <c r="G19" s="278" t="s">
        <v>490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23"/>
      <c r="C20" s="779">
        <v>12</v>
      </c>
      <c r="D20" s="277">
        <v>741</v>
      </c>
      <c r="E20" s="308">
        <v>44541</v>
      </c>
      <c r="F20" s="277">
        <f t="shared" si="0"/>
        <v>741</v>
      </c>
      <c r="G20" s="278" t="s">
        <v>490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21">
        <v>13</v>
      </c>
      <c r="D21" s="277">
        <v>787</v>
      </c>
      <c r="E21" s="308">
        <v>44541</v>
      </c>
      <c r="F21" s="277">
        <f t="shared" si="0"/>
        <v>787</v>
      </c>
      <c r="G21" s="278" t="s">
        <v>515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21">
        <v>14</v>
      </c>
      <c r="D22" s="277">
        <v>807</v>
      </c>
      <c r="E22" s="308">
        <v>44541</v>
      </c>
      <c r="F22" s="277">
        <f t="shared" si="0"/>
        <v>807</v>
      </c>
      <c r="G22" s="278" t="s">
        <v>515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21">
        <v>15</v>
      </c>
      <c r="D23" s="277">
        <v>751</v>
      </c>
      <c r="E23" s="308">
        <v>44541</v>
      </c>
      <c r="F23" s="277">
        <f t="shared" si="0"/>
        <v>751</v>
      </c>
      <c r="G23" s="278" t="s">
        <v>515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21">
        <v>16</v>
      </c>
      <c r="D24" s="277">
        <v>696</v>
      </c>
      <c r="E24" s="308">
        <v>44541</v>
      </c>
      <c r="F24" s="277">
        <f t="shared" si="0"/>
        <v>696</v>
      </c>
      <c r="G24" s="278" t="s">
        <v>515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21">
        <v>17</v>
      </c>
      <c r="D25" s="277">
        <v>736</v>
      </c>
      <c r="E25" s="308">
        <v>44541</v>
      </c>
      <c r="F25" s="277">
        <f t="shared" si="0"/>
        <v>736</v>
      </c>
      <c r="G25" s="278" t="s">
        <v>515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21">
        <v>18</v>
      </c>
      <c r="D26" s="277">
        <v>789</v>
      </c>
      <c r="E26" s="308">
        <v>44541</v>
      </c>
      <c r="F26" s="277">
        <f t="shared" si="0"/>
        <v>789</v>
      </c>
      <c r="G26" s="278" t="s">
        <v>515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21">
        <v>19</v>
      </c>
      <c r="D27" s="277">
        <v>803</v>
      </c>
      <c r="E27" s="308">
        <v>44541</v>
      </c>
      <c r="F27" s="277">
        <f t="shared" si="0"/>
        <v>803</v>
      </c>
      <c r="G27" s="278" t="s">
        <v>515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21">
        <v>20</v>
      </c>
      <c r="D28" s="277">
        <v>723</v>
      </c>
      <c r="E28" s="308">
        <v>44541</v>
      </c>
      <c r="F28" s="277">
        <f t="shared" si="0"/>
        <v>723</v>
      </c>
      <c r="G28" s="278" t="s">
        <v>515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21">
        <v>21</v>
      </c>
      <c r="D29" s="277">
        <v>776</v>
      </c>
      <c r="E29" s="308">
        <v>44541</v>
      </c>
      <c r="F29" s="277">
        <f t="shared" si="0"/>
        <v>776</v>
      </c>
      <c r="G29" s="278" t="s">
        <v>515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21">
        <v>22</v>
      </c>
      <c r="D30" s="277">
        <v>833</v>
      </c>
      <c r="E30" s="308">
        <v>44541</v>
      </c>
      <c r="F30" s="277">
        <f t="shared" si="0"/>
        <v>833</v>
      </c>
      <c r="G30" s="278" t="s">
        <v>515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21">
        <v>23</v>
      </c>
      <c r="D31" s="277">
        <v>829</v>
      </c>
      <c r="E31" s="308">
        <v>44541</v>
      </c>
      <c r="F31" s="277">
        <f t="shared" si="0"/>
        <v>829</v>
      </c>
      <c r="G31" s="278" t="s">
        <v>515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21">
        <v>24</v>
      </c>
      <c r="D32" s="277">
        <v>735</v>
      </c>
      <c r="E32" s="308">
        <v>44541</v>
      </c>
      <c r="F32" s="277">
        <f t="shared" si="0"/>
        <v>735</v>
      </c>
      <c r="G32" s="278" t="s">
        <v>515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21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24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162" t="s">
        <v>11</v>
      </c>
      <c r="D40" s="1163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15" sqref="B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8" t="s">
        <v>341</v>
      </c>
      <c r="B1" s="1168"/>
      <c r="C1" s="1168"/>
      <c r="D1" s="1168"/>
      <c r="E1" s="1168"/>
      <c r="F1" s="1168"/>
      <c r="G1" s="1168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59" t="s">
        <v>342</v>
      </c>
      <c r="B5" s="1171" t="s">
        <v>41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59"/>
      <c r="B6" s="1171"/>
      <c r="C6" s="803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559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104">
        <f t="shared" si="0"/>
        <v>0</v>
      </c>
      <c r="G11" s="1105"/>
      <c r="H11" s="1106"/>
      <c r="I11" s="1107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104">
        <f t="shared" ref="F12" si="2">D12</f>
        <v>0</v>
      </c>
      <c r="G12" s="1105"/>
      <c r="H12" s="1106"/>
      <c r="I12" s="1107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104">
        <f t="shared" ref="F13:F33" si="4">D13</f>
        <v>0</v>
      </c>
      <c r="G13" s="1105"/>
      <c r="H13" s="1106"/>
      <c r="I13" s="1107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62" t="s">
        <v>11</v>
      </c>
      <c r="D40" s="116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68" t="s">
        <v>165</v>
      </c>
      <c r="B1" s="1168"/>
      <c r="C1" s="1168"/>
      <c r="D1" s="1168"/>
      <c r="E1" s="1168"/>
      <c r="F1" s="1168"/>
      <c r="G1" s="116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7"/>
      <c r="B5" s="1159"/>
      <c r="C5" s="958"/>
      <c r="D5" s="959"/>
      <c r="E5" s="960"/>
      <c r="F5" s="961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172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2"/>
      <c r="B8" s="853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50" t="s">
        <v>21</v>
      </c>
      <c r="E38" s="1151"/>
      <c r="F38" s="147">
        <f>E4+E5-F36+E6</f>
        <v>0</v>
      </c>
    </row>
    <row r="39" spans="1:9" ht="15.75" thickBot="1" x14ac:dyDescent="0.3">
      <c r="A39" s="129"/>
      <c r="D39" s="850" t="s">
        <v>4</v>
      </c>
      <c r="E39" s="851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K1" workbookViewId="0">
      <pane ySplit="7" topLeftCell="A8" activePane="bottomLeft" state="frozen"/>
      <selection pane="bottomLeft" activeCell="S17" sqref="S1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64" t="s">
        <v>257</v>
      </c>
      <c r="B1" s="1164"/>
      <c r="C1" s="1164"/>
      <c r="D1" s="1164"/>
      <c r="E1" s="1164"/>
      <c r="F1" s="1164"/>
      <c r="G1" s="1164"/>
      <c r="H1" s="11">
        <v>1</v>
      </c>
      <c r="L1" s="1168" t="s">
        <v>248</v>
      </c>
      <c r="M1" s="1168"/>
      <c r="N1" s="1168"/>
      <c r="O1" s="1168"/>
      <c r="P1" s="1168"/>
      <c r="Q1" s="1168"/>
      <c r="R1" s="1168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78</v>
      </c>
      <c r="Q4" s="256">
        <v>6</v>
      </c>
      <c r="R4" s="38"/>
    </row>
    <row r="5" spans="1:21" x14ac:dyDescent="0.25">
      <c r="A5" s="1159" t="s">
        <v>168</v>
      </c>
      <c r="B5" s="1173" t="s">
        <v>169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59" t="s">
        <v>168</v>
      </c>
      <c r="M5" s="1173" t="s">
        <v>169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2678</v>
      </c>
      <c r="S5" s="7">
        <f>P5-R5+P4+P6</f>
        <v>5200</v>
      </c>
    </row>
    <row r="6" spans="1:21" ht="15.75" customHeight="1" thickBot="1" x14ac:dyDescent="0.3">
      <c r="A6" s="1159"/>
      <c r="B6" s="1174"/>
      <c r="C6" s="262"/>
      <c r="D6" s="160"/>
      <c r="E6" s="87"/>
      <c r="F6" s="74"/>
      <c r="G6" s="253"/>
      <c r="L6" s="1159"/>
      <c r="M6" s="1174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216</v>
      </c>
      <c r="H8" s="777">
        <v>39</v>
      </c>
      <c r="I8" s="828">
        <f>E4+E5+E6-F8</f>
        <v>5850</v>
      </c>
      <c r="J8" s="778">
        <f>H8*F8</f>
        <v>25350</v>
      </c>
      <c r="L8" s="56" t="s">
        <v>32</v>
      </c>
      <c r="M8" s="205">
        <v>13</v>
      </c>
      <c r="N8" s="779">
        <v>50</v>
      </c>
      <c r="O8" s="70">
        <f t="shared" ref="O8" si="1">N8*M8</f>
        <v>650</v>
      </c>
      <c r="P8" s="343">
        <v>44551</v>
      </c>
      <c r="Q8" s="781">
        <f t="shared" ref="Q8" si="2">O8</f>
        <v>650</v>
      </c>
      <c r="R8" s="278" t="s">
        <v>567</v>
      </c>
      <c r="S8" s="300">
        <v>39</v>
      </c>
      <c r="T8" s="828">
        <f>P4+P5+P6-Q8</f>
        <v>7228</v>
      </c>
      <c r="U8" s="778">
        <f>S8*Q8</f>
        <v>25350</v>
      </c>
    </row>
    <row r="9" spans="1:21" ht="15.75" x14ac:dyDescent="0.25">
      <c r="B9" s="205">
        <v>13</v>
      </c>
      <c r="C9" s="779">
        <v>50</v>
      </c>
      <c r="D9" s="70">
        <f t="shared" ref="D9:D39" si="3">C9*B9</f>
        <v>650</v>
      </c>
      <c r="E9" s="343">
        <v>44529</v>
      </c>
      <c r="F9" s="829">
        <f t="shared" si="0"/>
        <v>650</v>
      </c>
      <c r="G9" s="278" t="s">
        <v>251</v>
      </c>
      <c r="H9" s="300">
        <v>39</v>
      </c>
      <c r="I9" s="830">
        <f>I8-F9</f>
        <v>5200</v>
      </c>
      <c r="J9" s="827">
        <f t="shared" ref="J9:J39" si="4">H9*F9</f>
        <v>25350</v>
      </c>
      <c r="M9" s="205">
        <v>13</v>
      </c>
      <c r="N9" s="779">
        <v>6</v>
      </c>
      <c r="O9" s="70">
        <f t="shared" ref="O9:O39" si="5">N9*M9</f>
        <v>78</v>
      </c>
      <c r="P9" s="343">
        <v>44552</v>
      </c>
      <c r="Q9" s="829">
        <f t="shared" ref="Q9:Q15" si="6">O9</f>
        <v>78</v>
      </c>
      <c r="R9" s="278" t="s">
        <v>591</v>
      </c>
      <c r="S9" s="300">
        <v>39</v>
      </c>
      <c r="T9" s="830">
        <f>T8-Q9</f>
        <v>7150</v>
      </c>
      <c r="U9" s="827">
        <f t="shared" ref="U9:U39" si="7">S9*Q9</f>
        <v>3042</v>
      </c>
    </row>
    <row r="10" spans="1:21" ht="15.75" x14ac:dyDescent="0.25">
      <c r="B10" s="205">
        <v>13</v>
      </c>
      <c r="C10" s="779">
        <v>50</v>
      </c>
      <c r="D10" s="70">
        <f t="shared" si="3"/>
        <v>650</v>
      </c>
      <c r="E10" s="343">
        <v>44533</v>
      </c>
      <c r="F10" s="829">
        <f t="shared" si="0"/>
        <v>650</v>
      </c>
      <c r="G10" s="278" t="s">
        <v>241</v>
      </c>
      <c r="H10" s="300">
        <v>39</v>
      </c>
      <c r="I10" s="830">
        <f t="shared" ref="I10:I38" si="8">I9-F10</f>
        <v>4550</v>
      </c>
      <c r="J10" s="827">
        <f t="shared" si="4"/>
        <v>25350</v>
      </c>
      <c r="M10" s="205">
        <v>13</v>
      </c>
      <c r="N10" s="779">
        <v>2</v>
      </c>
      <c r="O10" s="70">
        <f t="shared" si="5"/>
        <v>26</v>
      </c>
      <c r="P10" s="343">
        <v>44558</v>
      </c>
      <c r="Q10" s="829">
        <f t="shared" si="6"/>
        <v>26</v>
      </c>
      <c r="R10" s="278" t="s">
        <v>636</v>
      </c>
      <c r="S10" s="300">
        <v>41</v>
      </c>
      <c r="T10" s="830">
        <f t="shared" ref="T10:T38" si="9">T9-Q10</f>
        <v>7124</v>
      </c>
      <c r="U10" s="827">
        <f t="shared" si="7"/>
        <v>1066</v>
      </c>
    </row>
    <row r="11" spans="1:21" ht="15.75" x14ac:dyDescent="0.25">
      <c r="A11" s="56" t="s">
        <v>33</v>
      </c>
      <c r="B11" s="205">
        <v>13</v>
      </c>
      <c r="C11" s="779">
        <v>1</v>
      </c>
      <c r="D11" s="707">
        <f t="shared" si="3"/>
        <v>13</v>
      </c>
      <c r="E11" s="992">
        <v>44536</v>
      </c>
      <c r="F11" s="993">
        <f t="shared" si="0"/>
        <v>13</v>
      </c>
      <c r="G11" s="689" t="s">
        <v>446</v>
      </c>
      <c r="H11" s="994">
        <v>39</v>
      </c>
      <c r="I11" s="830">
        <f t="shared" si="8"/>
        <v>4537</v>
      </c>
      <c r="J11" s="827">
        <f t="shared" si="4"/>
        <v>507</v>
      </c>
      <c r="L11" s="56" t="s">
        <v>33</v>
      </c>
      <c r="M11" s="205">
        <v>13</v>
      </c>
      <c r="N11" s="779">
        <v>3</v>
      </c>
      <c r="O11" s="70">
        <f t="shared" si="5"/>
        <v>39</v>
      </c>
      <c r="P11" s="343">
        <v>44558</v>
      </c>
      <c r="Q11" s="829">
        <f t="shared" si="6"/>
        <v>39</v>
      </c>
      <c r="R11" s="278" t="s">
        <v>637</v>
      </c>
      <c r="S11" s="300">
        <v>41</v>
      </c>
      <c r="T11" s="830">
        <f t="shared" si="9"/>
        <v>7085</v>
      </c>
      <c r="U11" s="827">
        <f t="shared" si="7"/>
        <v>1599</v>
      </c>
    </row>
    <row r="12" spans="1:21" ht="15.75" x14ac:dyDescent="0.25">
      <c r="B12" s="205">
        <v>13</v>
      </c>
      <c r="C12" s="779">
        <v>2</v>
      </c>
      <c r="D12" s="707">
        <f t="shared" si="3"/>
        <v>26</v>
      </c>
      <c r="E12" s="992">
        <v>44536</v>
      </c>
      <c r="F12" s="993">
        <f t="shared" si="0"/>
        <v>26</v>
      </c>
      <c r="G12" s="689" t="s">
        <v>447</v>
      </c>
      <c r="H12" s="994">
        <v>39</v>
      </c>
      <c r="I12" s="830">
        <f t="shared" si="8"/>
        <v>4511</v>
      </c>
      <c r="J12" s="827">
        <f t="shared" si="4"/>
        <v>1014</v>
      </c>
      <c r="M12" s="205">
        <v>13</v>
      </c>
      <c r="N12" s="779">
        <v>4</v>
      </c>
      <c r="O12" s="70">
        <f t="shared" si="5"/>
        <v>52</v>
      </c>
      <c r="P12" s="343">
        <v>44558</v>
      </c>
      <c r="Q12" s="829">
        <f t="shared" si="6"/>
        <v>52</v>
      </c>
      <c r="R12" s="278" t="s">
        <v>638</v>
      </c>
      <c r="S12" s="300">
        <v>41</v>
      </c>
      <c r="T12" s="830">
        <f t="shared" si="9"/>
        <v>7033</v>
      </c>
      <c r="U12" s="827">
        <f t="shared" si="7"/>
        <v>2132</v>
      </c>
    </row>
    <row r="13" spans="1:21" ht="15.75" x14ac:dyDescent="0.25">
      <c r="A13" s="19"/>
      <c r="B13" s="205">
        <v>13</v>
      </c>
      <c r="C13" s="780">
        <v>30</v>
      </c>
      <c r="D13" s="707">
        <f t="shared" si="3"/>
        <v>390</v>
      </c>
      <c r="E13" s="992">
        <v>44536</v>
      </c>
      <c r="F13" s="993">
        <f t="shared" si="0"/>
        <v>390</v>
      </c>
      <c r="G13" s="689" t="s">
        <v>449</v>
      </c>
      <c r="H13" s="994">
        <v>39</v>
      </c>
      <c r="I13" s="830">
        <f t="shared" si="8"/>
        <v>4121</v>
      </c>
      <c r="J13" s="827">
        <f t="shared" si="4"/>
        <v>15210</v>
      </c>
      <c r="L13" s="19"/>
      <c r="M13" s="205">
        <v>13</v>
      </c>
      <c r="N13" s="780">
        <v>40</v>
      </c>
      <c r="O13" s="70">
        <f t="shared" si="5"/>
        <v>520</v>
      </c>
      <c r="P13" s="343">
        <v>44558</v>
      </c>
      <c r="Q13" s="829">
        <f t="shared" si="6"/>
        <v>520</v>
      </c>
      <c r="R13" s="278" t="s">
        <v>641</v>
      </c>
      <c r="S13" s="300">
        <v>41</v>
      </c>
      <c r="T13" s="830">
        <f t="shared" si="9"/>
        <v>6513</v>
      </c>
      <c r="U13" s="827">
        <f t="shared" si="7"/>
        <v>21320</v>
      </c>
    </row>
    <row r="14" spans="1:21" ht="15.75" x14ac:dyDescent="0.25">
      <c r="B14" s="205">
        <v>13</v>
      </c>
      <c r="C14" s="779">
        <v>2</v>
      </c>
      <c r="D14" s="707">
        <f t="shared" si="3"/>
        <v>26</v>
      </c>
      <c r="E14" s="992">
        <v>44538</v>
      </c>
      <c r="F14" s="995">
        <f t="shared" si="0"/>
        <v>26</v>
      </c>
      <c r="G14" s="689" t="s">
        <v>476</v>
      </c>
      <c r="H14" s="994">
        <v>39</v>
      </c>
      <c r="I14" s="830">
        <f t="shared" si="8"/>
        <v>4095</v>
      </c>
      <c r="J14" s="783">
        <f t="shared" si="4"/>
        <v>1014</v>
      </c>
      <c r="M14" s="205">
        <v>13</v>
      </c>
      <c r="N14" s="779">
        <v>1</v>
      </c>
      <c r="O14" s="70">
        <f t="shared" si="5"/>
        <v>13</v>
      </c>
      <c r="P14" s="343">
        <v>44560</v>
      </c>
      <c r="Q14" s="781">
        <f t="shared" si="6"/>
        <v>13</v>
      </c>
      <c r="R14" s="278" t="s">
        <v>657</v>
      </c>
      <c r="S14" s="300">
        <v>41</v>
      </c>
      <c r="T14" s="830">
        <f t="shared" si="9"/>
        <v>6500</v>
      </c>
      <c r="U14" s="783">
        <f t="shared" si="7"/>
        <v>533</v>
      </c>
    </row>
    <row r="15" spans="1:21" ht="15.75" x14ac:dyDescent="0.25">
      <c r="B15" s="205">
        <v>13</v>
      </c>
      <c r="C15" s="779">
        <v>48</v>
      </c>
      <c r="D15" s="707">
        <f t="shared" si="3"/>
        <v>624</v>
      </c>
      <c r="E15" s="992">
        <v>44538</v>
      </c>
      <c r="F15" s="995">
        <f t="shared" si="0"/>
        <v>624</v>
      </c>
      <c r="G15" s="708" t="s">
        <v>477</v>
      </c>
      <c r="H15" s="996">
        <v>39</v>
      </c>
      <c r="I15" s="831">
        <f t="shared" si="8"/>
        <v>3471</v>
      </c>
      <c r="J15" s="783">
        <f t="shared" si="4"/>
        <v>24336</v>
      </c>
      <c r="M15" s="205">
        <v>13</v>
      </c>
      <c r="N15" s="779">
        <v>50</v>
      </c>
      <c r="O15" s="70">
        <f t="shared" si="5"/>
        <v>650</v>
      </c>
      <c r="P15" s="343">
        <v>44560</v>
      </c>
      <c r="Q15" s="781">
        <f t="shared" si="6"/>
        <v>650</v>
      </c>
      <c r="R15" s="71" t="s">
        <v>665</v>
      </c>
      <c r="S15" s="662">
        <v>41</v>
      </c>
      <c r="T15" s="831">
        <f t="shared" si="9"/>
        <v>5850</v>
      </c>
      <c r="U15" s="783">
        <f t="shared" si="7"/>
        <v>26650</v>
      </c>
    </row>
    <row r="16" spans="1:21" ht="15.75" x14ac:dyDescent="0.25">
      <c r="B16" s="205">
        <v>13</v>
      </c>
      <c r="C16" s="779">
        <v>50</v>
      </c>
      <c r="D16" s="707">
        <f t="shared" si="3"/>
        <v>650</v>
      </c>
      <c r="E16" s="992">
        <v>44539</v>
      </c>
      <c r="F16" s="995">
        <f>D16</f>
        <v>650</v>
      </c>
      <c r="G16" s="708" t="s">
        <v>495</v>
      </c>
      <c r="H16" s="996">
        <v>39</v>
      </c>
      <c r="I16" s="831">
        <f t="shared" si="8"/>
        <v>2821</v>
      </c>
      <c r="J16" s="783">
        <f t="shared" si="4"/>
        <v>25350</v>
      </c>
      <c r="M16" s="205">
        <v>13</v>
      </c>
      <c r="N16" s="779">
        <v>50</v>
      </c>
      <c r="O16" s="70">
        <f t="shared" si="5"/>
        <v>650</v>
      </c>
      <c r="P16" s="343">
        <v>44560</v>
      </c>
      <c r="Q16" s="781">
        <f>O16</f>
        <v>650</v>
      </c>
      <c r="R16" s="71" t="s">
        <v>651</v>
      </c>
      <c r="S16" s="662">
        <v>41</v>
      </c>
      <c r="T16" s="831">
        <f t="shared" si="9"/>
        <v>5200</v>
      </c>
      <c r="U16" s="783">
        <f t="shared" si="7"/>
        <v>26650</v>
      </c>
    </row>
    <row r="17" spans="1:21" ht="15.75" x14ac:dyDescent="0.25">
      <c r="B17" s="205">
        <v>13</v>
      </c>
      <c r="C17" s="779">
        <v>86</v>
      </c>
      <c r="D17" s="707">
        <f t="shared" si="3"/>
        <v>1118</v>
      </c>
      <c r="E17" s="992">
        <v>44540</v>
      </c>
      <c r="F17" s="995">
        <f>D17</f>
        <v>1118</v>
      </c>
      <c r="G17" s="708" t="s">
        <v>466</v>
      </c>
      <c r="H17" s="996">
        <v>39</v>
      </c>
      <c r="I17" s="831">
        <f t="shared" si="8"/>
        <v>1703</v>
      </c>
      <c r="J17" s="783">
        <f t="shared" si="4"/>
        <v>43602</v>
      </c>
      <c r="M17" s="205">
        <v>13</v>
      </c>
      <c r="N17" s="779"/>
      <c r="O17" s="70">
        <f t="shared" si="5"/>
        <v>0</v>
      </c>
      <c r="P17" s="343"/>
      <c r="Q17" s="781">
        <f>O17</f>
        <v>0</v>
      </c>
      <c r="R17" s="71"/>
      <c r="S17" s="662"/>
      <c r="T17" s="831">
        <f t="shared" si="9"/>
        <v>5200</v>
      </c>
      <c r="U17" s="783">
        <f t="shared" si="7"/>
        <v>0</v>
      </c>
    </row>
    <row r="18" spans="1:21" ht="15.75" x14ac:dyDescent="0.25">
      <c r="B18" s="205">
        <v>13</v>
      </c>
      <c r="C18" s="779">
        <v>1</v>
      </c>
      <c r="D18" s="707">
        <f t="shared" si="3"/>
        <v>13</v>
      </c>
      <c r="E18" s="992">
        <v>44541</v>
      </c>
      <c r="F18" s="995">
        <f t="shared" ref="F18:F39" si="10">D18</f>
        <v>13</v>
      </c>
      <c r="G18" s="708" t="s">
        <v>509</v>
      </c>
      <c r="H18" s="994">
        <v>40</v>
      </c>
      <c r="I18" s="831">
        <f t="shared" si="8"/>
        <v>1690</v>
      </c>
      <c r="J18" s="783">
        <f t="shared" si="4"/>
        <v>520</v>
      </c>
      <c r="M18" s="205">
        <v>13</v>
      </c>
      <c r="N18" s="779"/>
      <c r="O18" s="70">
        <f t="shared" si="5"/>
        <v>0</v>
      </c>
      <c r="P18" s="343"/>
      <c r="Q18" s="781">
        <f t="shared" ref="Q18:Q39" si="11">O18</f>
        <v>0</v>
      </c>
      <c r="R18" s="71"/>
      <c r="S18" s="662"/>
      <c r="T18" s="831">
        <f t="shared" si="9"/>
        <v>5200</v>
      </c>
      <c r="U18" s="783">
        <f t="shared" si="7"/>
        <v>0</v>
      </c>
    </row>
    <row r="19" spans="1:21" ht="15.75" x14ac:dyDescent="0.25">
      <c r="B19" s="205">
        <v>13</v>
      </c>
      <c r="C19" s="779">
        <v>78</v>
      </c>
      <c r="D19" s="707">
        <f t="shared" si="3"/>
        <v>1014</v>
      </c>
      <c r="E19" s="992">
        <v>44545</v>
      </c>
      <c r="F19" s="995">
        <f t="shared" si="10"/>
        <v>1014</v>
      </c>
      <c r="G19" s="689" t="s">
        <v>535</v>
      </c>
      <c r="H19" s="994">
        <v>39</v>
      </c>
      <c r="I19" s="830">
        <f t="shared" si="8"/>
        <v>676</v>
      </c>
      <c r="J19" s="783">
        <f t="shared" si="4"/>
        <v>39546</v>
      </c>
      <c r="M19" s="205">
        <v>13</v>
      </c>
      <c r="N19" s="779"/>
      <c r="O19" s="70">
        <f t="shared" si="5"/>
        <v>0</v>
      </c>
      <c r="P19" s="343"/>
      <c r="Q19" s="781">
        <f t="shared" si="11"/>
        <v>0</v>
      </c>
      <c r="R19" s="278"/>
      <c r="S19" s="300"/>
      <c r="T19" s="830">
        <f t="shared" si="9"/>
        <v>5200</v>
      </c>
      <c r="U19" s="783">
        <f t="shared" si="7"/>
        <v>0</v>
      </c>
    </row>
    <row r="20" spans="1:21" ht="15.75" x14ac:dyDescent="0.25">
      <c r="B20" s="205">
        <v>13</v>
      </c>
      <c r="C20" s="779">
        <v>40</v>
      </c>
      <c r="D20" s="707">
        <f t="shared" si="3"/>
        <v>520</v>
      </c>
      <c r="E20" s="992">
        <v>44548</v>
      </c>
      <c r="F20" s="995">
        <f t="shared" si="10"/>
        <v>520</v>
      </c>
      <c r="G20" s="689" t="s">
        <v>549</v>
      </c>
      <c r="H20" s="994">
        <v>39</v>
      </c>
      <c r="I20" s="830">
        <f t="shared" si="8"/>
        <v>156</v>
      </c>
      <c r="J20" s="783">
        <f t="shared" si="4"/>
        <v>20280</v>
      </c>
      <c r="M20" s="205">
        <v>13</v>
      </c>
      <c r="N20" s="779"/>
      <c r="O20" s="70">
        <f t="shared" si="5"/>
        <v>0</v>
      </c>
      <c r="P20" s="343"/>
      <c r="Q20" s="781">
        <f t="shared" si="11"/>
        <v>0</v>
      </c>
      <c r="R20" s="278"/>
      <c r="S20" s="300"/>
      <c r="T20" s="830">
        <f t="shared" si="9"/>
        <v>5200</v>
      </c>
      <c r="U20" s="783">
        <f t="shared" si="7"/>
        <v>0</v>
      </c>
    </row>
    <row r="21" spans="1:21" ht="15.75" x14ac:dyDescent="0.25">
      <c r="B21" s="205">
        <v>13</v>
      </c>
      <c r="C21" s="779">
        <v>3</v>
      </c>
      <c r="D21" s="707">
        <f t="shared" si="3"/>
        <v>39</v>
      </c>
      <c r="E21" s="992">
        <v>44550</v>
      </c>
      <c r="F21" s="995">
        <f t="shared" si="10"/>
        <v>39</v>
      </c>
      <c r="G21" s="689" t="s">
        <v>564</v>
      </c>
      <c r="H21" s="994">
        <v>39</v>
      </c>
      <c r="I21" s="830">
        <f t="shared" si="8"/>
        <v>117</v>
      </c>
      <c r="J21" s="783">
        <f t="shared" si="4"/>
        <v>1521</v>
      </c>
      <c r="M21" s="205">
        <v>13</v>
      </c>
      <c r="N21" s="779"/>
      <c r="O21" s="70">
        <f t="shared" si="5"/>
        <v>0</v>
      </c>
      <c r="P21" s="343"/>
      <c r="Q21" s="781">
        <f t="shared" si="11"/>
        <v>0</v>
      </c>
      <c r="R21" s="278"/>
      <c r="S21" s="300"/>
      <c r="T21" s="830">
        <f t="shared" si="9"/>
        <v>5200</v>
      </c>
      <c r="U21" s="783">
        <f t="shared" si="7"/>
        <v>0</v>
      </c>
    </row>
    <row r="22" spans="1:21" ht="15.75" x14ac:dyDescent="0.25">
      <c r="B22" s="205">
        <v>13</v>
      </c>
      <c r="C22" s="779">
        <v>3</v>
      </c>
      <c r="D22" s="707">
        <f t="shared" si="3"/>
        <v>39</v>
      </c>
      <c r="E22" s="992">
        <v>44551</v>
      </c>
      <c r="F22" s="995">
        <f t="shared" si="10"/>
        <v>39</v>
      </c>
      <c r="G22" s="689" t="s">
        <v>566</v>
      </c>
      <c r="H22" s="994">
        <v>39</v>
      </c>
      <c r="I22" s="830">
        <f t="shared" si="8"/>
        <v>78</v>
      </c>
      <c r="J22" s="783">
        <f t="shared" si="4"/>
        <v>1521</v>
      </c>
      <c r="M22" s="205">
        <v>13</v>
      </c>
      <c r="N22" s="779"/>
      <c r="O22" s="70">
        <f t="shared" si="5"/>
        <v>0</v>
      </c>
      <c r="P22" s="343"/>
      <c r="Q22" s="781">
        <f t="shared" si="11"/>
        <v>0</v>
      </c>
      <c r="R22" s="278"/>
      <c r="S22" s="300"/>
      <c r="T22" s="830">
        <f t="shared" si="9"/>
        <v>5200</v>
      </c>
      <c r="U22" s="783">
        <f t="shared" si="7"/>
        <v>0</v>
      </c>
    </row>
    <row r="23" spans="1:21" ht="15.75" x14ac:dyDescent="0.25">
      <c r="B23" s="205">
        <v>13</v>
      </c>
      <c r="C23" s="779"/>
      <c r="D23" s="707">
        <f t="shared" si="3"/>
        <v>0</v>
      </c>
      <c r="E23" s="992"/>
      <c r="F23" s="995">
        <f t="shared" si="10"/>
        <v>0</v>
      </c>
      <c r="G23" s="689"/>
      <c r="H23" s="994"/>
      <c r="I23" s="830">
        <f t="shared" si="8"/>
        <v>78</v>
      </c>
      <c r="J23" s="783">
        <f t="shared" si="4"/>
        <v>0</v>
      </c>
      <c r="M23" s="205">
        <v>13</v>
      </c>
      <c r="N23" s="779"/>
      <c r="O23" s="70">
        <f t="shared" si="5"/>
        <v>0</v>
      </c>
      <c r="P23" s="343"/>
      <c r="Q23" s="781">
        <f t="shared" si="11"/>
        <v>0</v>
      </c>
      <c r="R23" s="278"/>
      <c r="S23" s="300"/>
      <c r="T23" s="830">
        <f t="shared" si="9"/>
        <v>5200</v>
      </c>
      <c r="U23" s="783">
        <f t="shared" si="7"/>
        <v>0</v>
      </c>
    </row>
    <row r="24" spans="1:21" ht="15.75" x14ac:dyDescent="0.25">
      <c r="B24" s="205">
        <v>13</v>
      </c>
      <c r="C24" s="779"/>
      <c r="D24" s="707">
        <f t="shared" si="3"/>
        <v>0</v>
      </c>
      <c r="E24" s="992"/>
      <c r="F24" s="995">
        <f t="shared" si="10"/>
        <v>0</v>
      </c>
      <c r="G24" s="1099"/>
      <c r="H24" s="1111"/>
      <c r="I24" s="1112">
        <f t="shared" si="8"/>
        <v>78</v>
      </c>
      <c r="J24" s="1113">
        <f t="shared" si="4"/>
        <v>0</v>
      </c>
      <c r="M24" s="205">
        <v>13</v>
      </c>
      <c r="N24" s="779"/>
      <c r="O24" s="70">
        <f t="shared" si="5"/>
        <v>0</v>
      </c>
      <c r="P24" s="343"/>
      <c r="Q24" s="781">
        <f t="shared" si="11"/>
        <v>0</v>
      </c>
      <c r="R24" s="278"/>
      <c r="S24" s="300"/>
      <c r="T24" s="830">
        <f t="shared" si="9"/>
        <v>5200</v>
      </c>
      <c r="U24" s="783">
        <f t="shared" si="7"/>
        <v>0</v>
      </c>
    </row>
    <row r="25" spans="1:21" ht="15.75" x14ac:dyDescent="0.25">
      <c r="B25" s="205">
        <v>13</v>
      </c>
      <c r="C25" s="779">
        <v>6</v>
      </c>
      <c r="D25" s="707">
        <f t="shared" si="3"/>
        <v>78</v>
      </c>
      <c r="E25" s="992"/>
      <c r="F25" s="995">
        <f t="shared" si="10"/>
        <v>78</v>
      </c>
      <c r="G25" s="1099"/>
      <c r="H25" s="1111"/>
      <c r="I25" s="1112">
        <f t="shared" si="8"/>
        <v>0</v>
      </c>
      <c r="J25" s="1113">
        <f t="shared" si="4"/>
        <v>0</v>
      </c>
      <c r="M25" s="205">
        <v>13</v>
      </c>
      <c r="N25" s="779"/>
      <c r="O25" s="70">
        <f t="shared" si="5"/>
        <v>0</v>
      </c>
      <c r="P25" s="343"/>
      <c r="Q25" s="781">
        <f t="shared" si="11"/>
        <v>0</v>
      </c>
      <c r="R25" s="278"/>
      <c r="S25" s="300"/>
      <c r="T25" s="830">
        <f t="shared" si="9"/>
        <v>5200</v>
      </c>
      <c r="U25" s="783">
        <f t="shared" si="7"/>
        <v>0</v>
      </c>
    </row>
    <row r="26" spans="1:21" ht="15.75" x14ac:dyDescent="0.25">
      <c r="B26" s="205">
        <v>13</v>
      </c>
      <c r="C26" s="779"/>
      <c r="D26" s="707">
        <f t="shared" si="3"/>
        <v>0</v>
      </c>
      <c r="E26" s="992"/>
      <c r="F26" s="995">
        <f t="shared" si="10"/>
        <v>0</v>
      </c>
      <c r="G26" s="1099"/>
      <c r="H26" s="1111"/>
      <c r="I26" s="1112">
        <f t="shared" si="8"/>
        <v>0</v>
      </c>
      <c r="J26" s="1113">
        <f t="shared" si="4"/>
        <v>0</v>
      </c>
      <c r="M26" s="205">
        <v>13</v>
      </c>
      <c r="N26" s="779"/>
      <c r="O26" s="70">
        <f t="shared" si="5"/>
        <v>0</v>
      </c>
      <c r="P26" s="343"/>
      <c r="Q26" s="781">
        <f t="shared" si="11"/>
        <v>0</v>
      </c>
      <c r="R26" s="71"/>
      <c r="S26" s="662"/>
      <c r="T26" s="831">
        <f t="shared" si="9"/>
        <v>5200</v>
      </c>
      <c r="U26" s="783">
        <f t="shared" si="7"/>
        <v>0</v>
      </c>
    </row>
    <row r="27" spans="1:21" ht="15.75" x14ac:dyDescent="0.25">
      <c r="B27" s="205">
        <v>13</v>
      </c>
      <c r="C27" s="779"/>
      <c r="D27" s="707">
        <f t="shared" si="3"/>
        <v>0</v>
      </c>
      <c r="E27" s="992"/>
      <c r="F27" s="995">
        <f t="shared" si="10"/>
        <v>0</v>
      </c>
      <c r="G27" s="1099"/>
      <c r="H27" s="1111"/>
      <c r="I27" s="1112">
        <f t="shared" si="8"/>
        <v>0</v>
      </c>
      <c r="J27" s="1113">
        <f t="shared" si="4"/>
        <v>0</v>
      </c>
      <c r="M27" s="205">
        <v>13</v>
      </c>
      <c r="N27" s="779"/>
      <c r="O27" s="70">
        <f t="shared" si="5"/>
        <v>0</v>
      </c>
      <c r="P27" s="343"/>
      <c r="Q27" s="781">
        <f t="shared" si="11"/>
        <v>0</v>
      </c>
      <c r="R27" s="71"/>
      <c r="S27" s="662"/>
      <c r="T27" s="831">
        <f t="shared" si="9"/>
        <v>5200</v>
      </c>
      <c r="U27" s="783">
        <f t="shared" si="7"/>
        <v>0</v>
      </c>
    </row>
    <row r="28" spans="1:21" ht="15.75" x14ac:dyDescent="0.25">
      <c r="B28" s="205">
        <v>13</v>
      </c>
      <c r="C28" s="779"/>
      <c r="D28" s="707">
        <f t="shared" si="3"/>
        <v>0</v>
      </c>
      <c r="E28" s="992"/>
      <c r="F28" s="995">
        <f t="shared" si="10"/>
        <v>0</v>
      </c>
      <c r="G28" s="708"/>
      <c r="H28" s="996"/>
      <c r="I28" s="831">
        <f t="shared" si="8"/>
        <v>0</v>
      </c>
      <c r="J28" s="783">
        <f t="shared" si="4"/>
        <v>0</v>
      </c>
      <c r="M28" s="205">
        <v>13</v>
      </c>
      <c r="N28" s="779"/>
      <c r="O28" s="70">
        <f t="shared" si="5"/>
        <v>0</v>
      </c>
      <c r="P28" s="343"/>
      <c r="Q28" s="781">
        <f t="shared" si="11"/>
        <v>0</v>
      </c>
      <c r="R28" s="71"/>
      <c r="S28" s="662"/>
      <c r="T28" s="831">
        <f t="shared" si="9"/>
        <v>5200</v>
      </c>
      <c r="U28" s="783">
        <f t="shared" si="7"/>
        <v>0</v>
      </c>
    </row>
    <row r="29" spans="1:21" ht="15.75" x14ac:dyDescent="0.25">
      <c r="A29" s="47"/>
      <c r="B29" s="205">
        <v>13</v>
      </c>
      <c r="C29" s="779"/>
      <c r="D29" s="707">
        <f t="shared" si="3"/>
        <v>0</v>
      </c>
      <c r="E29" s="992"/>
      <c r="F29" s="995">
        <f t="shared" si="10"/>
        <v>0</v>
      </c>
      <c r="G29" s="708"/>
      <c r="H29" s="996"/>
      <c r="I29" s="831">
        <f t="shared" si="8"/>
        <v>0</v>
      </c>
      <c r="J29" s="783">
        <f t="shared" si="4"/>
        <v>0</v>
      </c>
      <c r="L29" s="47"/>
      <c r="M29" s="205">
        <v>13</v>
      </c>
      <c r="N29" s="779"/>
      <c r="O29" s="70">
        <f t="shared" si="5"/>
        <v>0</v>
      </c>
      <c r="P29" s="343"/>
      <c r="Q29" s="781">
        <f t="shared" si="11"/>
        <v>0</v>
      </c>
      <c r="R29" s="71"/>
      <c r="S29" s="662"/>
      <c r="T29" s="831">
        <f t="shared" si="9"/>
        <v>5200</v>
      </c>
      <c r="U29" s="783">
        <f t="shared" si="7"/>
        <v>0</v>
      </c>
    </row>
    <row r="30" spans="1:21" ht="15.75" x14ac:dyDescent="0.25">
      <c r="A30" s="47"/>
      <c r="B30" s="205">
        <v>13</v>
      </c>
      <c r="C30" s="779"/>
      <c r="D30" s="707">
        <f t="shared" si="3"/>
        <v>0</v>
      </c>
      <c r="E30" s="992"/>
      <c r="F30" s="995">
        <f t="shared" si="10"/>
        <v>0</v>
      </c>
      <c r="G30" s="708"/>
      <c r="H30" s="996"/>
      <c r="I30" s="831">
        <f t="shared" si="8"/>
        <v>0</v>
      </c>
      <c r="J30" s="783">
        <f t="shared" si="4"/>
        <v>0</v>
      </c>
      <c r="L30" s="47"/>
      <c r="M30" s="205">
        <v>13</v>
      </c>
      <c r="N30" s="779"/>
      <c r="O30" s="70">
        <f t="shared" si="5"/>
        <v>0</v>
      </c>
      <c r="P30" s="343"/>
      <c r="Q30" s="781">
        <f t="shared" si="11"/>
        <v>0</v>
      </c>
      <c r="R30" s="71"/>
      <c r="S30" s="662"/>
      <c r="T30" s="831">
        <f t="shared" si="9"/>
        <v>5200</v>
      </c>
      <c r="U30" s="783">
        <f t="shared" si="7"/>
        <v>0</v>
      </c>
    </row>
    <row r="31" spans="1:21" ht="15.75" x14ac:dyDescent="0.25">
      <c r="A31" s="47"/>
      <c r="B31" s="205">
        <v>13</v>
      </c>
      <c r="C31" s="779"/>
      <c r="D31" s="70">
        <f t="shared" si="3"/>
        <v>0</v>
      </c>
      <c r="E31" s="343"/>
      <c r="F31" s="781">
        <f t="shared" si="10"/>
        <v>0</v>
      </c>
      <c r="G31" s="71"/>
      <c r="H31" s="662"/>
      <c r="I31" s="831">
        <f t="shared" si="8"/>
        <v>0</v>
      </c>
      <c r="J31" s="783">
        <f t="shared" si="4"/>
        <v>0</v>
      </c>
      <c r="L31" s="47"/>
      <c r="M31" s="205">
        <v>13</v>
      </c>
      <c r="N31" s="779"/>
      <c r="O31" s="70">
        <f t="shared" si="5"/>
        <v>0</v>
      </c>
      <c r="P31" s="343"/>
      <c r="Q31" s="781">
        <f t="shared" si="11"/>
        <v>0</v>
      </c>
      <c r="R31" s="71"/>
      <c r="S31" s="662"/>
      <c r="T31" s="831">
        <f t="shared" si="9"/>
        <v>5200</v>
      </c>
      <c r="U31" s="783">
        <f t="shared" si="7"/>
        <v>0</v>
      </c>
    </row>
    <row r="32" spans="1:21" ht="15.75" x14ac:dyDescent="0.25">
      <c r="A32" s="47"/>
      <c r="B32" s="205">
        <v>13</v>
      </c>
      <c r="C32" s="779"/>
      <c r="D32" s="70">
        <f t="shared" si="3"/>
        <v>0</v>
      </c>
      <c r="E32" s="343"/>
      <c r="F32" s="781">
        <f t="shared" si="10"/>
        <v>0</v>
      </c>
      <c r="G32" s="71"/>
      <c r="H32" s="662"/>
      <c r="I32" s="831">
        <f t="shared" si="8"/>
        <v>0</v>
      </c>
      <c r="J32" s="783">
        <f t="shared" si="4"/>
        <v>0</v>
      </c>
      <c r="L32" s="47"/>
      <c r="M32" s="205">
        <v>13</v>
      </c>
      <c r="N32" s="779"/>
      <c r="O32" s="70">
        <f t="shared" si="5"/>
        <v>0</v>
      </c>
      <c r="P32" s="343"/>
      <c r="Q32" s="781">
        <f t="shared" si="11"/>
        <v>0</v>
      </c>
      <c r="R32" s="71"/>
      <c r="S32" s="662"/>
      <c r="T32" s="831">
        <f t="shared" si="9"/>
        <v>5200</v>
      </c>
      <c r="U32" s="783">
        <f t="shared" si="7"/>
        <v>0</v>
      </c>
    </row>
    <row r="33" spans="1:21" ht="15.75" x14ac:dyDescent="0.25">
      <c r="A33" s="47"/>
      <c r="B33" s="205">
        <v>13</v>
      </c>
      <c r="C33" s="779"/>
      <c r="D33" s="70">
        <f t="shared" si="3"/>
        <v>0</v>
      </c>
      <c r="E33" s="343"/>
      <c r="F33" s="781">
        <f t="shared" si="10"/>
        <v>0</v>
      </c>
      <c r="G33" s="71"/>
      <c r="H33" s="662"/>
      <c r="I33" s="831">
        <f t="shared" si="8"/>
        <v>0</v>
      </c>
      <c r="J33" s="783">
        <f t="shared" si="4"/>
        <v>0</v>
      </c>
      <c r="L33" s="47"/>
      <c r="M33" s="205">
        <v>13</v>
      </c>
      <c r="N33" s="779"/>
      <c r="O33" s="70">
        <f t="shared" si="5"/>
        <v>0</v>
      </c>
      <c r="P33" s="343"/>
      <c r="Q33" s="781">
        <f t="shared" si="11"/>
        <v>0</v>
      </c>
      <c r="R33" s="71"/>
      <c r="S33" s="662"/>
      <c r="T33" s="831">
        <f t="shared" si="9"/>
        <v>5200</v>
      </c>
      <c r="U33" s="783">
        <f t="shared" si="7"/>
        <v>0</v>
      </c>
    </row>
    <row r="34" spans="1:21" ht="15.75" x14ac:dyDescent="0.25">
      <c r="A34" s="47"/>
      <c r="B34" s="205">
        <v>13</v>
      </c>
      <c r="C34" s="779"/>
      <c r="D34" s="70">
        <f t="shared" si="3"/>
        <v>0</v>
      </c>
      <c r="E34" s="343"/>
      <c r="F34" s="781">
        <f t="shared" si="10"/>
        <v>0</v>
      </c>
      <c r="G34" s="71"/>
      <c r="H34" s="662"/>
      <c r="I34" s="831">
        <f t="shared" si="8"/>
        <v>0</v>
      </c>
      <c r="J34" s="783">
        <f t="shared" si="4"/>
        <v>0</v>
      </c>
      <c r="L34" s="47"/>
      <c r="M34" s="205">
        <v>13</v>
      </c>
      <c r="N34" s="779"/>
      <c r="O34" s="70">
        <f t="shared" si="5"/>
        <v>0</v>
      </c>
      <c r="P34" s="343"/>
      <c r="Q34" s="781">
        <f t="shared" si="11"/>
        <v>0</v>
      </c>
      <c r="R34" s="71"/>
      <c r="S34" s="662"/>
      <c r="T34" s="831">
        <f t="shared" si="9"/>
        <v>5200</v>
      </c>
      <c r="U34" s="783">
        <f t="shared" si="7"/>
        <v>0</v>
      </c>
    </row>
    <row r="35" spans="1:21" ht="15.75" x14ac:dyDescent="0.25">
      <c r="A35" s="47"/>
      <c r="B35" s="205">
        <v>13</v>
      </c>
      <c r="C35" s="779"/>
      <c r="D35" s="70">
        <f t="shared" si="3"/>
        <v>0</v>
      </c>
      <c r="E35" s="343"/>
      <c r="F35" s="781">
        <f t="shared" si="10"/>
        <v>0</v>
      </c>
      <c r="G35" s="71"/>
      <c r="H35" s="662"/>
      <c r="I35" s="782">
        <f t="shared" si="8"/>
        <v>0</v>
      </c>
      <c r="J35" s="783">
        <f t="shared" si="4"/>
        <v>0</v>
      </c>
      <c r="L35" s="47"/>
      <c r="M35" s="205">
        <v>13</v>
      </c>
      <c r="N35" s="779"/>
      <c r="O35" s="70">
        <f t="shared" si="5"/>
        <v>0</v>
      </c>
      <c r="P35" s="343"/>
      <c r="Q35" s="781">
        <f t="shared" si="11"/>
        <v>0</v>
      </c>
      <c r="R35" s="71"/>
      <c r="S35" s="662"/>
      <c r="T35" s="782">
        <f t="shared" si="9"/>
        <v>5200</v>
      </c>
      <c r="U35" s="783">
        <f t="shared" si="7"/>
        <v>0</v>
      </c>
    </row>
    <row r="36" spans="1:21" ht="15.75" x14ac:dyDescent="0.25">
      <c r="A36" s="47"/>
      <c r="B36" s="205">
        <v>13</v>
      </c>
      <c r="C36" s="779"/>
      <c r="D36" s="70">
        <f t="shared" si="3"/>
        <v>0</v>
      </c>
      <c r="E36" s="343"/>
      <c r="F36" s="781">
        <f t="shared" si="10"/>
        <v>0</v>
      </c>
      <c r="G36" s="71"/>
      <c r="H36" s="662"/>
      <c r="I36" s="782">
        <f t="shared" si="8"/>
        <v>0</v>
      </c>
      <c r="J36" s="783">
        <f t="shared" si="4"/>
        <v>0</v>
      </c>
      <c r="L36" s="47"/>
      <c r="M36" s="205">
        <v>13</v>
      </c>
      <c r="N36" s="779"/>
      <c r="O36" s="70">
        <f t="shared" si="5"/>
        <v>0</v>
      </c>
      <c r="P36" s="343"/>
      <c r="Q36" s="781">
        <f t="shared" si="11"/>
        <v>0</v>
      </c>
      <c r="R36" s="71"/>
      <c r="S36" s="662"/>
      <c r="T36" s="782">
        <f t="shared" si="9"/>
        <v>5200</v>
      </c>
      <c r="U36" s="783">
        <f t="shared" si="7"/>
        <v>0</v>
      </c>
    </row>
    <row r="37" spans="1:21" ht="15.75" x14ac:dyDescent="0.25">
      <c r="A37" s="47"/>
      <c r="B37" s="205">
        <v>13</v>
      </c>
      <c r="C37" s="779"/>
      <c r="D37" s="70">
        <f t="shared" si="3"/>
        <v>0</v>
      </c>
      <c r="E37" s="343"/>
      <c r="F37" s="781">
        <f t="shared" si="10"/>
        <v>0</v>
      </c>
      <c r="G37" s="71"/>
      <c r="H37" s="662"/>
      <c r="I37" s="782">
        <f t="shared" si="8"/>
        <v>0</v>
      </c>
      <c r="J37" s="783">
        <f t="shared" si="4"/>
        <v>0</v>
      </c>
      <c r="L37" s="47"/>
      <c r="M37" s="205">
        <v>13</v>
      </c>
      <c r="N37" s="779"/>
      <c r="O37" s="70">
        <f t="shared" si="5"/>
        <v>0</v>
      </c>
      <c r="P37" s="343"/>
      <c r="Q37" s="781">
        <f t="shared" si="11"/>
        <v>0</v>
      </c>
      <c r="R37" s="71"/>
      <c r="S37" s="662"/>
      <c r="T37" s="782">
        <f t="shared" si="9"/>
        <v>5200</v>
      </c>
      <c r="U37" s="783">
        <f t="shared" si="7"/>
        <v>0</v>
      </c>
    </row>
    <row r="38" spans="1:21" ht="15.75" x14ac:dyDescent="0.25">
      <c r="A38" s="47"/>
      <c r="B38" s="205">
        <v>13</v>
      </c>
      <c r="C38" s="779"/>
      <c r="D38" s="70">
        <f t="shared" si="3"/>
        <v>0</v>
      </c>
      <c r="E38" s="343"/>
      <c r="F38" s="781">
        <f t="shared" si="10"/>
        <v>0</v>
      </c>
      <c r="G38" s="71"/>
      <c r="H38" s="662"/>
      <c r="I38" s="782">
        <f t="shared" si="8"/>
        <v>0</v>
      </c>
      <c r="J38" s="783">
        <f t="shared" si="4"/>
        <v>0</v>
      </c>
      <c r="L38" s="47"/>
      <c r="M38" s="205">
        <v>13</v>
      </c>
      <c r="N38" s="779"/>
      <c r="O38" s="70">
        <f t="shared" si="5"/>
        <v>0</v>
      </c>
      <c r="P38" s="343"/>
      <c r="Q38" s="781">
        <f t="shared" si="11"/>
        <v>0</v>
      </c>
      <c r="R38" s="71"/>
      <c r="S38" s="662"/>
      <c r="T38" s="782">
        <f t="shared" si="9"/>
        <v>5200</v>
      </c>
      <c r="U38" s="783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5"/>
      <c r="J39" s="776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5"/>
      <c r="U39" s="776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206</v>
      </c>
      <c r="O40" s="107">
        <f>SUM(O8:O39)</f>
        <v>2678</v>
      </c>
      <c r="P40" s="76"/>
      <c r="Q40" s="107">
        <f>SUM(Q8:Q39)</f>
        <v>2678</v>
      </c>
    </row>
    <row r="41" spans="1:21" ht="15.75" thickBot="1" x14ac:dyDescent="0.3">
      <c r="A41" s="47"/>
      <c r="L41" s="47"/>
    </row>
    <row r="42" spans="1:21" x14ac:dyDescent="0.25">
      <c r="B42" s="5"/>
      <c r="D42" s="1150" t="s">
        <v>21</v>
      </c>
      <c r="E42" s="1151"/>
      <c r="F42" s="147">
        <f>E4+E5-F40+E6</f>
        <v>0</v>
      </c>
      <c r="M42" s="5"/>
      <c r="O42" s="1150" t="s">
        <v>21</v>
      </c>
      <c r="P42" s="1151"/>
      <c r="Q42" s="147">
        <f>P4+P5-Q40+P6</f>
        <v>5200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56" t="s">
        <v>4</v>
      </c>
      <c r="P43" s="1057"/>
      <c r="Q43" s="49">
        <f>Q4+Q5-N40+Q6</f>
        <v>400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9" sqref="C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8" t="s">
        <v>248</v>
      </c>
      <c r="B1" s="1168"/>
      <c r="C1" s="1168"/>
      <c r="D1" s="1168"/>
      <c r="E1" s="1168"/>
      <c r="F1" s="1168"/>
      <c r="G1" s="1168"/>
      <c r="H1" s="11">
        <v>1</v>
      </c>
    </row>
    <row r="2" spans="1:15" ht="16.5" thickBot="1" x14ac:dyDescent="0.3">
      <c r="K2" s="735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75" t="s">
        <v>103</v>
      </c>
      <c r="B5" s="550" t="s">
        <v>345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175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548</v>
      </c>
      <c r="H8" s="279">
        <v>140</v>
      </c>
      <c r="I8" s="768">
        <f>E5+E6-F8+E4</f>
        <v>0</v>
      </c>
      <c r="J8" s="791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8">
        <f>I8-F9</f>
        <v>0</v>
      </c>
      <c r="J9" s="791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8">
        <f t="shared" ref="I10:I27" si="3">I9-F10</f>
        <v>0</v>
      </c>
      <c r="J10" s="791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8">
        <f t="shared" si="3"/>
        <v>0</v>
      </c>
      <c r="J11" s="791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8">
        <f t="shared" si="3"/>
        <v>0</v>
      </c>
      <c r="J12" s="791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70">
        <f t="shared" si="3"/>
        <v>0</v>
      </c>
      <c r="J13" s="791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70">
        <f t="shared" si="3"/>
        <v>0</v>
      </c>
      <c r="J14" s="791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0">
        <f t="shared" si="3"/>
        <v>0</v>
      </c>
      <c r="J15" s="791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1">
        <f t="shared" si="3"/>
        <v>0</v>
      </c>
      <c r="J16" s="769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1">
        <f t="shared" si="3"/>
        <v>0</v>
      </c>
      <c r="J17" s="769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1">
        <f t="shared" si="3"/>
        <v>0</v>
      </c>
      <c r="J18" s="769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1">
        <f t="shared" si="3"/>
        <v>0</v>
      </c>
      <c r="J19" s="769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1">
        <f t="shared" si="3"/>
        <v>0</v>
      </c>
      <c r="J20" s="769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1">
        <f t="shared" si="3"/>
        <v>0</v>
      </c>
      <c r="J21" s="769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1">
        <f t="shared" si="3"/>
        <v>0</v>
      </c>
      <c r="J22" s="769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1">
        <f t="shared" si="3"/>
        <v>0</v>
      </c>
      <c r="J23" s="769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1">
        <f t="shared" si="3"/>
        <v>0</v>
      </c>
      <c r="J24" s="769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1">
        <f t="shared" si="3"/>
        <v>0</v>
      </c>
      <c r="J25" s="769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1">
        <f t="shared" si="3"/>
        <v>0</v>
      </c>
      <c r="J26" s="769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2">
        <f t="shared" si="3"/>
        <v>0</v>
      </c>
      <c r="J27" s="769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73"/>
      <c r="J28" s="77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50" t="s">
        <v>21</v>
      </c>
      <c r="E31" s="1151"/>
      <c r="F31" s="147">
        <f>E4+E5-F29+E6</f>
        <v>0</v>
      </c>
    </row>
    <row r="32" spans="1:10" ht="15.75" thickBot="1" x14ac:dyDescent="0.3">
      <c r="A32" s="129"/>
      <c r="D32" s="641" t="s">
        <v>4</v>
      </c>
      <c r="E32" s="642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T R I P A S       </vt:lpstr>
      <vt:lpstr>PULPA ESPALDILLA </vt:lpstr>
      <vt:lpstr>CABEZA DE LOMO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PUNTAS DE CAÑA DE LOMO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2022-01-13T21:57:55Z</dcterms:modified>
</cp:coreProperties>
</file>