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195" yWindow="915" windowWidth="16905" windowHeight="10110" firstSheet="19" activeTab="20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  S E P T I E M B R E     2022 " sheetId="17" r:id="rId17"/>
    <sheet name="COMPRAS   SEPTIEMBRE 2022" sheetId="18" r:id="rId18"/>
    <sheet name="   O C T U B R E     2 0 2 2   " sheetId="19" r:id="rId19"/>
    <sheet name=" COMPRAS  OCTUBRE   2022     " sheetId="20" r:id="rId20"/>
    <sheet name="   N O V I E M  B R E    2022  " sheetId="21" r:id="rId21"/>
    <sheet name="COMPRAS NOVIEMBRE 2022" sheetId="22" r:id="rId22"/>
    <sheet name="Hoja3" sheetId="23" r:id="rId2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22" l="1"/>
  <c r="E25" i="18"/>
  <c r="M32" i="21" l="1"/>
  <c r="M31" i="21"/>
  <c r="M30" i="21"/>
  <c r="M29" i="21" l="1"/>
  <c r="M28" i="21"/>
  <c r="M27" i="21" l="1"/>
  <c r="M26" i="21"/>
  <c r="M25" i="21" l="1"/>
  <c r="M24" i="21"/>
  <c r="M23" i="21"/>
  <c r="M22" i="21"/>
  <c r="M20" i="21"/>
  <c r="M19" i="21" l="1"/>
  <c r="M18" i="21"/>
  <c r="M17" i="21"/>
  <c r="M16" i="21"/>
  <c r="M15" i="21"/>
  <c r="M14" i="21"/>
  <c r="M13" i="21"/>
  <c r="M12" i="21"/>
  <c r="M11" i="21"/>
  <c r="M10" i="21" l="1"/>
  <c r="M9" i="21"/>
  <c r="M8" i="21"/>
  <c r="Q33" i="21"/>
  <c r="Q34" i="21"/>
  <c r="Q35" i="21"/>
  <c r="Q36" i="21"/>
  <c r="Q37" i="21"/>
  <c r="Q38" i="21"/>
  <c r="Q39" i="21"/>
  <c r="M6" i="21"/>
  <c r="Q5" i="21" l="1"/>
  <c r="M5" i="21" l="1"/>
  <c r="E79" i="22" l="1"/>
  <c r="C79" i="22"/>
  <c r="J11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K57" i="21"/>
  <c r="L51" i="21"/>
  <c r="I51" i="21"/>
  <c r="F51" i="21"/>
  <c r="C51" i="21"/>
  <c r="R40" i="21"/>
  <c r="N40" i="21"/>
  <c r="P39" i="21"/>
  <c r="P38" i="21"/>
  <c r="P37" i="21"/>
  <c r="P36" i="21"/>
  <c r="P35" i="21"/>
  <c r="P34" i="21"/>
  <c r="P33" i="21"/>
  <c r="P32" i="21"/>
  <c r="Q32" i="21" s="1"/>
  <c r="P31" i="21"/>
  <c r="Q31" i="21" s="1"/>
  <c r="P30" i="21"/>
  <c r="Q30" i="21" s="1"/>
  <c r="P29" i="21"/>
  <c r="Q29" i="21" s="1"/>
  <c r="P28" i="21"/>
  <c r="Q28" i="21" s="1"/>
  <c r="P27" i="21"/>
  <c r="Q27" i="21" s="1"/>
  <c r="P26" i="21"/>
  <c r="Q26" i="21" s="1"/>
  <c r="P25" i="21"/>
  <c r="Q25" i="21" s="1"/>
  <c r="P24" i="21"/>
  <c r="Q24" i="21" s="1"/>
  <c r="P23" i="21"/>
  <c r="Q23" i="21" s="1"/>
  <c r="P22" i="21"/>
  <c r="Q22" i="21" s="1"/>
  <c r="P21" i="21"/>
  <c r="Q21" i="21" s="1"/>
  <c r="P20" i="21"/>
  <c r="Q20" i="21" s="1"/>
  <c r="P19" i="21"/>
  <c r="Q19" i="21" s="1"/>
  <c r="P18" i="21"/>
  <c r="Q18" i="21" s="1"/>
  <c r="P17" i="21"/>
  <c r="Q17" i="21" s="1"/>
  <c r="P16" i="21"/>
  <c r="Q16" i="21" s="1"/>
  <c r="P15" i="21"/>
  <c r="P14" i="21"/>
  <c r="Q14" i="21" s="1"/>
  <c r="P13" i="21"/>
  <c r="Q13" i="21" s="1"/>
  <c r="P12" i="21"/>
  <c r="Q12" i="21" s="1"/>
  <c r="P11" i="21"/>
  <c r="P10" i="21"/>
  <c r="Q10" i="21" s="1"/>
  <c r="P9" i="21"/>
  <c r="Q9" i="21" s="1"/>
  <c r="P8" i="21"/>
  <c r="P7" i="21"/>
  <c r="Q7" i="21" s="1"/>
  <c r="P6" i="21"/>
  <c r="M40" i="21"/>
  <c r="K53" i="21" l="1"/>
  <c r="F54" i="21" s="1"/>
  <c r="F57" i="21" s="1"/>
  <c r="K55" i="21" s="1"/>
  <c r="K59" i="21" s="1"/>
  <c r="M53" i="21"/>
  <c r="P5" i="21"/>
  <c r="Q40" i="21" s="1"/>
  <c r="P40" i="21"/>
  <c r="M32" i="19" l="1"/>
  <c r="M31" i="19"/>
  <c r="M30" i="19"/>
  <c r="M29" i="19"/>
  <c r="M28" i="19"/>
  <c r="M27" i="19"/>
  <c r="M26" i="19"/>
  <c r="M25" i="19" l="1"/>
  <c r="M24" i="19"/>
  <c r="M23" i="19"/>
  <c r="M22" i="19"/>
  <c r="M20" i="19" l="1"/>
  <c r="M19" i="19" l="1"/>
  <c r="M18" i="19" l="1"/>
  <c r="M17" i="19" l="1"/>
  <c r="M16" i="19"/>
  <c r="Q15" i="19"/>
  <c r="M15" i="19" l="1"/>
  <c r="M13" i="19" l="1"/>
  <c r="M12" i="19" l="1"/>
  <c r="M11" i="19"/>
  <c r="M10" i="19"/>
  <c r="M9" i="19"/>
  <c r="M8" i="19" l="1"/>
  <c r="M7" i="19"/>
  <c r="Q5" i="19"/>
  <c r="P6" i="19"/>
  <c r="M6" i="19"/>
  <c r="M5" i="19"/>
  <c r="E79" i="20" l="1"/>
  <c r="C79" i="20"/>
  <c r="J11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K57" i="19"/>
  <c r="I51" i="19"/>
  <c r="F51" i="19"/>
  <c r="C51" i="19"/>
  <c r="R40" i="19"/>
  <c r="N40" i="19"/>
  <c r="P39" i="19"/>
  <c r="Q39" i="19" s="1"/>
  <c r="P38" i="19"/>
  <c r="Q38" i="19" s="1"/>
  <c r="P37" i="19"/>
  <c r="Q37" i="19" s="1"/>
  <c r="P36" i="19"/>
  <c r="Q36" i="19" s="1"/>
  <c r="P35" i="19"/>
  <c r="Q35" i="19" s="1"/>
  <c r="P34" i="19"/>
  <c r="Q34" i="19" s="1"/>
  <c r="P33" i="19"/>
  <c r="Q33" i="19" s="1"/>
  <c r="P32" i="19"/>
  <c r="Q32" i="19" s="1"/>
  <c r="P31" i="19"/>
  <c r="Q31" i="19" s="1"/>
  <c r="P30" i="19"/>
  <c r="Q30" i="19" s="1"/>
  <c r="P29" i="19"/>
  <c r="Q29" i="19" s="1"/>
  <c r="P28" i="19"/>
  <c r="Q28" i="19" s="1"/>
  <c r="P27" i="19"/>
  <c r="Q27" i="19" s="1"/>
  <c r="P26" i="19"/>
  <c r="Q26" i="19" s="1"/>
  <c r="P25" i="19"/>
  <c r="Q25" i="19" s="1"/>
  <c r="P24" i="19"/>
  <c r="Q24" i="19" s="1"/>
  <c r="P23" i="19"/>
  <c r="Q23" i="19" s="1"/>
  <c r="P22" i="19"/>
  <c r="Q22" i="19" s="1"/>
  <c r="P21" i="19"/>
  <c r="Q21" i="19" s="1"/>
  <c r="P20" i="19"/>
  <c r="Q20" i="19" s="1"/>
  <c r="P19" i="19"/>
  <c r="Q19" i="19" s="1"/>
  <c r="P18" i="19"/>
  <c r="Q18" i="19" s="1"/>
  <c r="P17" i="19"/>
  <c r="P16" i="19"/>
  <c r="Q16" i="19" s="1"/>
  <c r="P15" i="19"/>
  <c r="P14" i="19"/>
  <c r="Q14" i="19" s="1"/>
  <c r="P13" i="19"/>
  <c r="Q13" i="19" s="1"/>
  <c r="P12" i="19"/>
  <c r="Q12" i="19" s="1"/>
  <c r="P11" i="19"/>
  <c r="P10" i="19"/>
  <c r="L51" i="19"/>
  <c r="P9" i="19"/>
  <c r="P8" i="19"/>
  <c r="P7" i="19"/>
  <c r="P5" i="19"/>
  <c r="M40" i="19"/>
  <c r="Q40" i="19" l="1"/>
  <c r="M53" i="19"/>
  <c r="K53" i="19"/>
  <c r="F54" i="19" s="1"/>
  <c r="F57" i="19" s="1"/>
  <c r="K55" i="19" s="1"/>
  <c r="K59" i="19" s="1"/>
  <c r="P40" i="19"/>
  <c r="M39" i="17"/>
  <c r="M38" i="17" l="1"/>
  <c r="M37" i="17"/>
  <c r="M36" i="17" l="1"/>
  <c r="M35" i="17"/>
  <c r="P34" i="17" l="1"/>
  <c r="P35" i="17"/>
  <c r="P36" i="17"/>
  <c r="P37" i="17"/>
  <c r="P38" i="17"/>
  <c r="P39" i="17"/>
  <c r="M34" i="17"/>
  <c r="M33" i="17" l="1"/>
  <c r="M32" i="17"/>
  <c r="M31" i="17" l="1"/>
  <c r="M30" i="17"/>
  <c r="M29" i="17"/>
  <c r="M28" i="17" l="1"/>
  <c r="M27" i="17"/>
  <c r="M26" i="17"/>
  <c r="M25" i="17"/>
  <c r="M24" i="17" l="1"/>
  <c r="M23" i="17"/>
  <c r="M22" i="17"/>
  <c r="M21" i="17" l="1"/>
  <c r="M20" i="17"/>
  <c r="M19" i="17"/>
  <c r="M18" i="17"/>
  <c r="M17" i="17" l="1"/>
  <c r="M16" i="17"/>
  <c r="M15" i="17"/>
  <c r="M13" i="17"/>
  <c r="M12" i="17"/>
  <c r="M11" i="17"/>
  <c r="M10" i="17"/>
  <c r="M9" i="17"/>
  <c r="M8" i="17" l="1"/>
  <c r="M7" i="17"/>
  <c r="M6" i="17"/>
  <c r="M5" i="17"/>
  <c r="L10" i="17" l="1"/>
  <c r="L51" i="17" s="1"/>
  <c r="Q34" i="17"/>
  <c r="Q35" i="17"/>
  <c r="Q36" i="17"/>
  <c r="E79" i="18"/>
  <c r="C79" i="18"/>
  <c r="J11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57" i="17"/>
  <c r="I51" i="17"/>
  <c r="C51" i="17"/>
  <c r="R40" i="17"/>
  <c r="N40" i="17"/>
  <c r="Q39" i="17"/>
  <c r="Q38" i="17"/>
  <c r="Q37" i="17"/>
  <c r="P33" i="17"/>
  <c r="Q33" i="17" s="1"/>
  <c r="P32" i="17"/>
  <c r="Q32" i="17" s="1"/>
  <c r="P31" i="17"/>
  <c r="Q31" i="17" s="1"/>
  <c r="P30" i="17"/>
  <c r="Q30" i="17" s="1"/>
  <c r="P29" i="17"/>
  <c r="Q29" i="17" s="1"/>
  <c r="P28" i="17"/>
  <c r="Q28" i="17" s="1"/>
  <c r="P27" i="17"/>
  <c r="Q27" i="17" s="1"/>
  <c r="P26" i="17"/>
  <c r="Q26" i="17" s="1"/>
  <c r="P25" i="17"/>
  <c r="Q25" i="17" s="1"/>
  <c r="P24" i="17"/>
  <c r="Q24" i="17" s="1"/>
  <c r="P23" i="17"/>
  <c r="Q23" i="17" s="1"/>
  <c r="P22" i="17"/>
  <c r="Q22" i="17" s="1"/>
  <c r="P21" i="17"/>
  <c r="Q21" i="17" s="1"/>
  <c r="P20" i="17"/>
  <c r="Q20" i="17" s="1"/>
  <c r="P19" i="17"/>
  <c r="Q19" i="17" s="1"/>
  <c r="P18" i="17"/>
  <c r="Q18" i="17" s="1"/>
  <c r="P17" i="17"/>
  <c r="Q17" i="17" s="1"/>
  <c r="P16" i="17"/>
  <c r="Q16" i="17" s="1"/>
  <c r="P15" i="17"/>
  <c r="Q15" i="17" s="1"/>
  <c r="P14" i="17"/>
  <c r="Q14" i="17" s="1"/>
  <c r="P13" i="17"/>
  <c r="Q13" i="17" s="1"/>
  <c r="P12" i="17"/>
  <c r="Q12" i="17" s="1"/>
  <c r="P11" i="17"/>
  <c r="P9" i="17"/>
  <c r="P8" i="17"/>
  <c r="P7" i="17"/>
  <c r="Q7" i="17" s="1"/>
  <c r="M40" i="17"/>
  <c r="P5" i="17"/>
  <c r="P10" i="17" l="1"/>
  <c r="F51" i="17"/>
  <c r="Q9" i="17"/>
  <c r="Q8" i="17"/>
  <c r="K53" i="17"/>
  <c r="M53" i="17"/>
  <c r="P6" i="17"/>
  <c r="P40" i="17"/>
  <c r="Q40" i="17" l="1"/>
  <c r="F54" i="17"/>
  <c r="F57" i="17" s="1"/>
  <c r="K55" i="17" s="1"/>
  <c r="K59" i="17" s="1"/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M7" i="15"/>
  <c r="P7" i="15" s="1"/>
  <c r="M6" i="15"/>
  <c r="M5" i="15"/>
  <c r="P5" i="15" s="1"/>
  <c r="Q5" i="15" s="1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P39" i="11" s="1"/>
  <c r="M38" i="11"/>
  <c r="M37" i="11"/>
  <c r="P37" i="11" s="1"/>
  <c r="M36" i="11"/>
  <c r="P36" i="11" s="1"/>
  <c r="P38" i="11"/>
  <c r="M35" i="11"/>
  <c r="P35" i="11" s="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P9" i="11" s="1"/>
  <c r="Q9" i="11" s="1"/>
  <c r="Q35" i="11"/>
  <c r="Q36" i="11"/>
  <c r="Q37" i="11"/>
  <c r="Q38" i="11"/>
  <c r="Q39" i="11"/>
  <c r="M8" i="11"/>
  <c r="M7" i="11"/>
  <c r="P7" i="11" s="1"/>
  <c r="Q7" i="11" s="1"/>
  <c r="P8" i="1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M11" i="6"/>
  <c r="P11" i="6" s="1"/>
  <c r="M10" i="6"/>
  <c r="M9" i="6"/>
  <c r="M8" i="6"/>
  <c r="M7" i="6"/>
  <c r="Q11" i="6" l="1"/>
  <c r="M6" i="6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4" i="7" l="1"/>
  <c r="F7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<sst xmlns="http://schemas.openxmlformats.org/spreadsheetml/2006/main" count="1127" uniqueCount="587">
  <si>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</si>
  <si>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</si>
  <si>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</si>
  <si>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</si>
  <si>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</si>
  <si>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</si>
  <si>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</si>
  <si>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</si>
  <si>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</si>
  <si>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</si>
  <si>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</si>
  <si>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</si>
  <si>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</si>
  <si>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</si>
  <si>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</si>
  <si>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</si>
  <si>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</si>
  <si>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</si>
  <si>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</si>
  <si>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</si>
  <si>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</si>
  <si>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</si>
  <si>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</si>
  <si>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</si>
  <si>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</si>
  <si>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</si>
  <si>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</si>
  <si>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</si>
  <si>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</si>
  <si>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</si>
  <si>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</si>
  <si>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</si>
  <si>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</si>
  <si>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</si>
  <si>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</si>
  <si>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</si>
  <si>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</si>
  <si>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</si>
  <si>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</si>
  <si>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</si>
  <si>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</si>
  <si>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</si>
  <si>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</si>
  <si>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</si>
  <si>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</si>
  <si>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</si>
  <si>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</si>
  <si>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</si>
  <si>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</si>
  <si>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</si>
  <si>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</si>
  <si>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</si>
  <si>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</si>
  <si>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</si>
  <si>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</si>
  <si>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</si>
  <si>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</si>
  <si>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</si>
  <si>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</si>
  <si>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</si>
  <si>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</si>
  <si>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</si>
  <si>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</si>
  <si>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</si>
  <si>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</si>
  <si>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</si>
  <si>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</si>
  <si>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</si>
  <si>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</si>
  <si>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</si>
  <si>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</si>
  <si>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</si>
  <si>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</si>
  <si>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</si>
  <si>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</si>
  <si>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</si>
  <si>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</si>
  <si>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</si>
  <si>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</si>
  <si>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</si>
  <si>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</si>
  <si>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</si>
  <si>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</si>
  <si>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</si>
  <si>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</si>
  <si>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</si>
  <si>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</si>
  <si>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</si>
  <si>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</si>
  <si>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</si>
  <si>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</si>
  <si>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</si>
  <si>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</si>
  <si>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</si>
  <si>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</si>
  <si>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</si>
  <si>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</si>
  <si>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</si>
  <si>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</si>
  <si>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</si>
  <si>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</si>
  <si>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</si>
  <si>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</si>
  <si>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</si>
  <si>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</si>
  <si>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</si>
  <si>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</si>
  <si>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</si>
  <si>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</si>
  <si>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</si>
  <si>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</si>
  <si>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</si>
  <si>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</si>
  <si>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</si>
  <si>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</si>
  <si>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</si>
  <si>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</si>
  <si>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</si>
  <si>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</si>
  <si>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</si>
  <si>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</si>
  <si>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</si>
  <si>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</si>
  <si>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</si>
  <si>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</si>
  <si>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</si>
  <si>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</si>
  <si>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</si>
  <si>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</si>
  <si>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</si>
  <si>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</si>
  <si>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</si>
  <si>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</si>
  <si>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</si>
  <si>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</si>
  <si>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</si>
  <si>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</si>
  <si>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</si>
  <si>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</si>
  <si>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</si>
  <si>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</si>
  <si>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</si>
  <si>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</si>
  <si>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</si>
  <si>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</si>
  <si>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</si>
  <si>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</si>
  <si>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</si>
  <si>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</si>
  <si>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</si>
  <si>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</si>
  <si>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</si>
  <si>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</si>
  <si>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</si>
  <si>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</si>
  <si>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</si>
  <si>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</si>
  <si>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</si>
  <si>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</si>
  <si>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</si>
  <si>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</si>
  <si>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</si>
  <si>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</si>
  <si>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</si>
  <si>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</si>
  <si>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</si>
  <si>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</si>
  <si>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</si>
  <si>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</si>
  <si>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</si>
  <si>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</si>
  <si>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</si>
  <si>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</si>
  <si>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</si>
  <si>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</si>
  <si>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</si>
  <si>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</si>
  <si>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</si>
  <si>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</si>
  <si>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</si>
  <si>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</si>
  <si>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</si>
  <si>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</si>
  <si>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</si>
  <si>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</si>
  <si>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</si>
  <si>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</si>
  <si>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</si>
  <si>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</si>
  <si>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</si>
  <si>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</si>
  <si>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</si>
  <si>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</si>
  <si>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</si>
  <si>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</si>
  <si>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</si>
  <si>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</si>
  <si>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</si>
  <si>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</si>
  <si>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</si>
  <si>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</si>
  <si>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</si>
  <si>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</si>
  <si>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</si>
  <si>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</si>
  <si>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</si>
  <si>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</si>
  <si>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</si>
  <si>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</si>
  <si>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</si>
  <si>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</si>
  <si>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</si>
  <si>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</si>
  <si>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</si>
  <si>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</si>
  <si>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</si>
  <si>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</si>
  <si>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</si>
  <si>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</si>
  <si>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</si>
  <si>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</si>
  <si>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</si>
  <si>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</si>
  <si>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</si>
  <si>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</si>
  <si>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</si>
  <si>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</si>
  <si>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</si>
  <si>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</si>
  <si>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</si>
  <si>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</si>
  <si>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</si>
  <si>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</si>
  <si>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</si>
  <si>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</si>
  <si>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</si>
  <si>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</si>
  <si>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</si>
  <si>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</si>
  <si>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</si>
  <si>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</si>
  <si>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</si>
  <si>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</si>
  <si>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</si>
  <si>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</si>
  <si>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</si>
  <si>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</si>
  <si>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</si>
  <si>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</si>
  <si>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</si>
  <si>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</si>
  <si>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</si>
  <si>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</si>
  <si>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</si>
  <si>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</si>
  <si>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</si>
  <si>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</si>
  <si>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</si>
  <si>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</si>
  <si>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</si>
  <si>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</si>
  <si>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</si>
  <si>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</si>
  <si>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</si>
  <si>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</si>
  <si>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</si>
  <si>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</si>
  <si>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</si>
  <si>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</si>
  <si>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</si>
  <si>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</si>
  <si>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</si>
  <si>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</si>
  <si>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</si>
  <si>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</si>
  <si>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</si>
  <si>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</si>
  <si>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</si>
  <si>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</si>
  <si>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</si>
  <si>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</si>
  <si>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</si>
  <si>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</si>
  <si>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</si>
  <si>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</si>
  <si>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</si>
  <si>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</si>
  <si>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</si>
  <si>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</si>
  <si>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</si>
  <si>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</si>
  <si>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</si>
  <si>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</si>
  <si>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</si>
  <si>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</si>
  <si>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</si>
  <si>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</si>
  <si>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</si>
  <si>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</si>
  <si>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</si>
  <si>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</si>
  <si>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</si>
  <si>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</si>
  <si>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</si>
  <si>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</si>
  <si>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</si>
  <si>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</si>
  <si>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</si>
  <si>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</si>
  <si>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</si>
  <si>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</si>
  <si>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</si>
  <si>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</si>
  <si>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</si>
  <si>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</si>
  <si>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</si>
  <si>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</si>
  <si>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</si>
  <si>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</si>
  <si>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</si>
  <si>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</si>
  <si>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</si>
  <si>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</si>
  <si>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</si>
  <si>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</si>
  <si>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</si>
  <si>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</si>
  <si>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</si>
  <si>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</si>
  <si>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</si>
  <si>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</si>
  <si>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</si>
  <si>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</si>
  <si>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</si>
  <si>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</si>
  <si>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</si>
  <si>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</si>
  <si>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</si>
  <si>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</si>
  <si>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</si>
  <si>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</si>
  <si>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</si>
  <si>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</si>
  <si>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</si>
  <si>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</si>
  <si>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</si>
  <si>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</si>
  <si>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</si>
  <si>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</si>
  <si>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</si>
  <si>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</si>
  <si>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</si>
  <si>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</si>
  <si>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</si>
  <si>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</si>
  <si>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</si>
  <si>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</si>
  <si>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</si>
  <si>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</si>
  <si>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</si>
  <si>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</si>
  <si>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</si>
  <si>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</si>
  <si>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</si>
  <si>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</si>
  <si>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</si>
  <si>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</si>
  <si>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</si>
  <si>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</si>
  <si>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</si>
  <si>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</si>
  <si>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</si>
  <si>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</si>
  <si>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</si>
  <si>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</si>
  <si>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</si>
  <si>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</si>
  <si>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</si>
  <si>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</si>
  <si>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</si>
  <si>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</si>
  <si>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</si>
  <si>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</si>
  <si>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</si>
  <si>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</si>
  <si>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</si>
  <si>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</si>
  <si>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</si>
  <si>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</si>
  <si>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</si>
  <si>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</si>
  <si>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</si>
  <si>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</si>
  <si>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</si>
  <si>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</si>
  <si>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</si>
  <si>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</si>
  <si>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</si>
  <si>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</si>
  <si>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</si>
  <si>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</si>
  <si>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</si>
  <si>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</si>
  <si>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</si>
  <si>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</si>
  <si>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</si>
  <si>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</si>
  <si>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</si>
  <si>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</si>
  <si>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</si>
  <si>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</si>
  <si>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</si>
  <si>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</si>
  <si>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</si>
  <si>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</si>
  <si>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</si>
  <si>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</si>
  <si>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</si>
  <si>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</si>
  <si>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</si>
  <si>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</si>
  <si>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</si>
  <si>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</si>
  <si>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</si>
  <si>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</si>
  <si>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</si>
  <si>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</si>
  <si>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</si>
  <si>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</si>
  <si>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</si>
  <si>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</si>
  <si>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</si>
  <si>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</si>
  <si>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</si>
  <si>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</si>
  <si>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</si>
  <si>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</si>
  <si>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</si>
  <si>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</si>
  <si>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</si>
  <si>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</si>
  <si>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</si>
  <si>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</si>
  <si>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</si>
  <si>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</si>
  <si>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</si>
  <si>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</si>
  <si>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</si>
  <si>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</si>
  <si>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</si>
  <si>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</si>
  <si>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</si>
  <si>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</si>
  <si>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</si>
  <si>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</si>
  <si>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</si>
  <si>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</si>
  <si>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</si>
  <si>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</si>
  <si>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</si>
  <si>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</si>
  <si>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</si>
  <si>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</si>
  <si>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</si>
  <si>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</si>
  <si>
    <t>BALANCE      ABASTO 4 CARNES    H E R R A D U R A    SEPTIEMBRE      2 0 2 2</t>
  </si>
  <si>
    <t>NOMINA Y VAC</t>
  </si>
  <si>
    <t>NOMINA   # 37</t>
  </si>
  <si>
    <t>NOMINA # 38 Y VAC</t>
  </si>
  <si>
    <t>Longaniza-chorizo</t>
  </si>
  <si>
    <t xml:space="preserve">NOMINA # 39  </t>
  </si>
  <si>
    <t xml:space="preserve">  </t>
  </si>
  <si>
    <t>NOMINA # 40</t>
  </si>
  <si>
    <t xml:space="preserve">                                                                                                                                                    </t>
  </si>
  <si>
    <t>D-08694</t>
  </si>
  <si>
    <t>D-08916</t>
  </si>
  <si>
    <t>D-08970</t>
  </si>
  <si>
    <t>D-08974</t>
  </si>
  <si>
    <t>D-08990</t>
  </si>
  <si>
    <t>D-09060</t>
  </si>
  <si>
    <t>D-09144</t>
  </si>
  <si>
    <t>D-09210</t>
  </si>
  <si>
    <t>D-09326</t>
  </si>
  <si>
    <t>D-09397</t>
  </si>
  <si>
    <t>D-09591</t>
  </si>
  <si>
    <t>D-09594</t>
  </si>
  <si>
    <t>D-09762</t>
  </si>
  <si>
    <t>D-10037</t>
  </si>
  <si>
    <t>D-10038</t>
  </si>
  <si>
    <t>D-10125</t>
  </si>
  <si>
    <t>D-10198</t>
  </si>
  <si>
    <t>D-10378</t>
  </si>
  <si>
    <t>D-10511</t>
  </si>
  <si>
    <t>D-10686</t>
  </si>
  <si>
    <t>D-10761</t>
  </si>
  <si>
    <t>D-10868</t>
  </si>
  <si>
    <t>D-10873</t>
  </si>
  <si>
    <t>D-10946</t>
  </si>
  <si>
    <t>D-10956</t>
  </si>
  <si>
    <t>D-10999</t>
  </si>
  <si>
    <t>D-11062</t>
  </si>
  <si>
    <t>D-11231</t>
  </si>
  <si>
    <t>D-11277</t>
  </si>
  <si>
    <t>D-11509</t>
  </si>
  <si>
    <t>D-11570</t>
  </si>
  <si>
    <t>D-11626</t>
  </si>
  <si>
    <t>D-11797</t>
  </si>
  <si>
    <t>D11938</t>
  </si>
  <si>
    <t>D-12034</t>
  </si>
  <si>
    <t>D-12134</t>
  </si>
  <si>
    <t>D-12242</t>
  </si>
  <si>
    <t>D-12395</t>
  </si>
  <si>
    <t>BALANCE      ABASTO 4 CARNES    H E R R A D U R A    OCTUBRE     2 0 2 2</t>
  </si>
  <si>
    <t>NOMINA # 41</t>
  </si>
  <si>
    <t>NOMINA # 42</t>
  </si>
  <si>
    <t>NOMINA # 43</t>
  </si>
  <si>
    <t>PAPA</t>
  </si>
  <si>
    <t>LONGANIZA-CHORIZO-ARABE</t>
  </si>
  <si>
    <t>NOMINA # 44</t>
  </si>
  <si>
    <t>PAPA X CAJA</t>
  </si>
  <si>
    <t>D-12560--/*12561</t>
  </si>
  <si>
    <t>D-12698</t>
  </si>
  <si>
    <t>D-12883</t>
  </si>
  <si>
    <t>D-12955</t>
  </si>
  <si>
    <t>D-13040</t>
  </si>
  <si>
    <t>D-13176</t>
  </si>
  <si>
    <t>D-13346</t>
  </si>
  <si>
    <t>D-13348</t>
  </si>
  <si>
    <t>D-13350</t>
  </si>
  <si>
    <t>D-13511</t>
  </si>
  <si>
    <t>D-13562</t>
  </si>
  <si>
    <t>D-13671</t>
  </si>
  <si>
    <t>D-13769</t>
  </si>
  <si>
    <t>D-13931</t>
  </si>
  <si>
    <t>D-13933</t>
  </si>
  <si>
    <t>D-14072</t>
  </si>
  <si>
    <t>D-14172</t>
  </si>
  <si>
    <t>D-14321</t>
  </si>
  <si>
    <t>D-14406</t>
  </si>
  <si>
    <t>D-14493</t>
  </si>
  <si>
    <t>D-14545</t>
  </si>
  <si>
    <t>D-14659</t>
  </si>
  <si>
    <t>D-14861</t>
  </si>
  <si>
    <t>D-15093</t>
  </si>
  <si>
    <t>D-15247</t>
  </si>
  <si>
    <t>D-15466</t>
  </si>
  <si>
    <t>D-15532</t>
  </si>
  <si>
    <t>GUARDIA</t>
  </si>
  <si>
    <t>COMISION BANCO</t>
  </si>
  <si>
    <t>??????????</t>
  </si>
  <si>
    <t>BALANCE      ABASTO 4 CARNES    H E R R A D U R A    NOVIEMBRE    2 0 2 2</t>
  </si>
  <si>
    <t>NOMINA # 45</t>
  </si>
  <si>
    <t>LONGANIZA-CENTRAL</t>
  </si>
  <si>
    <t>NOMINA # 46</t>
  </si>
  <si>
    <t>NOMINA # 47</t>
  </si>
  <si>
    <t>NOMINA # 48</t>
  </si>
  <si>
    <t xml:space="preserve">    </t>
  </si>
  <si>
    <t>15-Sept-22--23-Sept-22</t>
  </si>
  <si>
    <t>15754 D</t>
  </si>
  <si>
    <t>15704 D</t>
  </si>
  <si>
    <t>15833 D</t>
  </si>
  <si>
    <t>15890 D</t>
  </si>
  <si>
    <t>15894 D</t>
  </si>
  <si>
    <t>16051 D</t>
  </si>
  <si>
    <t>16175 D</t>
  </si>
  <si>
    <t>16325 D</t>
  </si>
  <si>
    <t>16641 D</t>
  </si>
  <si>
    <t>16663 D</t>
  </si>
  <si>
    <t>16776 D</t>
  </si>
  <si>
    <t>16781 D</t>
  </si>
  <si>
    <t>16894 D</t>
  </si>
  <si>
    <t>16902 D</t>
  </si>
  <si>
    <t>17061 D</t>
  </si>
  <si>
    <t>17063 D</t>
  </si>
  <si>
    <t>17195 D</t>
  </si>
  <si>
    <t>17413 D</t>
  </si>
  <si>
    <t>17513 D</t>
  </si>
  <si>
    <t>17579 D</t>
  </si>
  <si>
    <t>17666 D</t>
  </si>
  <si>
    <t>17875 D</t>
  </si>
  <si>
    <t>18053 D</t>
  </si>
  <si>
    <t>18091 D</t>
  </si>
  <si>
    <t>18115 D</t>
  </si>
  <si>
    <t>18117 D</t>
  </si>
  <si>
    <t>18206 D</t>
  </si>
  <si>
    <t>19-Nov-22--26-Nov-22</t>
  </si>
  <si>
    <t>18324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</si>
</sst>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8">
    <xf numFmtId="0" fontId="0" fillId="0" borderId="0" xfId="0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44" fontId="2" fillId="0" borderId="20" xfId="1" applyFont="1" applyFill="1" applyBorder="1"/>
    <xf numFmtId="15" fontId="2" fillId="0" borderId="21" xfId="0" applyNumberFormat="1" applyFont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/>
    <xf numFmtId="166" fontId="18" fillId="0" borderId="10" xfId="0" applyNumberFormat="1" applyFont="1" applyBorder="1"/>
    <xf numFmtId="15" fontId="2" fillId="0" borderId="25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Border="1"/>
    <xf numFmtId="0" fontId="19" fillId="0" borderId="25" xfId="0" applyFont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Border="1"/>
    <xf numFmtId="16" fontId="2" fillId="0" borderId="25" xfId="0" applyNumberFormat="1" applyFont="1" applyBorder="1"/>
    <xf numFmtId="165" fontId="21" fillId="0" borderId="27" xfId="0" applyNumberFormat="1" applyFont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Border="1"/>
    <xf numFmtId="0" fontId="22" fillId="0" borderId="25" xfId="0" applyFont="1" applyBorder="1" applyAlignment="1">
      <alignment wrapText="1"/>
    </xf>
    <xf numFmtId="166" fontId="24" fillId="0" borderId="10" xfId="0" applyNumberFormat="1" applyFont="1" applyBorder="1"/>
    <xf numFmtId="0" fontId="22" fillId="0" borderId="25" xfId="0" applyFont="1" applyBorder="1"/>
    <xf numFmtId="16" fontId="25" fillId="0" borderId="27" xfId="0" applyNumberFormat="1" applyFont="1" applyBorder="1"/>
    <xf numFmtId="0" fontId="22" fillId="0" borderId="28" xfId="0" applyFont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Border="1" applyAlignment="1">
      <alignment horizontal="left"/>
    </xf>
    <xf numFmtId="16" fontId="19" fillId="0" borderId="27" xfId="0" applyNumberFormat="1" applyFont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44" fontId="26" fillId="0" borderId="0" xfId="1" applyFont="1" applyFill="1"/>
    <xf numFmtId="0" fontId="21" fillId="0" borderId="27" xfId="0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16" fillId="0" borderId="32" xfId="0" applyNumberFormat="1" applyFont="1" applyBorder="1"/>
    <xf numFmtId="16" fontId="2" fillId="0" borderId="28" xfId="0" applyNumberFormat="1" applyFont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Border="1"/>
    <xf numFmtId="44" fontId="19" fillId="0" borderId="26" xfId="1" applyFont="1" applyFill="1" applyBorder="1"/>
    <xf numFmtId="0" fontId="19" fillId="0" borderId="25" xfId="0" applyFont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Border="1"/>
    <xf numFmtId="166" fontId="19" fillId="0" borderId="25" xfId="0" applyNumberFormat="1" applyFont="1" applyBorder="1"/>
    <xf numFmtId="44" fontId="19" fillId="0" borderId="25" xfId="1" applyFont="1" applyFill="1" applyBorder="1"/>
    <xf numFmtId="0" fontId="11" fillId="0" borderId="0" xfId="0" applyFont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Border="1"/>
    <xf numFmtId="166" fontId="11" fillId="0" borderId="25" xfId="0" applyNumberFormat="1" applyFont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/>
    <xf numFmtId="15" fontId="2" fillId="0" borderId="40" xfId="0" applyNumberFormat="1" applyFont="1" applyBorder="1"/>
    <xf numFmtId="0" fontId="27" fillId="0" borderId="0" xfId="0" applyFont="1" applyAlignment="1">
      <alignment horizontal="center"/>
    </xf>
    <xf numFmtId="15" fontId="2" fillId="0" borderId="0" xfId="0" applyNumberFormat="1" applyFont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left"/>
    </xf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" fontId="40" fillId="0" borderId="25" xfId="0" applyNumberFormat="1" applyFont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Border="1"/>
    <xf numFmtId="49" fontId="2" fillId="0" borderId="58" xfId="0" applyNumberFormat="1" applyFont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Border="1"/>
    <xf numFmtId="164" fontId="2" fillId="0" borderId="0" xfId="0" applyNumberFormat="1" applyFont="1"/>
    <xf numFmtId="164" fontId="20" fillId="0" borderId="58" xfId="0" applyNumberFormat="1" applyFont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Border="1"/>
    <xf numFmtId="15" fontId="43" fillId="0" borderId="25" xfId="0" applyNumberFormat="1" applyFont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Border="1" applyAlignment="1">
      <alignment horizontal="left"/>
    </xf>
    <xf numFmtId="0" fontId="24" fillId="0" borderId="25" xfId="0" applyFont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Border="1"/>
    <xf numFmtId="44" fontId="45" fillId="0" borderId="58" xfId="1" applyFont="1" applyFill="1" applyBorder="1"/>
    <xf numFmtId="164" fontId="46" fillId="0" borderId="58" xfId="0" applyNumberFormat="1" applyFont="1" applyBorder="1"/>
    <xf numFmtId="44" fontId="46" fillId="0" borderId="58" xfId="1" applyFont="1" applyFill="1" applyBorder="1"/>
    <xf numFmtId="164" fontId="47" fillId="0" borderId="58" xfId="0" applyNumberFormat="1" applyFont="1" applyBorder="1"/>
    <xf numFmtId="44" fontId="47" fillId="0" borderId="58" xfId="1" applyFont="1" applyFill="1" applyBorder="1"/>
    <xf numFmtId="0" fontId="27" fillId="0" borderId="25" xfId="0" applyFont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Border="1"/>
    <xf numFmtId="44" fontId="3" fillId="0" borderId="8" xfId="1" applyFont="1" applyBorder="1"/>
    <xf numFmtId="164" fontId="3" fillId="0" borderId="57" xfId="0" applyNumberFormat="1" applyFont="1" applyBorder="1"/>
    <xf numFmtId="49" fontId="3" fillId="0" borderId="58" xfId="0" applyNumberFormat="1" applyFont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Border="1"/>
    <xf numFmtId="44" fontId="50" fillId="0" borderId="0" xfId="1" applyFont="1"/>
    <xf numFmtId="44" fontId="51" fillId="0" borderId="0" xfId="1" applyFont="1"/>
    <xf numFmtId="0" fontId="27" fillId="0" borderId="2" xfId="0" applyFont="1" applyBorder="1" applyAlignment="1">
      <alignment horizontal="center"/>
    </xf>
    <xf numFmtId="15" fontId="2" fillId="0" borderId="28" xfId="0" applyNumberFormat="1" applyFont="1" applyBorder="1"/>
    <xf numFmtId="0" fontId="0" fillId="0" borderId="25" xfId="0" applyBorder="1"/>
    <xf numFmtId="15" fontId="2" fillId="0" borderId="53" xfId="0" applyNumberFormat="1" applyFont="1" applyBorder="1"/>
    <xf numFmtId="164" fontId="2" fillId="0" borderId="61" xfId="0" applyNumberFormat="1" applyFont="1" applyBorder="1" applyAlignment="1">
      <alignment horizontal="center"/>
    </xf>
    <xf numFmtId="164" fontId="3" fillId="0" borderId="62" xfId="0" applyNumberFormat="1" applyFont="1" applyBorder="1"/>
    <xf numFmtId="49" fontId="3" fillId="0" borderId="63" xfId="0" applyNumberFormat="1" applyFont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Border="1"/>
    <xf numFmtId="49" fontId="3" fillId="0" borderId="25" xfId="0" applyNumberFormat="1" applyFont="1" applyBorder="1" applyAlignment="1">
      <alignment horizontal="center"/>
    </xf>
    <xf numFmtId="164" fontId="2" fillId="0" borderId="25" xfId="0" applyNumberFormat="1" applyFont="1" applyBorder="1"/>
    <xf numFmtId="49" fontId="2" fillId="0" borderId="25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16" fillId="0" borderId="21" xfId="0" applyFont="1" applyBorder="1" applyAlignment="1">
      <alignment vertical="center"/>
    </xf>
    <xf numFmtId="0" fontId="19" fillId="0" borderId="28" xfId="0" applyFont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Border="1" applyAlignment="1">
      <alignment wrapText="1"/>
    </xf>
    <xf numFmtId="164" fontId="52" fillId="0" borderId="25" xfId="0" applyNumberFormat="1" applyFont="1" applyBorder="1"/>
    <xf numFmtId="164" fontId="45" fillId="0" borderId="25" xfId="0" applyNumberFormat="1" applyFont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Border="1"/>
    <xf numFmtId="44" fontId="11" fillId="0" borderId="25" xfId="1" applyFont="1" applyFill="1" applyBorder="1"/>
    <xf numFmtId="164" fontId="45" fillId="0" borderId="63" xfId="0" applyNumberFormat="1" applyFont="1" applyBorder="1"/>
    <xf numFmtId="44" fontId="48" fillId="0" borderId="63" xfId="1" applyFont="1" applyFill="1" applyBorder="1"/>
    <xf numFmtId="0" fontId="53" fillId="0" borderId="25" xfId="0" applyFont="1" applyBorder="1" applyAlignment="1">
      <alignment horizontal="left"/>
    </xf>
    <xf numFmtId="15" fontId="2" fillId="0" borderId="64" xfId="0" applyNumberFormat="1" applyFont="1" applyBorder="1"/>
    <xf numFmtId="0" fontId="11" fillId="0" borderId="25" xfId="0" applyFont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Border="1"/>
    <xf numFmtId="44" fontId="55" fillId="0" borderId="25" xfId="1" applyFont="1" applyFill="1" applyBorder="1"/>
    <xf numFmtId="164" fontId="55" fillId="0" borderId="25" xfId="0" applyNumberFormat="1" applyFont="1" applyBorder="1"/>
    <xf numFmtId="44" fontId="50" fillId="0" borderId="25" xfId="1" applyFont="1" applyFill="1" applyBorder="1"/>
    <xf numFmtId="164" fontId="50" fillId="0" borderId="25" xfId="0" applyNumberFormat="1" applyFont="1" applyBorder="1"/>
    <xf numFmtId="164" fontId="19" fillId="0" borderId="63" xfId="0" applyNumberFormat="1" applyFont="1" applyBorder="1"/>
    <xf numFmtId="44" fontId="11" fillId="0" borderId="63" xfId="1" applyFont="1" applyFill="1" applyBorder="1"/>
    <xf numFmtId="164" fontId="56" fillId="0" borderId="25" xfId="0" applyNumberFormat="1" applyFont="1" applyBorder="1"/>
    <xf numFmtId="44" fontId="56" fillId="0" borderId="25" xfId="1" applyFont="1" applyFill="1" applyBorder="1"/>
    <xf numFmtId="164" fontId="33" fillId="0" borderId="63" xfId="0" applyNumberFormat="1" applyFont="1" applyBorder="1"/>
    <xf numFmtId="44" fontId="55" fillId="0" borderId="63" xfId="1" applyFont="1" applyFill="1" applyBorder="1"/>
    <xf numFmtId="164" fontId="48" fillId="0" borderId="25" xfId="0" applyNumberFormat="1" applyFont="1" applyBorder="1"/>
    <xf numFmtId="44" fontId="2" fillId="3" borderId="18" xfId="1" applyFont="1" applyFill="1" applyBorder="1"/>
    <xf numFmtId="166" fontId="16" fillId="3" borderId="10" xfId="0" applyNumberFormat="1" applyFont="1" applyFill="1" applyBorder="1" applyAlignment="1">
      <alignment horizontal="left"/>
    </xf>
    <xf numFmtId="15" fontId="2" fillId="3" borderId="19" xfId="0" applyNumberFormat="1" applyFont="1" applyFill="1" applyBorder="1"/>
    <xf numFmtId="44" fontId="2" fillId="3" borderId="20" xfId="1" applyFont="1" applyFill="1" applyBorder="1"/>
    <xf numFmtId="0" fontId="0" fillId="3" borderId="0" xfId="0" applyFill="1"/>
    <xf numFmtId="15" fontId="2" fillId="3" borderId="21" xfId="0" applyNumberFormat="1" applyFont="1" applyFill="1" applyBorder="1"/>
    <xf numFmtId="44" fontId="2" fillId="3" borderId="22" xfId="1" applyFont="1" applyFill="1" applyBorder="1"/>
    <xf numFmtId="44" fontId="2" fillId="3" borderId="0" xfId="1" applyFont="1" applyFill="1"/>
    <xf numFmtId="166" fontId="16" fillId="3" borderId="10" xfId="0" applyNumberFormat="1" applyFont="1" applyFill="1" applyBorder="1"/>
    <xf numFmtId="16" fontId="19" fillId="0" borderId="0" xfId="0" applyNumberFormat="1" applyFont="1" applyAlignment="1">
      <alignment horizontal="center"/>
    </xf>
    <xf numFmtId="16" fontId="19" fillId="7" borderId="0" xfId="0" applyNumberFormat="1" applyFont="1" applyFill="1" applyAlignment="1">
      <alignment horizontal="center"/>
    </xf>
    <xf numFmtId="44" fontId="3" fillId="7" borderId="48" xfId="1" applyFont="1" applyFill="1" applyBorder="1"/>
    <xf numFmtId="16" fontId="19" fillId="0" borderId="25" xfId="0" applyNumberFormat="1" applyFont="1" applyBorder="1" applyAlignment="1">
      <alignment horizontal="left"/>
    </xf>
    <xf numFmtId="0" fontId="11" fillId="7" borderId="25" xfId="0" applyFont="1" applyFill="1" applyBorder="1" applyAlignment="1">
      <alignment horizontal="center"/>
    </xf>
    <xf numFmtId="16" fontId="19" fillId="0" borderId="0" xfId="0" applyNumberFormat="1" applyFont="1" applyBorder="1" applyAlignment="1">
      <alignment horizontal="left"/>
    </xf>
    <xf numFmtId="164" fontId="2" fillId="0" borderId="17" xfId="0" applyNumberFormat="1" applyFont="1" applyFill="1" applyBorder="1" applyAlignment="1">
      <alignment horizontal="center"/>
    </xf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21" xfId="0" applyNumberFormat="1" applyFont="1" applyFill="1" applyBorder="1"/>
    <xf numFmtId="0" fontId="19" fillId="0" borderId="0" xfId="0" applyFont="1" applyFill="1" applyAlignment="1">
      <alignment horizontal="center"/>
    </xf>
    <xf numFmtId="166" fontId="18" fillId="0" borderId="10" xfId="0" applyNumberFormat="1" applyFont="1" applyFill="1" applyBorder="1"/>
    <xf numFmtId="0" fontId="2" fillId="0" borderId="25" xfId="0" applyFont="1" applyFill="1" applyBorder="1" applyAlignment="1">
      <alignment horizontal="center"/>
    </xf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7" xfId="0" applyFont="1" applyFill="1" applyBorder="1" applyAlignment="1">
      <alignment horizontal="left"/>
    </xf>
    <xf numFmtId="0" fontId="53" fillId="0" borderId="25" xfId="0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0" fontId="19" fillId="0" borderId="25" xfId="0" applyFont="1" applyFill="1" applyBorder="1"/>
    <xf numFmtId="166" fontId="24" fillId="0" borderId="25" xfId="0" applyNumberFormat="1" applyFont="1" applyFill="1" applyBorder="1"/>
    <xf numFmtId="0" fontId="19" fillId="0" borderId="25" xfId="0" applyFont="1" applyFill="1" applyBorder="1" applyAlignment="1">
      <alignment horizontal="lef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0" fontId="11" fillId="0" borderId="0" xfId="0" applyFont="1" applyFill="1" applyAlignment="1">
      <alignment horizontal="left" wrapText="1"/>
    </xf>
    <xf numFmtId="166" fontId="11" fillId="0" borderId="25" xfId="0" applyNumberFormat="1" applyFont="1" applyFill="1" applyBorder="1"/>
    <xf numFmtId="0" fontId="13" fillId="0" borderId="25" xfId="0" applyFont="1" applyFill="1" applyBorder="1" applyAlignment="1">
      <alignment horizontal="center" wrapText="1"/>
    </xf>
    <xf numFmtId="0" fontId="24" fillId="0" borderId="25" xfId="0" applyFont="1" applyFill="1" applyBorder="1" applyAlignment="1">
      <alignment horizontal="left" vertical="center"/>
    </xf>
    <xf numFmtId="16" fontId="16" fillId="0" borderId="25" xfId="0" applyNumberFormat="1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left"/>
    </xf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11" fillId="0" borderId="25" xfId="0" applyFont="1" applyFill="1" applyBorder="1" applyAlignment="1">
      <alignment horizontal="center"/>
    </xf>
    <xf numFmtId="15" fontId="2" fillId="0" borderId="53" xfId="0" applyNumberFormat="1" applyFont="1" applyFill="1" applyBorder="1"/>
    <xf numFmtId="0" fontId="27" fillId="0" borderId="25" xfId="0" applyFont="1" applyFill="1" applyBorder="1" applyAlignment="1">
      <alignment horizontal="center"/>
    </xf>
    <xf numFmtId="0" fontId="0" fillId="0" borderId="25" xfId="0" applyFill="1" applyBorder="1"/>
    <xf numFmtId="15" fontId="2" fillId="0" borderId="25" xfId="0" applyNumberFormat="1" applyFont="1" applyFill="1" applyBorder="1"/>
    <xf numFmtId="16" fontId="19" fillId="0" borderId="0" xfId="0" applyNumberFormat="1" applyFont="1" applyFill="1" applyBorder="1" applyAlignment="1">
      <alignment horizontal="left"/>
    </xf>
    <xf numFmtId="16" fontId="19" fillId="0" borderId="0" xfId="0" applyNumberFormat="1" applyFont="1" applyFill="1" applyAlignment="1">
      <alignment horizontal="center"/>
    </xf>
    <xf numFmtId="44" fontId="2" fillId="12" borderId="0" xfId="1" applyFont="1" applyFill="1"/>
    <xf numFmtId="44" fontId="3" fillId="12" borderId="0" xfId="1" applyFont="1" applyFill="1"/>
    <xf numFmtId="49" fontId="3" fillId="0" borderId="63" xfId="0" applyNumberFormat="1" applyFont="1" applyBorder="1" applyAlignment="1">
      <alignment horizontal="center" wrapText="1"/>
    </xf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0" fontId="2" fillId="0" borderId="6" xfId="0" applyFont="1" applyBorder="1"/>
    <xf numFmtId="0" fontId="19" fillId="6" borderId="25" xfId="0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 wrapText="1"/>
    </xf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13" borderId="25" xfId="0" applyNumberFormat="1" applyFont="1" applyFill="1" applyBorder="1"/>
    <xf numFmtId="44" fontId="3" fillId="13" borderId="25" xfId="1" applyFont="1" applyFill="1" applyBorder="1"/>
    <xf numFmtId="44" fontId="57" fillId="0" borderId="63" xfId="1" applyFont="1" applyFill="1" applyBorder="1"/>
    <xf numFmtId="44" fontId="57" fillId="0" borderId="25" xfId="1" applyFont="1" applyFill="1" applyBorder="1"/>
    <xf numFmtId="164" fontId="57" fillId="0" borderId="63" xfId="0" applyNumberFormat="1" applyFont="1" applyBorder="1"/>
    <xf numFmtId="164" fontId="3" fillId="6" borderId="53" xfId="0" applyNumberFormat="1" applyFont="1" applyFill="1" applyBorder="1"/>
    <xf numFmtId="164" fontId="11" fillId="0" borderId="25" xfId="0" applyNumberFormat="1" applyFont="1" applyBorder="1"/>
    <xf numFmtId="164" fontId="3" fillId="0" borderId="2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56" fillId="0" borderId="25" xfId="0" applyNumberFormat="1" applyFont="1" applyBorder="1" applyAlignment="1">
      <alignment wrapText="1"/>
    </xf>
    <xf numFmtId="164" fontId="3" fillId="0" borderId="63" xfId="0" applyNumberFormat="1" applyFont="1" applyBorder="1"/>
    <xf numFmtId="164" fontId="51" fillId="0" borderId="63" xfId="0" applyNumberFormat="1" applyFont="1" applyBorder="1"/>
    <xf numFmtId="164" fontId="11" fillId="0" borderId="63" xfId="0" applyNumberFormat="1" applyFont="1" applyBorder="1"/>
    <xf numFmtId="164" fontId="3" fillId="0" borderId="25" xfId="0" applyNumberFormat="1" applyFont="1" applyBorder="1" applyAlignment="1">
      <alignment wrapText="1"/>
    </xf>
    <xf numFmtId="44" fontId="14" fillId="0" borderId="8" xfId="1" applyFont="1" applyBorder="1"/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2" fillId="6" borderId="13" xfId="1" applyFont="1" applyFill="1" applyBorder="1" applyAlignment="1">
      <alignment horizontal="center"/>
    </xf>
    <xf numFmtId="44" fontId="12" fillId="6" borderId="51" xfId="1" applyFont="1" applyFill="1" applyBorder="1" applyAlignment="1">
      <alignment horizontal="center"/>
    </xf>
    <xf numFmtId="166" fontId="12" fillId="6" borderId="5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00FF99"/>
      <color rgb="FF99FF99"/>
      <color rgb="FF80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6681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649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7822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4968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8488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8298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9630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6560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6775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18" ht="23.25" x14ac:dyDescent="0.35">
      <c r="B1" s="396"/>
      <c r="C1" s="398" t="s">
        <v>28</v>
      </c>
      <c r="D1" s="399"/>
      <c r="E1" s="399"/>
      <c r="F1" s="399"/>
      <c r="G1" s="399"/>
      <c r="H1" s="399"/>
      <c r="I1" s="399"/>
      <c r="J1" s="399"/>
      <c r="K1" s="399"/>
      <c r="L1" s="399"/>
      <c r="M1" s="399"/>
    </row>
    <row r="2" spans="1:18" ht="16.5" thickBot="1" x14ac:dyDescent="0.3">
      <c r="B2" s="397"/>
      <c r="C2" s="2"/>
      <c r="H2" s="4"/>
      <c r="I2" s="5"/>
      <c r="J2" s="6"/>
      <c r="L2" s="7"/>
      <c r="M2" s="5"/>
      <c r="N2" s="8"/>
    </row>
    <row r="3" spans="1:18" ht="21.75" thickBot="1" x14ac:dyDescent="0.35">
      <c r="B3" s="400" t="s">
        <v>0</v>
      </c>
      <c r="C3" s="401"/>
      <c r="D3" s="9"/>
      <c r="E3" s="10"/>
      <c r="F3" s="10"/>
      <c r="H3" s="402" t="s">
        <v>1</v>
      </c>
      <c r="I3" s="402"/>
      <c r="K3" s="12"/>
      <c r="L3" s="12"/>
      <c r="M3" s="4"/>
      <c r="R3" s="407" t="s">
        <v>38</v>
      </c>
    </row>
    <row r="4" spans="1:18" ht="20.25" thickTop="1" thickBot="1" x14ac:dyDescent="0.35">
      <c r="A4" s="13" t="s">
        <v>2</v>
      </c>
      <c r="B4" s="14"/>
      <c r="C4" s="15">
        <v>221059.7</v>
      </c>
      <c r="D4" s="16">
        <v>44563</v>
      </c>
      <c r="E4" s="403" t="s">
        <v>3</v>
      </c>
      <c r="F4" s="404"/>
      <c r="H4" s="405" t="s">
        <v>4</v>
      </c>
      <c r="I4" s="406"/>
      <c r="J4" s="17"/>
      <c r="K4" s="18"/>
      <c r="L4" s="19"/>
      <c r="M4" s="20" t="s">
        <v>5</v>
      </c>
      <c r="N4" s="21" t="s">
        <v>6</v>
      </c>
      <c r="P4" s="414" t="s">
        <v>7</v>
      </c>
      <c r="Q4" s="415"/>
      <c r="R4" s="408"/>
    </row>
    <row r="5" spans="1:18" ht="18" thickBot="1" x14ac:dyDescent="0.35">
      <c r="A5" s="22" t="s">
        <v>8</v>
      </c>
      <c r="B5" s="23">
        <v>44564</v>
      </c>
      <c r="C5" s="24">
        <v>0</v>
      </c>
      <c r="D5" s="25"/>
      <c r="E5" s="26">
        <v>44564</v>
      </c>
      <c r="F5" s="27">
        <v>68050</v>
      </c>
      <c r="H5" s="28">
        <v>44564</v>
      </c>
      <c r="I5" s="29">
        <v>45</v>
      </c>
      <c r="J5" s="6">
        <v>44564</v>
      </c>
      <c r="K5" s="175" t="s">
        <v>29</v>
      </c>
      <c r="L5" s="8">
        <v>10000</v>
      </c>
      <c r="M5" s="30">
        <f>30800+25622</f>
        <v>56422</v>
      </c>
      <c r="N5" s="31">
        <v>1583</v>
      </c>
      <c r="P5" s="32">
        <f>N5+M5+L5+I5+C5</f>
        <v>68050</v>
      </c>
      <c r="Q5" s="12">
        <f>P5-F5</f>
        <v>0</v>
      </c>
      <c r="R5" s="8"/>
    </row>
    <row r="6" spans="1:18" ht="18" thickBot="1" x14ac:dyDescent="0.35">
      <c r="A6" s="22"/>
      <c r="B6" s="23">
        <v>44565</v>
      </c>
      <c r="C6" s="24">
        <v>0</v>
      </c>
      <c r="D6" s="34"/>
      <c r="E6" s="26">
        <v>44565</v>
      </c>
      <c r="F6" s="27">
        <v>50460</v>
      </c>
      <c r="H6" s="35">
        <v>44565</v>
      </c>
      <c r="I6" s="29">
        <v>8</v>
      </c>
      <c r="J6" s="36"/>
      <c r="K6" s="37"/>
      <c r="L6" s="38"/>
      <c r="M6" s="30">
        <f>25000+30830</f>
        <v>55830</v>
      </c>
      <c r="N6" s="31">
        <v>1112</v>
      </c>
      <c r="P6" s="32">
        <f t="shared" ref="P6:P39" si="0">N6+M6+L6+I6+C6</f>
        <v>56950</v>
      </c>
      <c r="Q6" s="12">
        <v>0</v>
      </c>
      <c r="R6" s="178">
        <v>6490</v>
      </c>
    </row>
    <row r="7" spans="1:18" ht="18" thickBot="1" x14ac:dyDescent="0.35">
      <c r="A7" s="22"/>
      <c r="B7" s="23">
        <v>44566</v>
      </c>
      <c r="C7" s="24">
        <v>7168</v>
      </c>
      <c r="D7" s="39" t="s">
        <v>30</v>
      </c>
      <c r="E7" s="26">
        <v>44566</v>
      </c>
      <c r="F7" s="27">
        <v>41273</v>
      </c>
      <c r="H7" s="35">
        <v>44566</v>
      </c>
      <c r="I7" s="29">
        <v>30</v>
      </c>
      <c r="J7" s="36"/>
      <c r="K7" s="40"/>
      <c r="L7" s="38"/>
      <c r="M7" s="30">
        <f>15000+21355</f>
        <v>36355</v>
      </c>
      <c r="N7" s="31">
        <v>672</v>
      </c>
      <c r="P7" s="32">
        <f t="shared" si="0"/>
        <v>44225</v>
      </c>
      <c r="Q7" s="8">
        <v>36</v>
      </c>
      <c r="R7" s="176">
        <v>2916</v>
      </c>
    </row>
    <row r="8" spans="1:18" ht="18" thickBot="1" x14ac:dyDescent="0.35">
      <c r="A8" s="22"/>
      <c r="B8" s="23">
        <v>44567</v>
      </c>
      <c r="C8" s="24">
        <v>90</v>
      </c>
      <c r="D8" s="39" t="s">
        <v>31</v>
      </c>
      <c r="E8" s="26">
        <v>44567</v>
      </c>
      <c r="F8" s="27">
        <v>55064</v>
      </c>
      <c r="H8" s="35">
        <v>44567</v>
      </c>
      <c r="I8" s="29">
        <v>0</v>
      </c>
      <c r="J8" s="42"/>
      <c r="K8" s="43"/>
      <c r="L8" s="38"/>
      <c r="M8" s="30">
        <f>20000+34920</f>
        <v>54920</v>
      </c>
      <c r="N8" s="31">
        <v>55</v>
      </c>
      <c r="P8" s="32">
        <f t="shared" si="0"/>
        <v>55065</v>
      </c>
      <c r="Q8" s="8">
        <f t="shared" ref="Q8:Q39" si="1">P8-F8</f>
        <v>1</v>
      </c>
      <c r="R8" s="8"/>
    </row>
    <row r="9" spans="1:18" ht="18" thickBot="1" x14ac:dyDescent="0.35">
      <c r="A9" s="22"/>
      <c r="B9" s="23">
        <v>44568</v>
      </c>
      <c r="C9" s="24">
        <v>5363</v>
      </c>
      <c r="D9" s="39" t="s">
        <v>32</v>
      </c>
      <c r="E9" s="26">
        <v>44568</v>
      </c>
      <c r="F9" s="27">
        <v>79746</v>
      </c>
      <c r="H9" s="35">
        <v>44568</v>
      </c>
      <c r="I9" s="29">
        <v>43</v>
      </c>
      <c r="J9" s="36"/>
      <c r="K9" s="44"/>
      <c r="L9" s="38"/>
      <c r="M9" s="30">
        <f>20000+53830</f>
        <v>73830</v>
      </c>
      <c r="N9" s="31">
        <v>509</v>
      </c>
      <c r="P9" s="32">
        <f>N9+M9+L9+I9+C9</f>
        <v>79745</v>
      </c>
      <c r="Q9" s="41">
        <f>P9-F9</f>
        <v>-1</v>
      </c>
      <c r="R9" s="7"/>
    </row>
    <row r="10" spans="1:18" ht="18" thickBot="1" x14ac:dyDescent="0.35">
      <c r="A10" s="22"/>
      <c r="B10" s="23">
        <v>44569</v>
      </c>
      <c r="C10" s="24">
        <v>27</v>
      </c>
      <c r="D10" s="34" t="s">
        <v>34</v>
      </c>
      <c r="E10" s="26">
        <v>44569</v>
      </c>
      <c r="F10" s="27">
        <v>63188</v>
      </c>
      <c r="H10" s="35">
        <v>44569</v>
      </c>
      <c r="I10" s="29">
        <v>15</v>
      </c>
      <c r="J10" s="36">
        <v>44569</v>
      </c>
      <c r="K10" s="45" t="s">
        <v>33</v>
      </c>
      <c r="L10" s="46">
        <v>6400</v>
      </c>
      <c r="M10" s="30">
        <f>20000+29870</f>
        <v>49870</v>
      </c>
      <c r="N10" s="31">
        <v>6874</v>
      </c>
      <c r="P10" s="32">
        <f t="shared" si="0"/>
        <v>63186</v>
      </c>
      <c r="Q10" s="59">
        <f t="shared" si="1"/>
        <v>-2</v>
      </c>
      <c r="R10" s="8"/>
    </row>
    <row r="11" spans="1:18" ht="18" thickBot="1" x14ac:dyDescent="0.35">
      <c r="A11" s="22"/>
      <c r="B11" s="23">
        <v>44570</v>
      </c>
      <c r="C11" s="24">
        <v>9763</v>
      </c>
      <c r="D11" s="34" t="s">
        <v>35</v>
      </c>
      <c r="E11" s="26">
        <v>44570</v>
      </c>
      <c r="F11" s="27">
        <v>90713</v>
      </c>
      <c r="H11" s="35">
        <v>44570</v>
      </c>
      <c r="I11" s="29">
        <v>0</v>
      </c>
      <c r="J11" s="42"/>
      <c r="K11" s="47"/>
      <c r="L11" s="38"/>
      <c r="M11" s="30">
        <f>63000+17900</f>
        <v>80900</v>
      </c>
      <c r="N11" s="31">
        <v>50</v>
      </c>
      <c r="P11" s="32">
        <f>N11+M11+L11+I11+C11</f>
        <v>90713</v>
      </c>
      <c r="Q11" s="12">
        <f t="shared" si="1"/>
        <v>0</v>
      </c>
      <c r="R11" s="7"/>
    </row>
    <row r="12" spans="1:18" ht="18" thickBot="1" x14ac:dyDescent="0.35">
      <c r="A12" s="22"/>
      <c r="B12" s="23">
        <v>44571</v>
      </c>
      <c r="C12" s="24">
        <v>0</v>
      </c>
      <c r="D12" s="34"/>
      <c r="E12" s="26">
        <v>44571</v>
      </c>
      <c r="F12" s="27">
        <v>43731</v>
      </c>
      <c r="H12" s="35">
        <v>44571</v>
      </c>
      <c r="I12" s="29">
        <v>56</v>
      </c>
      <c r="J12" s="36"/>
      <c r="K12" s="48"/>
      <c r="L12" s="38"/>
      <c r="M12" s="30">
        <f>34795+8300</f>
        <v>43095</v>
      </c>
      <c r="N12" s="31">
        <v>580</v>
      </c>
      <c r="P12" s="32">
        <f t="shared" si="0"/>
        <v>43731</v>
      </c>
      <c r="Q12" s="8">
        <f t="shared" si="1"/>
        <v>0</v>
      </c>
      <c r="R12" s="7"/>
    </row>
    <row r="13" spans="1:18" ht="18" thickBot="1" x14ac:dyDescent="0.35">
      <c r="A13" s="22"/>
      <c r="B13" s="23">
        <v>44572</v>
      </c>
      <c r="C13" s="24">
        <v>828</v>
      </c>
      <c r="D13" s="39" t="s">
        <v>36</v>
      </c>
      <c r="E13" s="26">
        <v>44572</v>
      </c>
      <c r="F13" s="27">
        <v>34119</v>
      </c>
      <c r="H13" s="35">
        <v>44572</v>
      </c>
      <c r="I13" s="29">
        <v>115</v>
      </c>
      <c r="J13" s="36"/>
      <c r="K13" s="37"/>
      <c r="L13" s="38"/>
      <c r="M13" s="30">
        <f>18176+15000</f>
        <v>33176</v>
      </c>
      <c r="N13" s="31">
        <v>0</v>
      </c>
      <c r="P13" s="32">
        <f t="shared" si="0"/>
        <v>34119</v>
      </c>
      <c r="Q13" s="12">
        <f t="shared" si="1"/>
        <v>0</v>
      </c>
      <c r="R13" s="177"/>
    </row>
    <row r="14" spans="1:18" ht="18" thickBot="1" x14ac:dyDescent="0.35">
      <c r="A14" s="22"/>
      <c r="B14" s="23">
        <v>44573</v>
      </c>
      <c r="C14" s="24">
        <v>6439</v>
      </c>
      <c r="D14" s="49" t="s">
        <v>37</v>
      </c>
      <c r="E14" s="26">
        <v>44573</v>
      </c>
      <c r="F14" s="27">
        <v>46352</v>
      </c>
      <c r="H14" s="35">
        <v>44573</v>
      </c>
      <c r="I14" s="29">
        <v>21</v>
      </c>
      <c r="J14" s="36"/>
      <c r="K14" s="43"/>
      <c r="L14" s="38"/>
      <c r="M14" s="30">
        <v>38040</v>
      </c>
      <c r="N14" s="31">
        <v>1851</v>
      </c>
      <c r="P14" s="32">
        <f t="shared" si="0"/>
        <v>46351</v>
      </c>
      <c r="Q14" s="59">
        <f t="shared" si="1"/>
        <v>-1</v>
      </c>
      <c r="R14" s="177"/>
    </row>
    <row r="15" spans="1:18" ht="18" thickBot="1" x14ac:dyDescent="0.35">
      <c r="A15" s="22"/>
      <c r="B15" s="23">
        <v>44574</v>
      </c>
      <c r="C15" s="24">
        <v>2170</v>
      </c>
      <c r="D15" s="49" t="s">
        <v>39</v>
      </c>
      <c r="E15" s="26">
        <v>44574</v>
      </c>
      <c r="F15" s="27">
        <v>42374</v>
      </c>
      <c r="H15" s="35">
        <v>44574</v>
      </c>
      <c r="I15" s="29">
        <v>57</v>
      </c>
      <c r="J15" s="36"/>
      <c r="K15" s="43"/>
      <c r="L15" s="38"/>
      <c r="M15" s="30">
        <f>34920+5000</f>
        <v>39920</v>
      </c>
      <c r="N15" s="31">
        <v>225</v>
      </c>
      <c r="P15" s="32">
        <f t="shared" si="0"/>
        <v>42372</v>
      </c>
      <c r="Q15" s="59">
        <f t="shared" si="1"/>
        <v>-2</v>
      </c>
      <c r="R15" s="7"/>
    </row>
    <row r="16" spans="1:18" ht="18" thickBot="1" x14ac:dyDescent="0.35">
      <c r="A16" s="22"/>
      <c r="B16" s="23">
        <v>44575</v>
      </c>
      <c r="C16" s="24">
        <v>1224</v>
      </c>
      <c r="D16" s="34" t="s">
        <v>40</v>
      </c>
      <c r="E16" s="26">
        <v>44575</v>
      </c>
      <c r="F16" s="27">
        <v>87386</v>
      </c>
      <c r="H16" s="35">
        <v>44575</v>
      </c>
      <c r="I16" s="29">
        <v>36</v>
      </c>
      <c r="J16" s="36"/>
      <c r="K16" s="43"/>
      <c r="L16" s="8"/>
      <c r="M16" s="30">
        <f>46030+40000</f>
        <v>86030</v>
      </c>
      <c r="N16" s="31">
        <v>100</v>
      </c>
      <c r="P16" s="32">
        <f t="shared" si="0"/>
        <v>87390</v>
      </c>
      <c r="Q16" s="8">
        <f t="shared" si="1"/>
        <v>4</v>
      </c>
      <c r="R16" s="7"/>
    </row>
    <row r="17" spans="1:19" ht="18" thickBot="1" x14ac:dyDescent="0.35">
      <c r="A17" s="22"/>
      <c r="B17" s="23">
        <v>44576</v>
      </c>
      <c r="C17" s="24">
        <v>0</v>
      </c>
      <c r="D17" s="39"/>
      <c r="E17" s="26">
        <v>44576</v>
      </c>
      <c r="F17" s="27">
        <v>56164</v>
      </c>
      <c r="H17" s="35">
        <v>44576</v>
      </c>
      <c r="I17" s="29">
        <v>59</v>
      </c>
      <c r="J17" s="36">
        <v>44576</v>
      </c>
      <c r="K17" s="50" t="s">
        <v>41</v>
      </c>
      <c r="L17" s="46">
        <v>5757.14</v>
      </c>
      <c r="M17" s="30">
        <f>10000+5000+25250+763</f>
        <v>41013</v>
      </c>
      <c r="N17" s="31">
        <v>9335</v>
      </c>
      <c r="P17" s="32">
        <f t="shared" si="0"/>
        <v>56164.14</v>
      </c>
      <c r="Q17" s="12">
        <f t="shared" si="1"/>
        <v>0.13999999999941792</v>
      </c>
      <c r="R17" s="7"/>
    </row>
    <row r="18" spans="1:19" ht="18" thickBot="1" x14ac:dyDescent="0.35">
      <c r="A18" s="22"/>
      <c r="B18" s="23">
        <v>44577</v>
      </c>
      <c r="C18" s="24">
        <v>2717</v>
      </c>
      <c r="D18" s="34" t="s">
        <v>42</v>
      </c>
      <c r="E18" s="26">
        <v>44577</v>
      </c>
      <c r="F18" s="27">
        <v>77890</v>
      </c>
      <c r="H18" s="35">
        <v>44577</v>
      </c>
      <c r="I18" s="29">
        <v>57</v>
      </c>
      <c r="J18" s="36"/>
      <c r="K18" s="51"/>
      <c r="L18" s="38"/>
      <c r="M18" s="30">
        <f>55000+19596</f>
        <v>74596</v>
      </c>
      <c r="N18" s="31">
        <v>520</v>
      </c>
      <c r="P18" s="32">
        <f t="shared" si="0"/>
        <v>77890</v>
      </c>
      <c r="Q18" s="8">
        <f t="shared" si="1"/>
        <v>0</v>
      </c>
      <c r="R18" s="7"/>
    </row>
    <row r="19" spans="1:19" ht="18" thickBot="1" x14ac:dyDescent="0.35">
      <c r="A19" s="22"/>
      <c r="B19" s="23">
        <v>44578</v>
      </c>
      <c r="C19" s="24">
        <v>0</v>
      </c>
      <c r="D19" s="34"/>
      <c r="E19" s="26">
        <v>44578</v>
      </c>
      <c r="F19" s="27">
        <v>37491</v>
      </c>
      <c r="H19" s="35">
        <v>44578</v>
      </c>
      <c r="I19" s="29">
        <v>36</v>
      </c>
      <c r="J19" s="36"/>
      <c r="K19" s="52"/>
      <c r="L19" s="53"/>
      <c r="M19" s="30">
        <f>30302+6400</f>
        <v>36702</v>
      </c>
      <c r="N19" s="31">
        <v>753</v>
      </c>
      <c r="P19" s="32">
        <f t="shared" si="0"/>
        <v>37491</v>
      </c>
      <c r="Q19" s="8">
        <f t="shared" si="1"/>
        <v>0</v>
      </c>
      <c r="R19" s="7"/>
    </row>
    <row r="20" spans="1:19" ht="18" thickBot="1" x14ac:dyDescent="0.35">
      <c r="A20" s="22"/>
      <c r="B20" s="23">
        <v>44579</v>
      </c>
      <c r="C20" s="24">
        <v>0</v>
      </c>
      <c r="D20" s="34"/>
      <c r="E20" s="26">
        <v>44579</v>
      </c>
      <c r="F20" s="27">
        <v>39151</v>
      </c>
      <c r="H20" s="35">
        <v>44579</v>
      </c>
      <c r="I20" s="29">
        <v>51</v>
      </c>
      <c r="J20" s="36"/>
      <c r="K20" s="54"/>
      <c r="L20" s="46"/>
      <c r="M20" s="30">
        <f>33450+5000</f>
        <v>38450</v>
      </c>
      <c r="N20" s="31">
        <v>649</v>
      </c>
      <c r="P20" s="32">
        <f t="shared" si="0"/>
        <v>39150</v>
      </c>
      <c r="Q20" s="41">
        <f t="shared" si="1"/>
        <v>-1</v>
      </c>
      <c r="R20" s="7"/>
    </row>
    <row r="21" spans="1:19" ht="18" thickBot="1" x14ac:dyDescent="0.35">
      <c r="A21" s="22"/>
      <c r="B21" s="23">
        <v>44580</v>
      </c>
      <c r="C21" s="24">
        <v>22</v>
      </c>
      <c r="D21" s="34" t="s">
        <v>34</v>
      </c>
      <c r="E21" s="26">
        <v>44580</v>
      </c>
      <c r="F21" s="27">
        <v>39601</v>
      </c>
      <c r="H21" s="35">
        <v>44580</v>
      </c>
      <c r="I21" s="29">
        <v>30</v>
      </c>
      <c r="J21" s="36"/>
      <c r="K21" s="55"/>
      <c r="L21" s="46"/>
      <c r="M21" s="30">
        <f>10000+28900</f>
        <v>38900</v>
      </c>
      <c r="N21" s="31">
        <v>647</v>
      </c>
      <c r="P21" s="32">
        <f t="shared" si="0"/>
        <v>39599</v>
      </c>
      <c r="Q21" s="59">
        <f t="shared" si="1"/>
        <v>-2</v>
      </c>
      <c r="R21" s="7"/>
    </row>
    <row r="22" spans="1:19" ht="18" thickBot="1" x14ac:dyDescent="0.35">
      <c r="A22" s="22"/>
      <c r="B22" s="23">
        <v>44581</v>
      </c>
      <c r="C22" s="24">
        <v>0</v>
      </c>
      <c r="D22" s="34"/>
      <c r="E22" s="26">
        <v>44581</v>
      </c>
      <c r="F22" s="27">
        <v>38741</v>
      </c>
      <c r="H22" s="35">
        <v>44581</v>
      </c>
      <c r="I22" s="29">
        <v>0</v>
      </c>
      <c r="J22" s="36"/>
      <c r="K22" s="33"/>
      <c r="L22" s="56"/>
      <c r="M22" s="30">
        <f>10000+28750</f>
        <v>38750</v>
      </c>
      <c r="N22" s="31">
        <v>0</v>
      </c>
      <c r="P22" s="32">
        <f t="shared" si="0"/>
        <v>38750</v>
      </c>
      <c r="Q22" s="12">
        <f t="shared" si="1"/>
        <v>9</v>
      </c>
      <c r="R22" s="7"/>
    </row>
    <row r="23" spans="1:19" ht="18" thickBot="1" x14ac:dyDescent="0.35">
      <c r="A23" s="22"/>
      <c r="B23" s="23">
        <v>44582</v>
      </c>
      <c r="C23" s="24">
        <v>13341</v>
      </c>
      <c r="D23" s="34" t="s">
        <v>43</v>
      </c>
      <c r="E23" s="26">
        <v>44582</v>
      </c>
      <c r="F23" s="27">
        <v>86099</v>
      </c>
      <c r="H23" s="35">
        <v>44582</v>
      </c>
      <c r="I23" s="29">
        <v>39</v>
      </c>
      <c r="J23" s="57"/>
      <c r="K23" s="58"/>
      <c r="L23" s="46"/>
      <c r="M23" s="30">
        <f>30000+42720</f>
        <v>72720</v>
      </c>
      <c r="N23" s="31">
        <v>0</v>
      </c>
      <c r="P23" s="32">
        <f t="shared" si="0"/>
        <v>86100</v>
      </c>
      <c r="Q23" s="12">
        <f t="shared" si="1"/>
        <v>1</v>
      </c>
      <c r="R23" s="7"/>
    </row>
    <row r="24" spans="1:19" ht="18" thickBot="1" x14ac:dyDescent="0.35">
      <c r="A24" s="22"/>
      <c r="B24" s="23">
        <v>44583</v>
      </c>
      <c r="C24" s="24">
        <v>2740</v>
      </c>
      <c r="D24" s="39" t="s">
        <v>44</v>
      </c>
      <c r="E24" s="26">
        <v>44583</v>
      </c>
      <c r="F24" s="27">
        <v>69549</v>
      </c>
      <c r="H24" s="35">
        <v>44583</v>
      </c>
      <c r="I24" s="29">
        <v>100</v>
      </c>
      <c r="J24" s="173">
        <v>44583</v>
      </c>
      <c r="K24" s="60" t="s">
        <v>45</v>
      </c>
      <c r="L24" s="61">
        <v>8417</v>
      </c>
      <c r="M24" s="30">
        <f>39390+10000</f>
        <v>49390</v>
      </c>
      <c r="N24" s="31">
        <v>8900</v>
      </c>
      <c r="P24" s="32">
        <f t="shared" si="0"/>
        <v>69547</v>
      </c>
      <c r="Q24" s="59">
        <f t="shared" si="1"/>
        <v>-2</v>
      </c>
      <c r="R24" s="7"/>
    </row>
    <row r="25" spans="1:19" ht="18" thickBot="1" x14ac:dyDescent="0.35">
      <c r="A25" s="22"/>
      <c r="B25" s="23">
        <v>44584</v>
      </c>
      <c r="C25" s="24">
        <v>1083</v>
      </c>
      <c r="D25" s="34" t="s">
        <v>46</v>
      </c>
      <c r="E25" s="26">
        <v>44584</v>
      </c>
      <c r="F25" s="27">
        <v>85933</v>
      </c>
      <c r="H25" s="35">
        <v>44584</v>
      </c>
      <c r="I25" s="29">
        <v>229</v>
      </c>
      <c r="J25" s="62"/>
      <c r="K25" s="63"/>
      <c r="L25" s="64"/>
      <c r="M25" s="30">
        <f>50000+20000+13948</f>
        <v>83948</v>
      </c>
      <c r="N25" s="31">
        <v>673</v>
      </c>
      <c r="O25" t="s">
        <v>8</v>
      </c>
      <c r="P25" s="32">
        <f t="shared" si="0"/>
        <v>85933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44585</v>
      </c>
      <c r="C26" s="24">
        <v>0</v>
      </c>
      <c r="D26" s="34"/>
      <c r="E26" s="26">
        <v>44585</v>
      </c>
      <c r="F26" s="27">
        <v>42010</v>
      </c>
      <c r="H26" s="35">
        <v>44585</v>
      </c>
      <c r="I26" s="29">
        <v>78</v>
      </c>
      <c r="J26" s="36"/>
      <c r="K26" s="60"/>
      <c r="L26" s="46"/>
      <c r="M26" s="30">
        <f>25375+16400</f>
        <v>41775</v>
      </c>
      <c r="N26" s="31">
        <v>157</v>
      </c>
      <c r="P26" s="32">
        <f t="shared" si="0"/>
        <v>42010</v>
      </c>
      <c r="Q26" s="12">
        <f t="shared" si="1"/>
        <v>0</v>
      </c>
      <c r="R26" s="8"/>
    </row>
    <row r="27" spans="1:19" ht="18" thickBot="1" x14ac:dyDescent="0.35">
      <c r="A27" s="22"/>
      <c r="B27" s="23">
        <v>44586</v>
      </c>
      <c r="C27" s="24">
        <v>0</v>
      </c>
      <c r="D27" s="39"/>
      <c r="E27" s="26">
        <v>44586</v>
      </c>
      <c r="F27" s="27">
        <v>38607</v>
      </c>
      <c r="H27" s="35">
        <v>44586</v>
      </c>
      <c r="I27" s="29">
        <v>32</v>
      </c>
      <c r="J27" s="65"/>
      <c r="K27" s="66"/>
      <c r="L27" s="64"/>
      <c r="M27" s="30">
        <f>27075+10000</f>
        <v>37075</v>
      </c>
      <c r="N27" s="31">
        <v>1500</v>
      </c>
      <c r="P27" s="32">
        <f t="shared" si="0"/>
        <v>38607</v>
      </c>
      <c r="Q27" s="12">
        <f t="shared" si="1"/>
        <v>0</v>
      </c>
      <c r="R27" s="7"/>
    </row>
    <row r="28" spans="1:19" ht="18" thickBot="1" x14ac:dyDescent="0.35">
      <c r="A28" s="22"/>
      <c r="B28" s="23">
        <v>44587</v>
      </c>
      <c r="C28" s="24">
        <v>15</v>
      </c>
      <c r="D28" s="39" t="s">
        <v>34</v>
      </c>
      <c r="E28" s="26">
        <v>44587</v>
      </c>
      <c r="F28" s="27">
        <v>37270</v>
      </c>
      <c r="H28" s="35">
        <v>44587</v>
      </c>
      <c r="I28" s="29">
        <v>45</v>
      </c>
      <c r="J28" s="67"/>
      <c r="K28" s="68"/>
      <c r="L28" s="64"/>
      <c r="M28" s="30">
        <f>27210+10000</f>
        <v>37210</v>
      </c>
      <c r="N28" s="31">
        <v>0</v>
      </c>
      <c r="P28" s="32">
        <f t="shared" si="0"/>
        <v>37270</v>
      </c>
      <c r="Q28" s="12">
        <f t="shared" si="1"/>
        <v>0</v>
      </c>
      <c r="R28" s="7"/>
    </row>
    <row r="29" spans="1:19" ht="18" thickBot="1" x14ac:dyDescent="0.35">
      <c r="A29" s="22"/>
      <c r="B29" s="23">
        <v>44588</v>
      </c>
      <c r="C29" s="24">
        <v>0</v>
      </c>
      <c r="D29" s="69"/>
      <c r="E29" s="26">
        <v>44588</v>
      </c>
      <c r="F29" s="27">
        <v>48904</v>
      </c>
      <c r="H29" s="35">
        <v>44588</v>
      </c>
      <c r="I29" s="29">
        <v>0</v>
      </c>
      <c r="J29" s="65"/>
      <c r="K29" s="70"/>
      <c r="L29" s="64"/>
      <c r="M29" s="30">
        <f>20000+28760</f>
        <v>48760</v>
      </c>
      <c r="N29" s="31">
        <v>144</v>
      </c>
      <c r="P29" s="32">
        <f t="shared" si="0"/>
        <v>48904</v>
      </c>
      <c r="Q29" s="12">
        <f t="shared" si="1"/>
        <v>0</v>
      </c>
      <c r="R29" s="7"/>
    </row>
    <row r="30" spans="1:19" ht="18" thickBot="1" x14ac:dyDescent="0.35">
      <c r="A30" s="22"/>
      <c r="B30" s="23">
        <v>44589</v>
      </c>
      <c r="C30" s="24">
        <v>0</v>
      </c>
      <c r="D30" s="69"/>
      <c r="E30" s="26">
        <v>44589</v>
      </c>
      <c r="F30" s="27">
        <v>88236</v>
      </c>
      <c r="H30" s="35">
        <v>44589</v>
      </c>
      <c r="I30" s="29">
        <v>51</v>
      </c>
      <c r="J30" s="71"/>
      <c r="K30" s="72"/>
      <c r="L30" s="73"/>
      <c r="M30" s="30">
        <f>50000+38185</f>
        <v>88185</v>
      </c>
      <c r="N30" s="31">
        <v>0</v>
      </c>
      <c r="P30" s="32">
        <f t="shared" si="0"/>
        <v>88236</v>
      </c>
      <c r="Q30" s="8">
        <f t="shared" si="1"/>
        <v>0</v>
      </c>
      <c r="R30" s="7"/>
    </row>
    <row r="31" spans="1:19" ht="18" thickBot="1" x14ac:dyDescent="0.35">
      <c r="A31" s="22"/>
      <c r="B31" s="23">
        <v>44590</v>
      </c>
      <c r="C31" s="24">
        <v>680</v>
      </c>
      <c r="D31" s="81" t="s">
        <v>47</v>
      </c>
      <c r="E31" s="26">
        <v>44590</v>
      </c>
      <c r="F31" s="27">
        <v>90540</v>
      </c>
      <c r="H31" s="35">
        <v>44590</v>
      </c>
      <c r="I31" s="29">
        <v>79</v>
      </c>
      <c r="J31" s="71">
        <v>44590</v>
      </c>
      <c r="K31" s="74" t="s">
        <v>48</v>
      </c>
      <c r="L31" s="75">
        <f>9500+2571.43</f>
        <v>12071.43</v>
      </c>
      <c r="M31" s="30">
        <f>40000+28480</f>
        <v>68480</v>
      </c>
      <c r="N31" s="31">
        <v>9229</v>
      </c>
      <c r="P31" s="32">
        <f t="shared" si="0"/>
        <v>90539.43</v>
      </c>
      <c r="Q31" s="8">
        <f t="shared" si="1"/>
        <v>-0.57000000000698492</v>
      </c>
      <c r="R31" s="7"/>
    </row>
    <row r="32" spans="1:19" ht="18" thickBot="1" x14ac:dyDescent="0.35">
      <c r="A32" s="22"/>
      <c r="B32" s="23">
        <v>44591</v>
      </c>
      <c r="C32" s="24">
        <v>21227</v>
      </c>
      <c r="D32" s="76" t="s">
        <v>49</v>
      </c>
      <c r="E32" s="26">
        <v>44591</v>
      </c>
      <c r="F32" s="27">
        <v>107820</v>
      </c>
      <c r="H32" s="35">
        <v>44591</v>
      </c>
      <c r="I32" s="29">
        <v>10</v>
      </c>
      <c r="J32" s="71"/>
      <c r="K32" s="72"/>
      <c r="L32" s="73"/>
      <c r="M32" s="30">
        <f>50000+32688</f>
        <v>82688</v>
      </c>
      <c r="N32" s="31">
        <v>3895</v>
      </c>
      <c r="P32" s="32">
        <f t="shared" si="0"/>
        <v>107820</v>
      </c>
      <c r="Q32" s="8">
        <f t="shared" si="1"/>
        <v>0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 t="s">
        <v>123</v>
      </c>
      <c r="K34" s="79" t="s">
        <v>124</v>
      </c>
      <c r="L34" s="80">
        <v>549</v>
      </c>
      <c r="M34" s="30">
        <v>0</v>
      </c>
      <c r="N34" s="31">
        <v>0</v>
      </c>
      <c r="P34" s="32">
        <f t="shared" si="0"/>
        <v>549</v>
      </c>
      <c r="Q34" s="8">
        <f t="shared" si="1"/>
        <v>549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/>
      <c r="L35" s="78"/>
      <c r="M35" s="30">
        <v>0</v>
      </c>
      <c r="N35" s="31">
        <v>0</v>
      </c>
      <c r="P35" s="32">
        <f t="shared" si="0"/>
        <v>0</v>
      </c>
      <c r="Q35" s="8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 t="s">
        <v>201</v>
      </c>
      <c r="K36" s="174" t="s">
        <v>202</v>
      </c>
      <c r="L36" s="80">
        <v>2143.61</v>
      </c>
      <c r="M36" s="30">
        <v>0</v>
      </c>
      <c r="N36" s="31">
        <v>0</v>
      </c>
      <c r="P36" s="32">
        <f t="shared" si="0"/>
        <v>2143.61</v>
      </c>
      <c r="Q36" s="8">
        <f t="shared" si="1"/>
        <v>2143.61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 t="s">
        <v>201</v>
      </c>
      <c r="K37" s="79" t="s">
        <v>203</v>
      </c>
      <c r="L37" s="80">
        <v>1195.68</v>
      </c>
      <c r="M37" s="30">
        <v>0</v>
      </c>
      <c r="N37" s="31">
        <v>0</v>
      </c>
      <c r="P37" s="32">
        <f t="shared" si="0"/>
        <v>1195.68</v>
      </c>
      <c r="Q37" s="8">
        <f t="shared" si="1"/>
        <v>1195.68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204</v>
      </c>
      <c r="L38" s="78">
        <v>895.42</v>
      </c>
      <c r="M38" s="30">
        <v>0</v>
      </c>
      <c r="N38" s="31">
        <v>0</v>
      </c>
      <c r="P38" s="32">
        <f t="shared" si="0"/>
        <v>895.42</v>
      </c>
      <c r="Q38" s="8">
        <f t="shared" si="1"/>
        <v>895.42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205</v>
      </c>
      <c r="L39" s="73">
        <v>1392</v>
      </c>
      <c r="M39" s="30">
        <v>0</v>
      </c>
      <c r="N39" s="31">
        <v>0</v>
      </c>
      <c r="P39" s="32">
        <f t="shared" si="0"/>
        <v>1392</v>
      </c>
      <c r="Q39" s="8">
        <f t="shared" si="1"/>
        <v>1392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416">
        <f>SUM(M5:M39)</f>
        <v>1527030</v>
      </c>
      <c r="N40" s="418">
        <f>SUM(N5:N39)</f>
        <v>50013</v>
      </c>
      <c r="P40" s="32">
        <f>SUM(P5:P39)</f>
        <v>1702083.28</v>
      </c>
      <c r="Q40" s="8">
        <f>SUM(Q5:Q38)</f>
        <v>4823.2799999999925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417"/>
      <c r="N41" s="419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74897</v>
      </c>
      <c r="D51" s="103"/>
      <c r="E51" s="104" t="s">
        <v>9</v>
      </c>
      <c r="F51" s="105">
        <f>SUM(F5:F50)</f>
        <v>1686462</v>
      </c>
      <c r="G51" s="103"/>
      <c r="H51" s="106" t="s">
        <v>10</v>
      </c>
      <c r="I51" s="107">
        <f>SUM(I5:I50)</f>
        <v>1322</v>
      </c>
      <c r="J51" s="108"/>
      <c r="K51" s="109" t="s">
        <v>11</v>
      </c>
      <c r="L51" s="110">
        <f>SUM(L5:L50)</f>
        <v>48821.279999999999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20" t="s">
        <v>12</v>
      </c>
      <c r="I53" s="421"/>
      <c r="J53" s="114"/>
      <c r="K53" s="422">
        <f>I51+L51</f>
        <v>50143.28</v>
      </c>
      <c r="L53" s="423"/>
      <c r="M53" s="424">
        <f>N40+M40</f>
        <v>1577043</v>
      </c>
      <c r="N53" s="425"/>
      <c r="P53" s="32"/>
      <c r="Q53" s="8"/>
    </row>
    <row r="54" spans="1:17" ht="15.75" x14ac:dyDescent="0.25">
      <c r="D54" s="426" t="s">
        <v>13</v>
      </c>
      <c r="E54" s="426"/>
      <c r="F54" s="115">
        <f>F51-K53-C51</f>
        <v>1561421.72</v>
      </c>
      <c r="I54" s="116"/>
      <c r="J54" s="117"/>
      <c r="P54" s="32"/>
      <c r="Q54" s="8"/>
    </row>
    <row r="55" spans="1:17" ht="18.75" x14ac:dyDescent="0.3">
      <c r="D55" s="427" t="s">
        <v>14</v>
      </c>
      <c r="E55" s="427"/>
      <c r="F55" s="111">
        <v>-1419082.77</v>
      </c>
      <c r="I55" s="428" t="s">
        <v>15</v>
      </c>
      <c r="J55" s="429"/>
      <c r="K55" s="430">
        <f>F57+F58+F59</f>
        <v>296963.46999999997</v>
      </c>
      <c r="L55" s="43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142338.94999999995</v>
      </c>
      <c r="H57" s="22"/>
      <c r="I57" s="124" t="s">
        <v>17</v>
      </c>
      <c r="J57" s="125"/>
      <c r="K57" s="432">
        <f>-C4</f>
        <v>-221059.7</v>
      </c>
      <c r="L57" s="433"/>
    </row>
    <row r="58" spans="1:17" ht="16.5" thickBot="1" x14ac:dyDescent="0.3">
      <c r="D58" s="126" t="s">
        <v>18</v>
      </c>
      <c r="E58" s="33" t="s">
        <v>19</v>
      </c>
      <c r="F58" s="127">
        <v>310</v>
      </c>
    </row>
    <row r="59" spans="1:17" ht="20.25" thickTop="1" thickBot="1" x14ac:dyDescent="0.35">
      <c r="C59" s="128">
        <v>44591</v>
      </c>
      <c r="D59" s="409" t="s">
        <v>20</v>
      </c>
      <c r="E59" s="410"/>
      <c r="F59" s="129">
        <v>154314.51999999999</v>
      </c>
      <c r="I59" s="411" t="s">
        <v>168</v>
      </c>
      <c r="J59" s="412"/>
      <c r="K59" s="413">
        <f>K55+K57</f>
        <v>75903.76999999996</v>
      </c>
      <c r="L59" s="41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0" width="22.28515625" style="1" customWidth="1"/>
    <col min="11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254">
        <v>44683</v>
      </c>
      <c r="B3" s="255" t="s">
        <v>281</v>
      </c>
      <c r="C3" s="256">
        <v>12615</v>
      </c>
      <c r="D3" s="268">
        <v>44687</v>
      </c>
      <c r="E3" s="269">
        <v>12615</v>
      </c>
      <c r="F3" s="152">
        <f>C3-E3</f>
        <v>0</v>
      </c>
      <c r="J3" s="127"/>
    </row>
    <row r="4" spans="1:10" ht="15.75" x14ac:dyDescent="0.25">
      <c r="A4" s="257">
        <v>44684</v>
      </c>
      <c r="B4" s="258" t="s">
        <v>282</v>
      </c>
      <c r="C4" s="127">
        <v>17596.349999999999</v>
      </c>
      <c r="D4" s="268">
        <v>44687</v>
      </c>
      <c r="E4" s="270">
        <v>17596.349999999999</v>
      </c>
      <c r="F4" s="188">
        <f>C4-E4+F3</f>
        <v>0</v>
      </c>
      <c r="J4" s="127"/>
    </row>
    <row r="5" spans="1:10" ht="15.75" x14ac:dyDescent="0.25">
      <c r="A5" s="257">
        <v>44684</v>
      </c>
      <c r="B5" s="258" t="s">
        <v>283</v>
      </c>
      <c r="C5" s="127">
        <v>74815.3</v>
      </c>
      <c r="D5" s="268">
        <v>44687</v>
      </c>
      <c r="E5" s="270">
        <v>74815.3</v>
      </c>
      <c r="F5" s="188">
        <f t="shared" ref="F5:F68" si="0">C5-E5+F4</f>
        <v>0</v>
      </c>
      <c r="J5" s="127"/>
    </row>
    <row r="6" spans="1:10" ht="18.75" x14ac:dyDescent="0.3">
      <c r="A6" s="257">
        <v>44684</v>
      </c>
      <c r="B6" s="258" t="s">
        <v>284</v>
      </c>
      <c r="C6" s="127">
        <v>41825.300000000003</v>
      </c>
      <c r="D6" s="268">
        <v>44687</v>
      </c>
      <c r="E6" s="270">
        <v>41825.300000000003</v>
      </c>
      <c r="F6" s="188">
        <f t="shared" si="0"/>
        <v>0</v>
      </c>
      <c r="G6" s="156"/>
      <c r="J6" s="127"/>
    </row>
    <row r="7" spans="1:10" ht="15.75" x14ac:dyDescent="0.25">
      <c r="A7" s="257">
        <v>44685</v>
      </c>
      <c r="B7" s="258" t="s">
        <v>285</v>
      </c>
      <c r="C7" s="127">
        <v>16650.34</v>
      </c>
      <c r="D7" s="268">
        <v>44687</v>
      </c>
      <c r="E7" s="270">
        <v>16650.34</v>
      </c>
      <c r="F7" s="188">
        <f t="shared" si="0"/>
        <v>0</v>
      </c>
      <c r="J7" s="127"/>
    </row>
    <row r="8" spans="1:10" ht="15.75" x14ac:dyDescent="0.25">
      <c r="A8" s="257">
        <v>44686</v>
      </c>
      <c r="B8" s="258" t="s">
        <v>286</v>
      </c>
      <c r="C8" s="127">
        <v>123347.09</v>
      </c>
      <c r="D8" s="268">
        <v>44687</v>
      </c>
      <c r="E8" s="270">
        <v>123347.09</v>
      </c>
      <c r="F8" s="188">
        <f t="shared" si="0"/>
        <v>0</v>
      </c>
      <c r="J8" s="127"/>
    </row>
    <row r="9" spans="1:10" ht="15.75" x14ac:dyDescent="0.25">
      <c r="A9" s="257">
        <v>44686</v>
      </c>
      <c r="B9" s="258" t="s">
        <v>287</v>
      </c>
      <c r="C9" s="127">
        <v>8068.6</v>
      </c>
      <c r="D9" s="268">
        <v>44687</v>
      </c>
      <c r="E9" s="270">
        <v>8068.6</v>
      </c>
      <c r="F9" s="188">
        <f t="shared" si="0"/>
        <v>0</v>
      </c>
      <c r="J9" s="127"/>
    </row>
    <row r="10" spans="1:10" ht="30" x14ac:dyDescent="0.25">
      <c r="A10" s="257">
        <v>44687</v>
      </c>
      <c r="B10" s="258" t="s">
        <v>288</v>
      </c>
      <c r="C10" s="127">
        <v>150685.6</v>
      </c>
      <c r="D10" s="271" t="s">
        <v>344</v>
      </c>
      <c r="E10" s="270">
        <f>108860.3+41825.3</f>
        <v>150685.6</v>
      </c>
      <c r="F10" s="188">
        <f t="shared" si="0"/>
        <v>0</v>
      </c>
      <c r="J10" s="127">
        <v>0</v>
      </c>
    </row>
    <row r="11" spans="1:10" ht="15.75" x14ac:dyDescent="0.25">
      <c r="A11" s="257">
        <v>44687</v>
      </c>
      <c r="B11" s="258" t="s">
        <v>289</v>
      </c>
      <c r="C11" s="127">
        <v>7806</v>
      </c>
      <c r="D11" s="272">
        <v>44694</v>
      </c>
      <c r="E11" s="275">
        <v>7806</v>
      </c>
      <c r="F11" s="188">
        <f t="shared" si="0"/>
        <v>0</v>
      </c>
      <c r="J11" s="127">
        <v>0</v>
      </c>
    </row>
    <row r="12" spans="1:10" ht="18.75" x14ac:dyDescent="0.3">
      <c r="A12" s="257">
        <v>44688</v>
      </c>
      <c r="B12" s="258" t="s">
        <v>290</v>
      </c>
      <c r="C12" s="127">
        <v>3240</v>
      </c>
      <c r="D12" s="272">
        <v>44694</v>
      </c>
      <c r="E12" s="275">
        <v>3240</v>
      </c>
      <c r="F12" s="188">
        <f t="shared" si="0"/>
        <v>0</v>
      </c>
      <c r="G12" s="156"/>
      <c r="J12" s="127">
        <v>0</v>
      </c>
    </row>
    <row r="13" spans="1:10" ht="15.75" x14ac:dyDescent="0.25">
      <c r="A13" s="257">
        <v>44688</v>
      </c>
      <c r="B13" s="258" t="s">
        <v>291</v>
      </c>
      <c r="C13" s="127">
        <v>75100.639999999999</v>
      </c>
      <c r="D13" s="272">
        <v>44694</v>
      </c>
      <c r="E13" s="275">
        <v>75100.639999999999</v>
      </c>
      <c r="F13" s="188">
        <f t="shared" si="0"/>
        <v>0</v>
      </c>
      <c r="J13" s="127">
        <v>0</v>
      </c>
    </row>
    <row r="14" spans="1:10" ht="15.75" x14ac:dyDescent="0.25">
      <c r="A14" s="257">
        <v>44690</v>
      </c>
      <c r="B14" s="258" t="s">
        <v>292</v>
      </c>
      <c r="C14" s="127">
        <v>119272.64</v>
      </c>
      <c r="D14" s="272">
        <v>44694</v>
      </c>
      <c r="E14" s="275">
        <v>119272.64</v>
      </c>
      <c r="F14" s="188">
        <f t="shared" si="0"/>
        <v>0</v>
      </c>
      <c r="J14" s="1">
        <f>SUM(J2:J13)</f>
        <v>0</v>
      </c>
    </row>
    <row r="15" spans="1:10" ht="15.75" x14ac:dyDescent="0.25">
      <c r="A15" s="257">
        <v>44690</v>
      </c>
      <c r="B15" s="258" t="s">
        <v>293</v>
      </c>
      <c r="C15" s="127">
        <v>1299.5999999999999</v>
      </c>
      <c r="D15" s="272">
        <v>44694</v>
      </c>
      <c r="E15" s="275">
        <v>1299.5999999999999</v>
      </c>
      <c r="F15" s="188">
        <f t="shared" si="0"/>
        <v>0</v>
      </c>
    </row>
    <row r="16" spans="1:10" ht="15.75" x14ac:dyDescent="0.25">
      <c r="A16" s="257">
        <v>44690</v>
      </c>
      <c r="B16" s="258" t="s">
        <v>294</v>
      </c>
      <c r="C16" s="127">
        <v>25944</v>
      </c>
      <c r="D16" s="272">
        <v>44694</v>
      </c>
      <c r="E16" s="275">
        <v>25944</v>
      </c>
      <c r="F16" s="188">
        <f t="shared" si="0"/>
        <v>0</v>
      </c>
    </row>
    <row r="17" spans="1:7" ht="15.75" x14ac:dyDescent="0.25">
      <c r="A17" s="257">
        <v>44692</v>
      </c>
      <c r="B17" s="258" t="s">
        <v>295</v>
      </c>
      <c r="C17" s="127">
        <v>111401.12</v>
      </c>
      <c r="D17" s="272">
        <v>44694</v>
      </c>
      <c r="E17" s="275">
        <v>111401.12</v>
      </c>
      <c r="F17" s="188">
        <f t="shared" si="0"/>
        <v>0</v>
      </c>
    </row>
    <row r="18" spans="1:7" ht="15.75" x14ac:dyDescent="0.25">
      <c r="A18" s="257">
        <v>44693</v>
      </c>
      <c r="B18" s="258" t="s">
        <v>296</v>
      </c>
      <c r="C18" s="127">
        <v>35804.199999999997</v>
      </c>
      <c r="D18" s="272">
        <v>44694</v>
      </c>
      <c r="E18" s="275">
        <v>35804.199999999997</v>
      </c>
      <c r="F18" s="188">
        <f t="shared" si="0"/>
        <v>0</v>
      </c>
    </row>
    <row r="19" spans="1:7" ht="15.75" x14ac:dyDescent="0.25">
      <c r="A19" s="257">
        <v>44694</v>
      </c>
      <c r="B19" s="258" t="s">
        <v>297</v>
      </c>
      <c r="C19" s="127">
        <v>1607.16</v>
      </c>
      <c r="D19" s="276">
        <v>44701</v>
      </c>
      <c r="E19" s="277">
        <v>1607.16</v>
      </c>
      <c r="F19" s="188">
        <f t="shared" si="0"/>
        <v>0</v>
      </c>
    </row>
    <row r="20" spans="1:7" ht="15.75" x14ac:dyDescent="0.25">
      <c r="A20" s="257">
        <v>44694</v>
      </c>
      <c r="B20" s="258" t="s">
        <v>298</v>
      </c>
      <c r="C20" s="127">
        <v>110870.6</v>
      </c>
      <c r="D20" s="276">
        <v>44701</v>
      </c>
      <c r="E20" s="277">
        <v>110870.6</v>
      </c>
      <c r="F20" s="188">
        <f t="shared" si="0"/>
        <v>0</v>
      </c>
    </row>
    <row r="21" spans="1:7" ht="15.75" x14ac:dyDescent="0.25">
      <c r="A21" s="257">
        <v>44695</v>
      </c>
      <c r="B21" s="258" t="s">
        <v>299</v>
      </c>
      <c r="C21" s="127">
        <v>130766.36</v>
      </c>
      <c r="D21" s="276">
        <v>44701</v>
      </c>
      <c r="E21" s="277">
        <v>130766.36</v>
      </c>
      <c r="F21" s="188">
        <f t="shared" si="0"/>
        <v>0</v>
      </c>
    </row>
    <row r="22" spans="1:7" ht="15.75" x14ac:dyDescent="0.25">
      <c r="A22" s="257">
        <v>44697</v>
      </c>
      <c r="B22" s="258" t="s">
        <v>300</v>
      </c>
      <c r="C22" s="127">
        <v>114866.53</v>
      </c>
      <c r="D22" s="276">
        <v>44701</v>
      </c>
      <c r="E22" s="277">
        <v>114866.53</v>
      </c>
      <c r="F22" s="188">
        <f t="shared" si="0"/>
        <v>0</v>
      </c>
    </row>
    <row r="23" spans="1:7" ht="15.75" x14ac:dyDescent="0.25">
      <c r="A23" s="257">
        <v>44698</v>
      </c>
      <c r="B23" s="258" t="s">
        <v>301</v>
      </c>
      <c r="C23" s="127">
        <v>6227.2</v>
      </c>
      <c r="D23" s="276">
        <v>44701</v>
      </c>
      <c r="E23" s="277">
        <v>6227.2</v>
      </c>
      <c r="F23" s="188">
        <f t="shared" si="0"/>
        <v>0</v>
      </c>
    </row>
    <row r="24" spans="1:7" ht="18.75" x14ac:dyDescent="0.3">
      <c r="A24" s="257">
        <v>44699</v>
      </c>
      <c r="B24" s="258" t="s">
        <v>302</v>
      </c>
      <c r="C24" s="127">
        <v>66522.98</v>
      </c>
      <c r="D24" s="276">
        <v>44701</v>
      </c>
      <c r="E24" s="277">
        <v>66522.98</v>
      </c>
      <c r="F24" s="188">
        <f t="shared" si="0"/>
        <v>0</v>
      </c>
      <c r="G24" s="156"/>
    </row>
    <row r="25" spans="1:7" ht="15.75" x14ac:dyDescent="0.25">
      <c r="A25" s="257">
        <v>44700</v>
      </c>
      <c r="B25" s="258" t="s">
        <v>303</v>
      </c>
      <c r="C25" s="127">
        <v>98570.79</v>
      </c>
      <c r="D25" s="276">
        <v>44701</v>
      </c>
      <c r="E25" s="277">
        <v>98570.79</v>
      </c>
      <c r="F25" s="188">
        <f t="shared" si="0"/>
        <v>0</v>
      </c>
    </row>
    <row r="26" spans="1:7" ht="15.75" x14ac:dyDescent="0.25">
      <c r="A26" s="257">
        <v>44702</v>
      </c>
      <c r="B26" s="258" t="s">
        <v>304</v>
      </c>
      <c r="C26" s="127">
        <v>94991.4</v>
      </c>
      <c r="D26" s="259">
        <v>44708</v>
      </c>
      <c r="E26" s="127">
        <v>94991.4</v>
      </c>
      <c r="F26" s="188">
        <f t="shared" si="0"/>
        <v>0</v>
      </c>
    </row>
    <row r="27" spans="1:7" ht="15.75" x14ac:dyDescent="0.25">
      <c r="A27" s="257">
        <v>44702</v>
      </c>
      <c r="B27" s="258" t="s">
        <v>305</v>
      </c>
      <c r="C27" s="127">
        <v>39581.199999999997</v>
      </c>
      <c r="D27" s="259">
        <v>44708</v>
      </c>
      <c r="E27" s="127">
        <v>39581.199999999997</v>
      </c>
      <c r="F27" s="188">
        <f t="shared" si="0"/>
        <v>0</v>
      </c>
    </row>
    <row r="28" spans="1:7" ht="15.75" x14ac:dyDescent="0.25">
      <c r="A28" s="257">
        <v>44702</v>
      </c>
      <c r="B28" s="258" t="s">
        <v>306</v>
      </c>
      <c r="C28" s="127">
        <v>83382</v>
      </c>
      <c r="D28" s="259">
        <v>44708</v>
      </c>
      <c r="E28" s="127">
        <v>83382</v>
      </c>
      <c r="F28" s="188">
        <f t="shared" si="0"/>
        <v>0</v>
      </c>
    </row>
    <row r="29" spans="1:7" ht="15.75" x14ac:dyDescent="0.25">
      <c r="A29" s="257">
        <v>44702</v>
      </c>
      <c r="B29" s="258" t="s">
        <v>307</v>
      </c>
      <c r="C29" s="127">
        <v>1534.4</v>
      </c>
      <c r="D29" s="259">
        <v>44708</v>
      </c>
      <c r="E29" s="127">
        <v>1534.4</v>
      </c>
      <c r="F29" s="188">
        <f t="shared" si="0"/>
        <v>0</v>
      </c>
    </row>
    <row r="30" spans="1:7" ht="15.75" x14ac:dyDescent="0.25">
      <c r="A30" s="257">
        <v>44704</v>
      </c>
      <c r="B30" s="258" t="s">
        <v>308</v>
      </c>
      <c r="C30" s="127">
        <v>58225.08</v>
      </c>
      <c r="D30" s="259">
        <v>44708</v>
      </c>
      <c r="E30" s="127">
        <v>58225.08</v>
      </c>
      <c r="F30" s="188">
        <f t="shared" si="0"/>
        <v>0</v>
      </c>
    </row>
    <row r="31" spans="1:7" ht="15.75" x14ac:dyDescent="0.25">
      <c r="A31" s="257">
        <v>44705</v>
      </c>
      <c r="B31" s="258" t="s">
        <v>309</v>
      </c>
      <c r="C31" s="127">
        <v>24879.42</v>
      </c>
      <c r="D31" s="259">
        <v>44708</v>
      </c>
      <c r="E31" s="127">
        <v>24879.42</v>
      </c>
      <c r="F31" s="188">
        <f t="shared" si="0"/>
        <v>0</v>
      </c>
    </row>
    <row r="32" spans="1:7" ht="18.75" x14ac:dyDescent="0.3">
      <c r="A32" s="257">
        <v>44705</v>
      </c>
      <c r="B32" s="258" t="s">
        <v>310</v>
      </c>
      <c r="C32" s="127">
        <v>480</v>
      </c>
      <c r="D32" s="259">
        <v>44708</v>
      </c>
      <c r="E32" s="127">
        <v>480</v>
      </c>
      <c r="F32" s="188">
        <f t="shared" si="0"/>
        <v>0</v>
      </c>
      <c r="G32" s="156"/>
    </row>
    <row r="33" spans="1:6" ht="15.75" x14ac:dyDescent="0.25">
      <c r="A33" s="257">
        <v>44706</v>
      </c>
      <c r="B33" s="258" t="s">
        <v>314</v>
      </c>
      <c r="C33" s="127">
        <v>74281.539999999994</v>
      </c>
      <c r="D33" s="259">
        <v>44708</v>
      </c>
      <c r="E33" s="127">
        <v>74281.539999999994</v>
      </c>
      <c r="F33" s="188">
        <f t="shared" si="0"/>
        <v>0</v>
      </c>
    </row>
    <row r="34" spans="1:6" ht="23.25" customHeight="1" x14ac:dyDescent="0.25">
      <c r="A34" s="257">
        <v>44707</v>
      </c>
      <c r="B34" s="258" t="s">
        <v>315</v>
      </c>
      <c r="C34" s="127">
        <v>152351.15</v>
      </c>
      <c r="D34" s="259">
        <v>44708</v>
      </c>
      <c r="E34" s="127">
        <v>152351.15</v>
      </c>
      <c r="F34" s="188">
        <f t="shared" si="0"/>
        <v>0</v>
      </c>
    </row>
    <row r="35" spans="1:6" ht="18.75" customHeight="1" x14ac:dyDescent="0.25">
      <c r="A35" s="257">
        <v>44709</v>
      </c>
      <c r="B35" s="258" t="s">
        <v>316</v>
      </c>
      <c r="C35" s="127">
        <v>133819.06</v>
      </c>
      <c r="D35" s="273">
        <v>44715</v>
      </c>
      <c r="E35" s="274">
        <v>133819.06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2018428.6499999997</v>
      </c>
      <c r="D79" s="181"/>
      <c r="E79" s="170">
        <f>SUM(E3:E78)</f>
        <v>2018428.6499999997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1" customWidth="1"/>
  </cols>
  <sheetData>
    <row r="1" spans="1:21" ht="23.25" x14ac:dyDescent="0.35">
      <c r="B1" s="396"/>
      <c r="C1" s="398" t="s">
        <v>326</v>
      </c>
      <c r="D1" s="399"/>
      <c r="E1" s="399"/>
      <c r="F1" s="399"/>
      <c r="G1" s="399"/>
      <c r="H1" s="399"/>
      <c r="I1" s="399"/>
      <c r="J1" s="399"/>
      <c r="K1" s="399"/>
      <c r="L1" s="399"/>
      <c r="M1" s="399"/>
    </row>
    <row r="2" spans="1:21" ht="16.5" thickBot="1" x14ac:dyDescent="0.3">
      <c r="B2" s="397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0" t="s">
        <v>0</v>
      </c>
      <c r="C3" s="401"/>
      <c r="D3" s="9"/>
      <c r="E3" s="10"/>
      <c r="F3" s="10"/>
      <c r="H3" s="402" t="s">
        <v>1</v>
      </c>
      <c r="I3" s="402"/>
      <c r="K3" s="12"/>
      <c r="L3" s="12"/>
      <c r="M3" s="4"/>
      <c r="R3" s="407" t="s">
        <v>38</v>
      </c>
    </row>
    <row r="4" spans="1:21" ht="20.25" thickTop="1" thickBot="1" x14ac:dyDescent="0.35">
      <c r="A4" s="13" t="s">
        <v>2</v>
      </c>
      <c r="B4" s="14"/>
      <c r="C4" s="15">
        <v>149938.81</v>
      </c>
      <c r="D4" s="16">
        <v>44710</v>
      </c>
      <c r="E4" s="403" t="s">
        <v>3</v>
      </c>
      <c r="F4" s="404"/>
      <c r="H4" s="405" t="s">
        <v>4</v>
      </c>
      <c r="I4" s="406"/>
      <c r="J4" s="17"/>
      <c r="K4" s="18"/>
      <c r="L4" s="19"/>
      <c r="M4" s="20" t="s">
        <v>5</v>
      </c>
      <c r="N4" s="21" t="s">
        <v>6</v>
      </c>
      <c r="P4" s="414" t="s">
        <v>7</v>
      </c>
      <c r="Q4" s="415"/>
      <c r="R4" s="408"/>
    </row>
    <row r="5" spans="1:21" ht="18" thickBot="1" x14ac:dyDescent="0.35">
      <c r="A5" s="22" t="s">
        <v>8</v>
      </c>
      <c r="B5" s="23">
        <v>44711</v>
      </c>
      <c r="C5" s="24">
        <v>0</v>
      </c>
      <c r="D5" s="25"/>
      <c r="E5" s="26">
        <v>44711</v>
      </c>
      <c r="F5" s="27">
        <v>68569</v>
      </c>
      <c r="H5" s="28">
        <v>44711</v>
      </c>
      <c r="I5" s="29">
        <v>92</v>
      </c>
      <c r="J5" s="6"/>
      <c r="K5" s="174"/>
      <c r="L5" s="8"/>
      <c r="M5" s="30">
        <f>56619+11000</f>
        <v>67619</v>
      </c>
      <c r="N5" s="31">
        <v>858</v>
      </c>
      <c r="P5" s="32">
        <f>N5+M5+L5+I5+C5</f>
        <v>68569</v>
      </c>
      <c r="Q5" s="12">
        <f>P5-F5</f>
        <v>0</v>
      </c>
      <c r="R5" s="8"/>
    </row>
    <row r="6" spans="1:21" ht="18" thickBot="1" x14ac:dyDescent="0.35">
      <c r="A6" s="22"/>
      <c r="B6" s="23">
        <v>44712</v>
      </c>
      <c r="C6" s="24">
        <v>0</v>
      </c>
      <c r="D6" s="34"/>
      <c r="E6" s="26">
        <v>44712</v>
      </c>
      <c r="F6" s="27">
        <v>48343</v>
      </c>
      <c r="H6" s="28">
        <v>44712</v>
      </c>
      <c r="I6" s="29">
        <v>10</v>
      </c>
      <c r="J6" s="36"/>
      <c r="K6" s="37"/>
      <c r="L6" s="38"/>
      <c r="M6" s="30">
        <f>20000+40505</f>
        <v>60505</v>
      </c>
      <c r="N6" s="31">
        <v>200</v>
      </c>
      <c r="P6" s="32">
        <f t="shared" ref="P6:P39" si="0">N6+M6+L6+I6+C6</f>
        <v>60715</v>
      </c>
      <c r="Q6" s="12">
        <v>0</v>
      </c>
      <c r="R6" s="176">
        <v>12372</v>
      </c>
    </row>
    <row r="7" spans="1:21" ht="18" thickBot="1" x14ac:dyDescent="0.35">
      <c r="A7" s="22"/>
      <c r="B7" s="23">
        <v>44713</v>
      </c>
      <c r="C7" s="24">
        <v>2830</v>
      </c>
      <c r="D7" s="39" t="s">
        <v>341</v>
      </c>
      <c r="E7" s="26">
        <v>44713</v>
      </c>
      <c r="F7" s="27">
        <v>45188</v>
      </c>
      <c r="H7" s="28">
        <v>44713</v>
      </c>
      <c r="I7" s="29">
        <v>87</v>
      </c>
      <c r="J7" s="36"/>
      <c r="K7" s="40"/>
      <c r="L7" s="38"/>
      <c r="M7" s="30">
        <f>27271+15000</f>
        <v>42271</v>
      </c>
      <c r="N7" s="31">
        <v>0</v>
      </c>
      <c r="P7" s="32">
        <f t="shared" si="0"/>
        <v>45188</v>
      </c>
      <c r="Q7" s="12">
        <f t="shared" ref="Q7:Q40" si="1">P7-F7</f>
        <v>0</v>
      </c>
      <c r="R7" s="8"/>
    </row>
    <row r="8" spans="1:21" ht="18" thickBot="1" x14ac:dyDescent="0.35">
      <c r="A8" s="22"/>
      <c r="B8" s="23">
        <v>44714</v>
      </c>
      <c r="C8" s="24">
        <v>0</v>
      </c>
      <c r="D8" s="39"/>
      <c r="E8" s="26">
        <v>44714</v>
      </c>
      <c r="F8" s="27">
        <v>70879</v>
      </c>
      <c r="H8" s="28">
        <v>44714</v>
      </c>
      <c r="I8" s="29">
        <v>30</v>
      </c>
      <c r="J8" s="42"/>
      <c r="K8" s="43"/>
      <c r="L8" s="38"/>
      <c r="M8" s="30">
        <f>41633+40000</f>
        <v>81633</v>
      </c>
      <c r="N8" s="31">
        <v>1977</v>
      </c>
      <c r="P8" s="32">
        <f t="shared" si="0"/>
        <v>83640</v>
      </c>
      <c r="Q8" s="12">
        <v>0</v>
      </c>
      <c r="R8" s="176">
        <v>12761</v>
      </c>
    </row>
    <row r="9" spans="1:21" ht="18" thickBot="1" x14ac:dyDescent="0.35">
      <c r="A9" s="22"/>
      <c r="B9" s="23">
        <v>44715</v>
      </c>
      <c r="C9" s="24">
        <v>12937</v>
      </c>
      <c r="D9" s="39" t="s">
        <v>49</v>
      </c>
      <c r="E9" s="26">
        <v>44715</v>
      </c>
      <c r="F9" s="27">
        <v>99483</v>
      </c>
      <c r="H9" s="28">
        <v>44715</v>
      </c>
      <c r="I9" s="29">
        <v>123</v>
      </c>
      <c r="J9" s="36"/>
      <c r="K9" s="44"/>
      <c r="L9" s="38"/>
      <c r="M9" s="30">
        <f>61192+25000</f>
        <v>86192</v>
      </c>
      <c r="N9" s="31">
        <v>231</v>
      </c>
      <c r="P9" s="32">
        <f t="shared" si="0"/>
        <v>99483</v>
      </c>
      <c r="Q9" s="12">
        <f t="shared" si="1"/>
        <v>0</v>
      </c>
      <c r="R9" s="8"/>
    </row>
    <row r="10" spans="1:21" ht="18" thickBot="1" x14ac:dyDescent="0.35">
      <c r="A10" s="22"/>
      <c r="B10" s="23">
        <v>44716</v>
      </c>
      <c r="C10" s="24">
        <v>0</v>
      </c>
      <c r="D10" s="34"/>
      <c r="E10" s="26">
        <v>44716</v>
      </c>
      <c r="F10" s="27">
        <v>104709</v>
      </c>
      <c r="H10" s="28">
        <v>44716</v>
      </c>
      <c r="I10" s="29">
        <v>99</v>
      </c>
      <c r="J10" s="36">
        <v>44716</v>
      </c>
      <c r="K10" s="45" t="s">
        <v>342</v>
      </c>
      <c r="L10" s="46">
        <v>9483</v>
      </c>
      <c r="M10" s="30">
        <f>35000+49514+675</f>
        <v>85189</v>
      </c>
      <c r="N10" s="31">
        <v>9938</v>
      </c>
      <c r="P10" s="32">
        <f t="shared" si="0"/>
        <v>104709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44717</v>
      </c>
      <c r="C11" s="24">
        <v>0</v>
      </c>
      <c r="D11" s="34"/>
      <c r="E11" s="26">
        <v>44717</v>
      </c>
      <c r="F11" s="27">
        <v>122844</v>
      </c>
      <c r="H11" s="28">
        <v>44717</v>
      </c>
      <c r="I11" s="29">
        <v>0</v>
      </c>
      <c r="J11" s="42"/>
      <c r="K11" s="47"/>
      <c r="L11" s="38"/>
      <c r="M11" s="30">
        <f>32526+90000</f>
        <v>122526</v>
      </c>
      <c r="N11" s="31">
        <v>318</v>
      </c>
      <c r="P11" s="32">
        <f>N11+M11+L11+I11+C11</f>
        <v>122844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44718</v>
      </c>
      <c r="C12" s="24">
        <v>3600</v>
      </c>
      <c r="D12" s="34" t="s">
        <v>47</v>
      </c>
      <c r="E12" s="26">
        <v>44718</v>
      </c>
      <c r="F12" s="27">
        <v>87892</v>
      </c>
      <c r="H12" s="28">
        <v>44718</v>
      </c>
      <c r="I12" s="29">
        <v>65</v>
      </c>
      <c r="J12" s="36"/>
      <c r="K12" s="48"/>
      <c r="L12" s="38"/>
      <c r="M12" s="30">
        <f>36227+48000</f>
        <v>84227</v>
      </c>
      <c r="N12" s="31">
        <v>0</v>
      </c>
      <c r="P12" s="32">
        <f t="shared" si="0"/>
        <v>87892</v>
      </c>
      <c r="Q12" s="12">
        <f t="shared" si="1"/>
        <v>0</v>
      </c>
      <c r="R12" s="8"/>
    </row>
    <row r="13" spans="1:21" ht="18" thickBot="1" x14ac:dyDescent="0.35">
      <c r="A13" s="22"/>
      <c r="B13" s="23">
        <v>44719</v>
      </c>
      <c r="C13" s="24">
        <v>800</v>
      </c>
      <c r="D13" s="39" t="s">
        <v>133</v>
      </c>
      <c r="E13" s="26">
        <v>44719</v>
      </c>
      <c r="F13" s="27">
        <v>72961</v>
      </c>
      <c r="H13" s="28">
        <v>44719</v>
      </c>
      <c r="I13" s="29">
        <v>127</v>
      </c>
      <c r="J13" s="36"/>
      <c r="K13" s="37"/>
      <c r="L13" s="38"/>
      <c r="M13" s="30">
        <f>33794+20000</f>
        <v>53794</v>
      </c>
      <c r="N13" s="31">
        <v>18240</v>
      </c>
      <c r="P13" s="32">
        <f t="shared" si="0"/>
        <v>72961</v>
      </c>
      <c r="Q13" s="12">
        <f t="shared" si="1"/>
        <v>0</v>
      </c>
      <c r="R13" s="177"/>
    </row>
    <row r="14" spans="1:21" ht="18" thickBot="1" x14ac:dyDescent="0.35">
      <c r="A14" s="22"/>
      <c r="B14" s="23">
        <v>44720</v>
      </c>
      <c r="C14" s="24">
        <v>0</v>
      </c>
      <c r="D14" s="49"/>
      <c r="E14" s="26">
        <v>44720</v>
      </c>
      <c r="F14" s="27">
        <v>43378</v>
      </c>
      <c r="H14" s="28">
        <v>44720</v>
      </c>
      <c r="I14" s="29">
        <v>60</v>
      </c>
      <c r="J14" s="36"/>
      <c r="K14" s="43"/>
      <c r="L14" s="38"/>
      <c r="M14" s="30">
        <f>28218+15000</f>
        <v>43218</v>
      </c>
      <c r="N14" s="31">
        <v>100</v>
      </c>
      <c r="P14" s="32">
        <f t="shared" si="0"/>
        <v>43378</v>
      </c>
      <c r="Q14" s="12">
        <f t="shared" si="1"/>
        <v>0</v>
      </c>
      <c r="R14" s="177"/>
    </row>
    <row r="15" spans="1:21" ht="18" thickBot="1" x14ac:dyDescent="0.35">
      <c r="A15" s="22"/>
      <c r="B15" s="23">
        <v>44721</v>
      </c>
      <c r="C15" s="24">
        <v>0</v>
      </c>
      <c r="D15" s="49"/>
      <c r="E15" s="26">
        <v>44721</v>
      </c>
      <c r="F15" s="27">
        <v>74534</v>
      </c>
      <c r="H15" s="28">
        <v>44721</v>
      </c>
      <c r="I15" s="29">
        <v>31</v>
      </c>
      <c r="J15" s="36"/>
      <c r="K15" s="43"/>
      <c r="L15" s="38"/>
      <c r="M15" s="30">
        <f>15000+59275</f>
        <v>74275</v>
      </c>
      <c r="N15" s="31">
        <v>228</v>
      </c>
      <c r="P15" s="32">
        <f t="shared" si="0"/>
        <v>74534</v>
      </c>
      <c r="Q15" s="12">
        <f t="shared" si="1"/>
        <v>0</v>
      </c>
      <c r="R15" s="8"/>
    </row>
    <row r="16" spans="1:21" ht="18" thickBot="1" x14ac:dyDescent="0.35">
      <c r="A16" s="22"/>
      <c r="B16" s="23">
        <v>44722</v>
      </c>
      <c r="C16" s="24">
        <v>23100</v>
      </c>
      <c r="D16" s="34" t="s">
        <v>49</v>
      </c>
      <c r="E16" s="26">
        <v>44722</v>
      </c>
      <c r="F16" s="27">
        <v>137137</v>
      </c>
      <c r="H16" s="28">
        <v>44722</v>
      </c>
      <c r="I16" s="29">
        <v>208</v>
      </c>
      <c r="J16" s="36"/>
      <c r="K16" s="43"/>
      <c r="L16" s="8"/>
      <c r="M16" s="30">
        <f>83015+30000</f>
        <v>113015</v>
      </c>
      <c r="N16" s="31">
        <v>814</v>
      </c>
      <c r="P16" s="32">
        <f t="shared" si="0"/>
        <v>137137</v>
      </c>
      <c r="Q16" s="12">
        <f t="shared" si="1"/>
        <v>0</v>
      </c>
      <c r="R16" s="8" t="s">
        <v>8</v>
      </c>
    </row>
    <row r="17" spans="1:18" ht="18" thickBot="1" x14ac:dyDescent="0.35">
      <c r="A17" s="22"/>
      <c r="B17" s="23">
        <v>44723</v>
      </c>
      <c r="C17" s="24">
        <v>3430</v>
      </c>
      <c r="D17" s="39" t="s">
        <v>47</v>
      </c>
      <c r="E17" s="26">
        <v>44723</v>
      </c>
      <c r="F17" s="27">
        <v>91767</v>
      </c>
      <c r="H17" s="28">
        <v>44723</v>
      </c>
      <c r="I17" s="29">
        <v>60</v>
      </c>
      <c r="J17" s="36">
        <v>44723</v>
      </c>
      <c r="K17" s="50" t="s">
        <v>343</v>
      </c>
      <c r="L17" s="46">
        <v>9500</v>
      </c>
      <c r="M17" s="30">
        <f>25000+43046</f>
        <v>68046</v>
      </c>
      <c r="N17" s="31">
        <v>10731</v>
      </c>
      <c r="P17" s="32">
        <f t="shared" si="0"/>
        <v>91767</v>
      </c>
      <c r="Q17" s="12">
        <f t="shared" si="1"/>
        <v>0</v>
      </c>
      <c r="R17" s="8"/>
    </row>
    <row r="18" spans="1:18" ht="18" thickBot="1" x14ac:dyDescent="0.35">
      <c r="A18" s="22"/>
      <c r="B18" s="23">
        <v>44724</v>
      </c>
      <c r="C18" s="24">
        <v>0</v>
      </c>
      <c r="D18" s="34"/>
      <c r="E18" s="26">
        <v>44724</v>
      </c>
      <c r="F18" s="27">
        <v>131350</v>
      </c>
      <c r="H18" s="28">
        <v>44724</v>
      </c>
      <c r="I18" s="29">
        <v>60</v>
      </c>
      <c r="J18" s="36"/>
      <c r="K18" s="51"/>
      <c r="L18" s="38"/>
      <c r="M18" s="30">
        <f>80000+35000+13118</f>
        <v>128118</v>
      </c>
      <c r="N18" s="31">
        <v>3172</v>
      </c>
      <c r="P18" s="32">
        <f t="shared" si="0"/>
        <v>131350</v>
      </c>
      <c r="Q18" s="12">
        <f t="shared" si="1"/>
        <v>0</v>
      </c>
      <c r="R18" s="8"/>
    </row>
    <row r="19" spans="1:18" ht="18" thickBot="1" x14ac:dyDescent="0.35">
      <c r="A19" s="22"/>
      <c r="B19" s="23">
        <v>44725</v>
      </c>
      <c r="C19" s="24">
        <v>0</v>
      </c>
      <c r="D19" s="34"/>
      <c r="E19" s="26">
        <v>44725</v>
      </c>
      <c r="F19" s="27">
        <v>61432</v>
      </c>
      <c r="H19" s="28">
        <v>44725</v>
      </c>
      <c r="I19" s="29">
        <v>33</v>
      </c>
      <c r="J19" s="36"/>
      <c r="K19" s="52"/>
      <c r="L19" s="53"/>
      <c r="M19" s="30">
        <f>43973+17000</f>
        <v>60973</v>
      </c>
      <c r="N19" s="31">
        <v>426</v>
      </c>
      <c r="P19" s="32">
        <f t="shared" si="0"/>
        <v>61432</v>
      </c>
      <c r="Q19" s="12">
        <f t="shared" si="1"/>
        <v>0</v>
      </c>
      <c r="R19" s="8"/>
    </row>
    <row r="20" spans="1:18" ht="18" thickBot="1" x14ac:dyDescent="0.35">
      <c r="A20" s="22"/>
      <c r="B20" s="23">
        <v>44726</v>
      </c>
      <c r="C20" s="24">
        <v>0</v>
      </c>
      <c r="D20" s="34"/>
      <c r="E20" s="26">
        <v>44726</v>
      </c>
      <c r="F20" s="27">
        <v>70660</v>
      </c>
      <c r="H20" s="28">
        <v>44726</v>
      </c>
      <c r="I20" s="29">
        <v>100</v>
      </c>
      <c r="J20" s="36"/>
      <c r="K20" s="54"/>
      <c r="L20" s="46"/>
      <c r="M20" s="30">
        <f>54910+15000</f>
        <v>69910</v>
      </c>
      <c r="N20" s="31">
        <v>650</v>
      </c>
      <c r="P20" s="32">
        <f t="shared" si="0"/>
        <v>70660</v>
      </c>
      <c r="Q20" s="12">
        <f t="shared" si="1"/>
        <v>0</v>
      </c>
      <c r="R20" s="8"/>
    </row>
    <row r="21" spans="1:18" ht="18" thickBot="1" x14ac:dyDescent="0.35">
      <c r="A21" s="22"/>
      <c r="B21" s="23">
        <v>44727</v>
      </c>
      <c r="C21" s="24">
        <v>3657</v>
      </c>
      <c r="D21" s="34" t="s">
        <v>233</v>
      </c>
      <c r="E21" s="26">
        <v>44727</v>
      </c>
      <c r="F21" s="27">
        <v>41088</v>
      </c>
      <c r="H21" s="28">
        <v>44727</v>
      </c>
      <c r="I21" s="29">
        <v>66</v>
      </c>
      <c r="J21" s="36"/>
      <c r="K21" s="55"/>
      <c r="L21" s="46"/>
      <c r="M21" s="30">
        <v>32365</v>
      </c>
      <c r="N21" s="31">
        <v>5000</v>
      </c>
      <c r="P21" s="32">
        <f t="shared" si="0"/>
        <v>41088</v>
      </c>
      <c r="Q21" s="12">
        <f t="shared" si="1"/>
        <v>0</v>
      </c>
      <c r="R21" s="8"/>
    </row>
    <row r="22" spans="1:18" ht="18" thickBot="1" x14ac:dyDescent="0.35">
      <c r="A22" s="22"/>
      <c r="B22" s="23">
        <v>44728</v>
      </c>
      <c r="C22" s="24">
        <v>400</v>
      </c>
      <c r="D22" s="34" t="s">
        <v>47</v>
      </c>
      <c r="E22" s="26">
        <v>44728</v>
      </c>
      <c r="F22" s="27">
        <v>87438</v>
      </c>
      <c r="H22" s="28">
        <v>44728</v>
      </c>
      <c r="I22" s="29">
        <v>58</v>
      </c>
      <c r="J22" s="36"/>
      <c r="K22" s="43"/>
      <c r="L22" s="56"/>
      <c r="M22" s="30">
        <f>26857+40000+20000</f>
        <v>86857</v>
      </c>
      <c r="N22" s="31">
        <v>123</v>
      </c>
      <c r="P22" s="32">
        <f t="shared" si="0"/>
        <v>87438</v>
      </c>
      <c r="Q22" s="12">
        <f t="shared" si="1"/>
        <v>0</v>
      </c>
      <c r="R22" s="8"/>
    </row>
    <row r="23" spans="1:18" ht="18" thickBot="1" x14ac:dyDescent="0.35">
      <c r="A23" s="22"/>
      <c r="B23" s="23">
        <v>44729</v>
      </c>
      <c r="C23" s="24">
        <v>21985</v>
      </c>
      <c r="D23" s="34" t="s">
        <v>356</v>
      </c>
      <c r="E23" s="26">
        <v>44729</v>
      </c>
      <c r="F23" s="27">
        <v>90196</v>
      </c>
      <c r="H23" s="28">
        <v>44729</v>
      </c>
      <c r="I23" s="29">
        <v>95</v>
      </c>
      <c r="J23" s="57"/>
      <c r="K23" s="58"/>
      <c r="L23" s="46"/>
      <c r="M23" s="30">
        <f>15000+42702</f>
        <v>57702</v>
      </c>
      <c r="N23" s="31">
        <v>10414</v>
      </c>
      <c r="P23" s="32">
        <f t="shared" si="0"/>
        <v>90196</v>
      </c>
      <c r="Q23" s="12">
        <f t="shared" si="1"/>
        <v>0</v>
      </c>
      <c r="R23" s="8"/>
    </row>
    <row r="24" spans="1:18" ht="18" thickBot="1" x14ac:dyDescent="0.35">
      <c r="A24" s="22"/>
      <c r="B24" s="23">
        <v>44730</v>
      </c>
      <c r="C24" s="24">
        <v>8</v>
      </c>
      <c r="D24" s="39" t="s">
        <v>34</v>
      </c>
      <c r="E24" s="26">
        <v>44730</v>
      </c>
      <c r="F24" s="27">
        <v>119596</v>
      </c>
      <c r="H24" s="28">
        <v>44730</v>
      </c>
      <c r="I24" s="29">
        <v>326</v>
      </c>
      <c r="J24" s="173">
        <v>44730</v>
      </c>
      <c r="K24" s="60" t="s">
        <v>357</v>
      </c>
      <c r="L24" s="61">
        <v>9500</v>
      </c>
      <c r="M24" s="30">
        <f>80000+20708</f>
        <v>100708</v>
      </c>
      <c r="N24" s="31">
        <v>9054</v>
      </c>
      <c r="P24" s="32">
        <f t="shared" si="0"/>
        <v>119596</v>
      </c>
      <c r="Q24" s="12">
        <f t="shared" si="1"/>
        <v>0</v>
      </c>
      <c r="R24" s="8"/>
    </row>
    <row r="25" spans="1:18" ht="18" thickBot="1" x14ac:dyDescent="0.35">
      <c r="A25" s="22"/>
      <c r="B25" s="23">
        <v>44731</v>
      </c>
      <c r="C25" s="24">
        <v>0</v>
      </c>
      <c r="D25" s="34"/>
      <c r="E25" s="26">
        <v>44731</v>
      </c>
      <c r="F25" s="27">
        <v>139502</v>
      </c>
      <c r="H25" s="28">
        <v>44731</v>
      </c>
      <c r="I25" s="29">
        <v>0</v>
      </c>
      <c r="J25" s="62">
        <v>44731</v>
      </c>
      <c r="K25" s="280" t="s">
        <v>358</v>
      </c>
      <c r="L25" s="64">
        <v>750</v>
      </c>
      <c r="M25" s="30">
        <f>100000+20000+13277</f>
        <v>133277</v>
      </c>
      <c r="N25" s="31">
        <v>5475</v>
      </c>
      <c r="O25" t="s">
        <v>8</v>
      </c>
      <c r="P25" s="32">
        <f t="shared" si="0"/>
        <v>139502</v>
      </c>
      <c r="Q25" s="12">
        <f t="shared" si="1"/>
        <v>0</v>
      </c>
      <c r="R25" s="8"/>
    </row>
    <row r="26" spans="1:18" ht="18" thickBot="1" x14ac:dyDescent="0.35">
      <c r="A26" s="22"/>
      <c r="B26" s="23">
        <v>44732</v>
      </c>
      <c r="C26" s="24">
        <v>0</v>
      </c>
      <c r="D26" s="34"/>
      <c r="E26" s="26">
        <v>44732</v>
      </c>
      <c r="F26" s="27">
        <v>69636</v>
      </c>
      <c r="H26" s="28">
        <v>44732</v>
      </c>
      <c r="I26" s="29">
        <v>42</v>
      </c>
      <c r="J26" s="36"/>
      <c r="K26" s="60"/>
      <c r="L26" s="46"/>
      <c r="M26" s="30">
        <f>53594+16000</f>
        <v>69594</v>
      </c>
      <c r="N26" s="31">
        <v>0</v>
      </c>
      <c r="P26" s="32">
        <f t="shared" si="0"/>
        <v>69636</v>
      </c>
      <c r="Q26" s="12">
        <f t="shared" si="1"/>
        <v>0</v>
      </c>
      <c r="R26" s="8"/>
    </row>
    <row r="27" spans="1:18" ht="18" thickBot="1" x14ac:dyDescent="0.35">
      <c r="A27" s="22"/>
      <c r="B27" s="23">
        <v>44733</v>
      </c>
      <c r="C27" s="24">
        <v>0</v>
      </c>
      <c r="D27" s="39"/>
      <c r="E27" s="26">
        <v>44733</v>
      </c>
      <c r="F27" s="27">
        <v>81627</v>
      </c>
      <c r="H27" s="28">
        <v>44733</v>
      </c>
      <c r="I27" s="29">
        <v>43</v>
      </c>
      <c r="J27" s="65"/>
      <c r="K27" s="66"/>
      <c r="L27" s="64"/>
      <c r="M27" s="30">
        <f>20000+61584</f>
        <v>81584</v>
      </c>
      <c r="N27" s="31">
        <v>0</v>
      </c>
      <c r="P27" s="32">
        <f t="shared" si="0"/>
        <v>81627</v>
      </c>
      <c r="Q27" s="12">
        <f t="shared" si="1"/>
        <v>0</v>
      </c>
      <c r="R27" s="8"/>
    </row>
    <row r="28" spans="1:18" ht="18" thickBot="1" x14ac:dyDescent="0.35">
      <c r="A28" s="22"/>
      <c r="B28" s="23">
        <v>44734</v>
      </c>
      <c r="C28" s="24">
        <v>4031</v>
      </c>
      <c r="D28" s="39" t="s">
        <v>312</v>
      </c>
      <c r="E28" s="26">
        <v>44734</v>
      </c>
      <c r="F28" s="27">
        <v>39410</v>
      </c>
      <c r="H28" s="28">
        <v>44734</v>
      </c>
      <c r="I28" s="29">
        <v>100</v>
      </c>
      <c r="J28" s="67"/>
      <c r="K28" s="68"/>
      <c r="L28" s="64"/>
      <c r="M28" s="30">
        <v>35279</v>
      </c>
      <c r="N28" s="31">
        <v>0</v>
      </c>
      <c r="P28" s="32">
        <f t="shared" si="0"/>
        <v>39410</v>
      </c>
      <c r="Q28" s="12">
        <f t="shared" si="1"/>
        <v>0</v>
      </c>
      <c r="R28" s="8"/>
    </row>
    <row r="29" spans="1:18" ht="18" thickBot="1" x14ac:dyDescent="0.35">
      <c r="A29" s="22"/>
      <c r="B29" s="23">
        <v>44735</v>
      </c>
      <c r="C29" s="24">
        <v>0</v>
      </c>
      <c r="D29" s="69"/>
      <c r="E29" s="26">
        <v>44735</v>
      </c>
      <c r="F29" s="27">
        <v>98023</v>
      </c>
      <c r="H29" s="28">
        <v>44735</v>
      </c>
      <c r="I29" s="29">
        <v>91</v>
      </c>
      <c r="J29" s="65"/>
      <c r="K29" s="70"/>
      <c r="L29" s="64"/>
      <c r="M29" s="30">
        <f>50000+47932</f>
        <v>97932</v>
      </c>
      <c r="N29" s="31">
        <v>0</v>
      </c>
      <c r="P29" s="32">
        <f t="shared" si="0"/>
        <v>98023</v>
      </c>
      <c r="Q29" s="12">
        <f t="shared" si="1"/>
        <v>0</v>
      </c>
      <c r="R29" s="8"/>
    </row>
    <row r="30" spans="1:18" ht="18" thickBot="1" x14ac:dyDescent="0.35">
      <c r="A30" s="22"/>
      <c r="B30" s="23">
        <v>44736</v>
      </c>
      <c r="C30" s="24">
        <v>21294</v>
      </c>
      <c r="D30" s="69" t="s">
        <v>359</v>
      </c>
      <c r="E30" s="26">
        <v>44736</v>
      </c>
      <c r="F30" s="27">
        <v>74310</v>
      </c>
      <c r="H30" s="28">
        <v>44736</v>
      </c>
      <c r="I30" s="29">
        <v>81</v>
      </c>
      <c r="J30" s="71"/>
      <c r="K30" s="72"/>
      <c r="L30" s="73"/>
      <c r="M30" s="30">
        <f>30000+22655</f>
        <v>52655</v>
      </c>
      <c r="N30" s="31">
        <v>280</v>
      </c>
      <c r="P30" s="32">
        <f t="shared" si="0"/>
        <v>74310</v>
      </c>
      <c r="Q30" s="12">
        <f t="shared" si="1"/>
        <v>0</v>
      </c>
      <c r="R30" s="8"/>
    </row>
    <row r="31" spans="1:18" ht="18" thickBot="1" x14ac:dyDescent="0.35">
      <c r="A31" s="22"/>
      <c r="B31" s="23">
        <v>44737</v>
      </c>
      <c r="C31" s="24">
        <v>0</v>
      </c>
      <c r="D31" s="81"/>
      <c r="E31" s="26">
        <v>44737</v>
      </c>
      <c r="F31" s="27">
        <v>120166</v>
      </c>
      <c r="H31" s="28">
        <v>44737</v>
      </c>
      <c r="I31" s="29">
        <v>127</v>
      </c>
      <c r="J31" s="71">
        <v>44737</v>
      </c>
      <c r="K31" s="74" t="s">
        <v>360</v>
      </c>
      <c r="L31" s="75">
        <v>8800</v>
      </c>
      <c r="M31" s="30">
        <f>54179+50000</f>
        <v>104179</v>
      </c>
      <c r="N31" s="31">
        <v>7060</v>
      </c>
      <c r="P31" s="32">
        <f t="shared" si="0"/>
        <v>120166</v>
      </c>
      <c r="Q31" s="12">
        <f t="shared" si="1"/>
        <v>0</v>
      </c>
      <c r="R31" s="8"/>
    </row>
    <row r="32" spans="1:18" ht="18" thickBot="1" x14ac:dyDescent="0.35">
      <c r="A32" s="22"/>
      <c r="B32" s="23">
        <v>44738</v>
      </c>
      <c r="C32" s="24">
        <v>0</v>
      </c>
      <c r="D32" s="76"/>
      <c r="E32" s="26">
        <v>44738</v>
      </c>
      <c r="F32" s="27">
        <v>107843</v>
      </c>
      <c r="H32" s="28">
        <v>44738</v>
      </c>
      <c r="I32" s="29">
        <v>46</v>
      </c>
      <c r="J32" s="71"/>
      <c r="K32" s="72"/>
      <c r="L32" s="73"/>
      <c r="M32" s="30">
        <f>90000+14200</f>
        <v>104200</v>
      </c>
      <c r="N32" s="31">
        <v>3597</v>
      </c>
      <c r="P32" s="32">
        <f t="shared" si="0"/>
        <v>107843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>
        <v>44739</v>
      </c>
      <c r="C33" s="24">
        <v>0</v>
      </c>
      <c r="D33" s="77"/>
      <c r="E33" s="26">
        <v>44739</v>
      </c>
      <c r="F33" s="27">
        <v>44190</v>
      </c>
      <c r="H33" s="28">
        <v>44739</v>
      </c>
      <c r="I33" s="29">
        <v>77</v>
      </c>
      <c r="J33" s="71"/>
      <c r="K33" s="74"/>
      <c r="L33" s="78"/>
      <c r="M33" s="30">
        <f>14000+30113</f>
        <v>44113</v>
      </c>
      <c r="N33" s="31">
        <v>0</v>
      </c>
      <c r="P33" s="32">
        <f t="shared" si="0"/>
        <v>44190</v>
      </c>
      <c r="Q33" s="12">
        <f t="shared" si="1"/>
        <v>0</v>
      </c>
      <c r="R33" s="8"/>
    </row>
    <row r="34" spans="1:18" ht="18" thickBot="1" x14ac:dyDescent="0.35">
      <c r="A34" s="22"/>
      <c r="B34" s="23">
        <v>44740</v>
      </c>
      <c r="C34" s="24">
        <v>0</v>
      </c>
      <c r="D34" s="76"/>
      <c r="E34" s="26">
        <v>44740</v>
      </c>
      <c r="F34" s="27">
        <v>78249</v>
      </c>
      <c r="H34" s="28">
        <v>44740</v>
      </c>
      <c r="I34" s="29">
        <v>94</v>
      </c>
      <c r="J34" s="71"/>
      <c r="K34" s="79"/>
      <c r="L34" s="80"/>
      <c r="M34" s="30">
        <f>20+53155+25000</f>
        <v>78175</v>
      </c>
      <c r="N34" s="31">
        <v>0</v>
      </c>
      <c r="P34" s="32">
        <f t="shared" si="0"/>
        <v>78269</v>
      </c>
      <c r="Q34" s="12">
        <f t="shared" si="1"/>
        <v>20</v>
      </c>
      <c r="R34" s="8" t="s">
        <v>8</v>
      </c>
    </row>
    <row r="35" spans="1:18" ht="18" thickBot="1" x14ac:dyDescent="0.35">
      <c r="A35" s="22"/>
      <c r="B35" s="23">
        <v>44741</v>
      </c>
      <c r="C35" s="24">
        <v>2200</v>
      </c>
      <c r="D35" s="81" t="s">
        <v>312</v>
      </c>
      <c r="E35" s="26">
        <v>44741</v>
      </c>
      <c r="F35" s="27">
        <v>37880</v>
      </c>
      <c r="H35" s="28">
        <v>44741</v>
      </c>
      <c r="I35" s="29">
        <v>163</v>
      </c>
      <c r="J35" s="71"/>
      <c r="K35" s="74"/>
      <c r="L35" s="78"/>
      <c r="M35" s="30">
        <f>15000+20517</f>
        <v>35517</v>
      </c>
      <c r="N35" s="31">
        <v>0</v>
      </c>
      <c r="P35" s="32">
        <f t="shared" si="0"/>
        <v>37880</v>
      </c>
      <c r="Q35" s="12">
        <f t="shared" si="1"/>
        <v>0</v>
      </c>
      <c r="R35" s="8"/>
    </row>
    <row r="36" spans="1:18" ht="18" thickBot="1" x14ac:dyDescent="0.35">
      <c r="A36" s="22"/>
      <c r="B36" s="23">
        <v>44742</v>
      </c>
      <c r="C36" s="24">
        <v>0</v>
      </c>
      <c r="D36" s="82"/>
      <c r="E36" s="26">
        <v>44742</v>
      </c>
      <c r="F36" s="27">
        <v>86524</v>
      </c>
      <c r="H36" s="28">
        <v>44742</v>
      </c>
      <c r="I36" s="29">
        <v>105</v>
      </c>
      <c r="J36" s="71"/>
      <c r="K36" s="213"/>
      <c r="L36" s="78"/>
      <c r="M36" s="30">
        <f>35000+47826</f>
        <v>82826</v>
      </c>
      <c r="N36" s="31">
        <v>3593</v>
      </c>
      <c r="P36" s="32">
        <f t="shared" si="0"/>
        <v>86524</v>
      </c>
      <c r="Q36" s="12">
        <f t="shared" si="1"/>
        <v>0</v>
      </c>
      <c r="R36" s="8"/>
    </row>
    <row r="37" spans="1:18" ht="18" thickBot="1" x14ac:dyDescent="0.35">
      <c r="A37" s="22"/>
      <c r="B37" s="23">
        <v>44743</v>
      </c>
      <c r="C37" s="24">
        <v>0</v>
      </c>
      <c r="D37" s="76"/>
      <c r="E37" s="26">
        <v>44743</v>
      </c>
      <c r="F37" s="27">
        <v>115519</v>
      </c>
      <c r="H37" s="28">
        <v>44743</v>
      </c>
      <c r="I37" s="29">
        <v>57</v>
      </c>
      <c r="J37" s="71"/>
      <c r="K37" s="74"/>
      <c r="L37" s="78"/>
      <c r="M37" s="30">
        <f>25000+60000+28073</f>
        <v>113073</v>
      </c>
      <c r="N37" s="31">
        <v>2389</v>
      </c>
      <c r="P37" s="32">
        <f t="shared" si="0"/>
        <v>115519</v>
      </c>
      <c r="Q37" s="12">
        <f t="shared" si="1"/>
        <v>0</v>
      </c>
    </row>
    <row r="38" spans="1:18" ht="18" thickBot="1" x14ac:dyDescent="0.35">
      <c r="A38" s="22"/>
      <c r="B38" s="23">
        <v>44744</v>
      </c>
      <c r="C38" s="24">
        <v>20</v>
      </c>
      <c r="D38" s="77"/>
      <c r="E38" s="26">
        <v>44744</v>
      </c>
      <c r="F38" s="27">
        <v>94262</v>
      </c>
      <c r="H38" s="28">
        <v>44744</v>
      </c>
      <c r="I38" s="29">
        <v>18</v>
      </c>
      <c r="J38" s="71">
        <v>44744</v>
      </c>
      <c r="K38" s="40" t="s">
        <v>361</v>
      </c>
      <c r="L38" s="78">
        <v>9257</v>
      </c>
      <c r="M38" s="30">
        <f>40000+34953</f>
        <v>74953</v>
      </c>
      <c r="N38" s="31">
        <v>10014</v>
      </c>
      <c r="P38" s="32">
        <f t="shared" si="0"/>
        <v>94262</v>
      </c>
      <c r="Q38" s="12">
        <f t="shared" si="1"/>
        <v>0</v>
      </c>
    </row>
    <row r="39" spans="1:18" ht="18" thickBot="1" x14ac:dyDescent="0.35">
      <c r="A39" s="22"/>
      <c r="B39" s="23">
        <v>44745</v>
      </c>
      <c r="C39" s="24">
        <v>0</v>
      </c>
      <c r="D39" s="77"/>
      <c r="E39" s="26">
        <v>44745</v>
      </c>
      <c r="F39" s="83">
        <v>148947</v>
      </c>
      <c r="H39" s="28">
        <v>44745</v>
      </c>
      <c r="I39" s="29">
        <v>0</v>
      </c>
      <c r="J39" s="71">
        <v>44745</v>
      </c>
      <c r="K39" s="266" t="s">
        <v>362</v>
      </c>
      <c r="L39" s="73">
        <v>286</v>
      </c>
      <c r="M39" s="30">
        <f>90000+45000+11189</f>
        <v>146189</v>
      </c>
      <c r="N39" s="31">
        <v>2472</v>
      </c>
      <c r="P39" s="32">
        <f t="shared" si="0"/>
        <v>148947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16">
        <f>SUM(M5:M39)</f>
        <v>2772689</v>
      </c>
      <c r="N40" s="418">
        <f>SUM(N5:N39)</f>
        <v>107354</v>
      </c>
      <c r="P40" s="32">
        <f>SUM(P5:P39)</f>
        <v>3030685</v>
      </c>
      <c r="Q40" s="12">
        <f t="shared" si="1"/>
        <v>3030685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 t="s">
        <v>375</v>
      </c>
      <c r="K41" s="235" t="s">
        <v>204</v>
      </c>
      <c r="L41" s="73">
        <v>638.99</v>
      </c>
      <c r="M41" s="417"/>
      <c r="N41" s="419"/>
      <c r="P41" s="32"/>
      <c r="Q41" s="8"/>
    </row>
    <row r="42" spans="1:18" ht="17.25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 t="s">
        <v>375</v>
      </c>
      <c r="K42" s="74" t="s">
        <v>376</v>
      </c>
      <c r="L42" s="78">
        <v>928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 t="s">
        <v>375</v>
      </c>
      <c r="K43" s="74" t="s">
        <v>205</v>
      </c>
      <c r="L43" s="78">
        <v>1392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 t="s">
        <v>375</v>
      </c>
      <c r="K44" s="132" t="s">
        <v>377</v>
      </c>
      <c r="L44" s="78">
        <v>1907.04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 t="s">
        <v>375</v>
      </c>
      <c r="K45" s="287" t="s">
        <v>378</v>
      </c>
      <c r="L45" s="78">
        <f>4043.82+481.97+22.39</f>
        <v>4548.18</v>
      </c>
      <c r="M45" s="94"/>
      <c r="N45" s="95"/>
      <c r="P45" s="32"/>
      <c r="Q45" s="8"/>
    </row>
    <row r="46" spans="1:18" ht="18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 t="s">
        <v>379</v>
      </c>
      <c r="K46" s="282" t="s">
        <v>204</v>
      </c>
      <c r="L46" s="78">
        <v>927.48</v>
      </c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100292</v>
      </c>
      <c r="D51" s="103"/>
      <c r="E51" s="104" t="s">
        <v>9</v>
      </c>
      <c r="F51" s="105">
        <f>SUM(F5:F50)</f>
        <v>3005532</v>
      </c>
      <c r="G51" s="103"/>
      <c r="H51" s="106" t="s">
        <v>10</v>
      </c>
      <c r="I51" s="107">
        <f>SUM(I5:I50)</f>
        <v>2774</v>
      </c>
      <c r="J51" s="108"/>
      <c r="K51" s="109" t="s">
        <v>11</v>
      </c>
      <c r="L51" s="110">
        <f>SUM(L5:L50)</f>
        <v>57917.69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20" t="s">
        <v>12</v>
      </c>
      <c r="I53" s="421"/>
      <c r="J53" s="114"/>
      <c r="K53" s="422">
        <f>I51+L51</f>
        <v>60691.69</v>
      </c>
      <c r="L53" s="423"/>
      <c r="M53" s="424">
        <f>N40+M40</f>
        <v>2880043</v>
      </c>
      <c r="N53" s="425"/>
      <c r="P53" s="32"/>
      <c r="Q53" s="8"/>
    </row>
    <row r="54" spans="1:17" ht="15.75" x14ac:dyDescent="0.25">
      <c r="D54" s="426" t="s">
        <v>13</v>
      </c>
      <c r="E54" s="426"/>
      <c r="F54" s="115">
        <f>F51-K53-C51</f>
        <v>2844548.31</v>
      </c>
      <c r="I54" s="116"/>
      <c r="J54" s="117"/>
      <c r="P54" s="32"/>
      <c r="Q54" s="8"/>
    </row>
    <row r="55" spans="1:17" ht="18.75" x14ac:dyDescent="0.3">
      <c r="D55" s="427" t="s">
        <v>14</v>
      </c>
      <c r="E55" s="427"/>
      <c r="F55" s="111">
        <v>-2875380.48</v>
      </c>
      <c r="I55" s="428" t="s">
        <v>15</v>
      </c>
      <c r="J55" s="429"/>
      <c r="K55" s="430">
        <f>F57+F58+F59</f>
        <v>247554.74000000008</v>
      </c>
      <c r="L55" s="43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-30832.169999999925</v>
      </c>
      <c r="H57" s="22"/>
      <c r="I57" s="124" t="s">
        <v>17</v>
      </c>
      <c r="J57" s="125"/>
      <c r="K57" s="432">
        <f>-C4</f>
        <v>-149938.81</v>
      </c>
      <c r="L57" s="433"/>
    </row>
    <row r="58" spans="1:17" ht="16.5" thickBot="1" x14ac:dyDescent="0.3">
      <c r="D58" s="126" t="s">
        <v>18</v>
      </c>
      <c r="E58" s="33" t="s">
        <v>19</v>
      </c>
      <c r="F58" s="127">
        <v>46221</v>
      </c>
    </row>
    <row r="59" spans="1:17" ht="20.25" thickTop="1" thickBot="1" x14ac:dyDescent="0.35">
      <c r="C59" s="128">
        <v>44745</v>
      </c>
      <c r="D59" s="409" t="s">
        <v>20</v>
      </c>
      <c r="E59" s="410"/>
      <c r="F59" s="129">
        <v>232165.91</v>
      </c>
      <c r="I59" s="411" t="s">
        <v>168</v>
      </c>
      <c r="J59" s="412"/>
      <c r="K59" s="413">
        <f>K55+K57</f>
        <v>97615.93000000008</v>
      </c>
      <c r="L59" s="41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B7:C9">
    <sortCondition ref="B7:B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6.14062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44711</v>
      </c>
      <c r="B3" s="255" t="s">
        <v>327</v>
      </c>
      <c r="C3" s="256">
        <v>180946.3</v>
      </c>
      <c r="D3" s="278">
        <v>44715</v>
      </c>
      <c r="E3" s="279">
        <v>180946.3</v>
      </c>
      <c r="F3" s="152">
        <f>C3-E3</f>
        <v>0</v>
      </c>
      <c r="J3" s="127"/>
    </row>
    <row r="4" spans="1:10" ht="15.75" x14ac:dyDescent="0.25">
      <c r="A4" s="257">
        <v>44711</v>
      </c>
      <c r="B4" s="258" t="s">
        <v>328</v>
      </c>
      <c r="C4" s="127">
        <v>1893.9</v>
      </c>
      <c r="D4" s="278">
        <v>44715</v>
      </c>
      <c r="E4" s="274">
        <v>1893.9</v>
      </c>
      <c r="F4" s="188">
        <f>C4-E4+F3</f>
        <v>0</v>
      </c>
      <c r="J4" s="256"/>
    </row>
    <row r="5" spans="1:10" ht="15.75" x14ac:dyDescent="0.25">
      <c r="A5" s="257">
        <v>44712</v>
      </c>
      <c r="B5" s="258" t="s">
        <v>329</v>
      </c>
      <c r="C5" s="127">
        <v>19341.099999999999</v>
      </c>
      <c r="D5" s="278">
        <v>44715</v>
      </c>
      <c r="E5" s="274">
        <v>19341.099999999999</v>
      </c>
      <c r="F5" s="188">
        <f t="shared" ref="F5:F28" si="0">C5-E5+F4</f>
        <v>0</v>
      </c>
      <c r="J5" s="127"/>
    </row>
    <row r="6" spans="1:10" ht="18.75" x14ac:dyDescent="0.3">
      <c r="A6" s="257">
        <v>44713</v>
      </c>
      <c r="B6" s="258" t="s">
        <v>330</v>
      </c>
      <c r="C6" s="127">
        <v>138862.93</v>
      </c>
      <c r="D6" s="278">
        <v>44715</v>
      </c>
      <c r="E6" s="274">
        <v>138862.93</v>
      </c>
      <c r="F6" s="188">
        <f t="shared" si="0"/>
        <v>0</v>
      </c>
      <c r="G6" s="156"/>
      <c r="J6" s="127"/>
    </row>
    <row r="7" spans="1:10" ht="15.75" x14ac:dyDescent="0.25">
      <c r="A7" s="257">
        <v>44714</v>
      </c>
      <c r="B7" s="258" t="s">
        <v>331</v>
      </c>
      <c r="C7" s="127">
        <v>92111.02</v>
      </c>
      <c r="D7" s="278">
        <v>44715</v>
      </c>
      <c r="E7" s="274">
        <v>92111.02</v>
      </c>
      <c r="F7" s="188">
        <f t="shared" si="0"/>
        <v>0</v>
      </c>
      <c r="J7" s="127"/>
    </row>
    <row r="8" spans="1:10" ht="15.75" x14ac:dyDescent="0.25">
      <c r="A8" s="257">
        <v>44715</v>
      </c>
      <c r="B8" s="258" t="s">
        <v>332</v>
      </c>
      <c r="C8" s="127">
        <v>124289.28</v>
      </c>
      <c r="D8" s="259">
        <v>44722</v>
      </c>
      <c r="E8" s="127">
        <v>124289.28</v>
      </c>
      <c r="F8" s="188">
        <f t="shared" si="0"/>
        <v>0</v>
      </c>
      <c r="J8" s="127"/>
    </row>
    <row r="9" spans="1:10" ht="15.75" x14ac:dyDescent="0.25">
      <c r="A9" s="257">
        <v>44716</v>
      </c>
      <c r="B9" s="258" t="s">
        <v>333</v>
      </c>
      <c r="C9" s="127">
        <v>79461.100000000006</v>
      </c>
      <c r="D9" s="259">
        <v>44722</v>
      </c>
      <c r="E9" s="127">
        <v>79461.100000000006</v>
      </c>
      <c r="F9" s="188">
        <f t="shared" si="0"/>
        <v>0</v>
      </c>
      <c r="J9" s="127"/>
    </row>
    <row r="10" spans="1:10" ht="15.75" x14ac:dyDescent="0.25">
      <c r="A10" s="257">
        <v>44716</v>
      </c>
      <c r="B10" s="258" t="s">
        <v>334</v>
      </c>
      <c r="C10" s="127">
        <v>3658</v>
      </c>
      <c r="D10" s="259">
        <v>44722</v>
      </c>
      <c r="E10" s="127">
        <v>3658</v>
      </c>
      <c r="F10" s="188">
        <f t="shared" si="0"/>
        <v>0</v>
      </c>
      <c r="J10" s="33">
        <v>0</v>
      </c>
    </row>
    <row r="11" spans="1:10" ht="15.75" x14ac:dyDescent="0.25">
      <c r="A11" s="257">
        <v>44718</v>
      </c>
      <c r="B11" s="258" t="s">
        <v>335</v>
      </c>
      <c r="C11" s="127">
        <v>3089.44</v>
      </c>
      <c r="D11" s="259">
        <v>44722</v>
      </c>
      <c r="E11" s="127">
        <v>3089.44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44718</v>
      </c>
      <c r="B12" s="258" t="s">
        <v>336</v>
      </c>
      <c r="C12" s="127">
        <v>93919.32</v>
      </c>
      <c r="D12" s="259">
        <v>44722</v>
      </c>
      <c r="E12" s="127">
        <v>93919.32</v>
      </c>
      <c r="F12" s="188">
        <f t="shared" si="0"/>
        <v>0</v>
      </c>
      <c r="G12" s="156"/>
    </row>
    <row r="13" spans="1:10" ht="15.75" x14ac:dyDescent="0.25">
      <c r="A13" s="257">
        <v>44718</v>
      </c>
      <c r="B13" s="258" t="s">
        <v>337</v>
      </c>
      <c r="C13" s="127">
        <v>8582.7000000000007</v>
      </c>
      <c r="D13" s="259">
        <v>44722</v>
      </c>
      <c r="E13" s="127">
        <v>8582.7000000000007</v>
      </c>
      <c r="F13" s="188">
        <f t="shared" si="0"/>
        <v>0</v>
      </c>
    </row>
    <row r="14" spans="1:10" ht="15.75" x14ac:dyDescent="0.25">
      <c r="A14" s="257">
        <v>44719</v>
      </c>
      <c r="B14" s="258" t="s">
        <v>338</v>
      </c>
      <c r="C14" s="127">
        <v>46680.3</v>
      </c>
      <c r="D14" s="259">
        <v>44722</v>
      </c>
      <c r="E14" s="127">
        <v>46680.3</v>
      </c>
      <c r="F14" s="188">
        <f t="shared" si="0"/>
        <v>0</v>
      </c>
    </row>
    <row r="15" spans="1:10" ht="15.75" x14ac:dyDescent="0.25">
      <c r="A15" s="257">
        <v>44720</v>
      </c>
      <c r="B15" s="258" t="s">
        <v>339</v>
      </c>
      <c r="C15" s="127">
        <v>112979.51</v>
      </c>
      <c r="D15" s="259">
        <v>44722</v>
      </c>
      <c r="E15" s="127">
        <v>112979.51</v>
      </c>
      <c r="F15" s="188">
        <f t="shared" si="0"/>
        <v>0</v>
      </c>
    </row>
    <row r="16" spans="1:10" ht="15.75" x14ac:dyDescent="0.25">
      <c r="A16" s="257">
        <v>44721</v>
      </c>
      <c r="B16" s="258" t="s">
        <v>340</v>
      </c>
      <c r="C16" s="127">
        <v>132421.28</v>
      </c>
      <c r="D16" s="259">
        <v>44722</v>
      </c>
      <c r="E16" s="127">
        <v>132421.28</v>
      </c>
      <c r="F16" s="188">
        <f t="shared" si="0"/>
        <v>0</v>
      </c>
    </row>
    <row r="17" spans="1:7" ht="15.75" x14ac:dyDescent="0.25">
      <c r="A17" s="257">
        <v>44722</v>
      </c>
      <c r="B17" s="258" t="s">
        <v>345</v>
      </c>
      <c r="C17" s="127">
        <v>6456</v>
      </c>
      <c r="D17" s="259">
        <v>44722</v>
      </c>
      <c r="E17" s="127">
        <v>6456</v>
      </c>
      <c r="F17" s="188">
        <f t="shared" si="0"/>
        <v>0</v>
      </c>
    </row>
    <row r="18" spans="1:7" ht="15.75" x14ac:dyDescent="0.25">
      <c r="A18" s="257">
        <v>44723</v>
      </c>
      <c r="B18" s="258" t="s">
        <v>346</v>
      </c>
      <c r="C18" s="127">
        <v>141561.31</v>
      </c>
      <c r="D18" s="259">
        <v>44729</v>
      </c>
      <c r="E18" s="127">
        <v>141561.31</v>
      </c>
      <c r="F18" s="188">
        <f t="shared" si="0"/>
        <v>0</v>
      </c>
    </row>
    <row r="19" spans="1:7" ht="15.75" x14ac:dyDescent="0.25">
      <c r="A19" s="257">
        <v>44725</v>
      </c>
      <c r="B19" s="258" t="s">
        <v>347</v>
      </c>
      <c r="C19" s="127">
        <v>88357.89</v>
      </c>
      <c r="D19" s="295">
        <v>44729</v>
      </c>
      <c r="E19" s="294">
        <v>88357.89</v>
      </c>
      <c r="F19" s="188">
        <f t="shared" si="0"/>
        <v>0</v>
      </c>
    </row>
    <row r="20" spans="1:7" ht="15.75" x14ac:dyDescent="0.25">
      <c r="A20" s="257">
        <v>44725</v>
      </c>
      <c r="B20" s="258" t="s">
        <v>348</v>
      </c>
      <c r="C20" s="127">
        <v>1800</v>
      </c>
      <c r="D20" s="295">
        <v>44729</v>
      </c>
      <c r="E20" s="294">
        <v>1800</v>
      </c>
      <c r="F20" s="188">
        <f t="shared" si="0"/>
        <v>0</v>
      </c>
    </row>
    <row r="21" spans="1:7" ht="15.75" x14ac:dyDescent="0.25">
      <c r="A21" s="257">
        <v>44726</v>
      </c>
      <c r="B21" s="258" t="s">
        <v>349</v>
      </c>
      <c r="C21" s="127">
        <v>124846.39999999999</v>
      </c>
      <c r="D21" s="295">
        <v>44729</v>
      </c>
      <c r="E21" s="294">
        <v>124846.39999999999</v>
      </c>
      <c r="F21" s="188">
        <f t="shared" si="0"/>
        <v>0</v>
      </c>
    </row>
    <row r="22" spans="1:7" ht="15.75" x14ac:dyDescent="0.25">
      <c r="A22" s="257">
        <v>44727</v>
      </c>
      <c r="B22" s="258" t="s">
        <v>350</v>
      </c>
      <c r="C22" s="127">
        <v>30517.4</v>
      </c>
      <c r="D22" s="295">
        <v>44729</v>
      </c>
      <c r="E22" s="294">
        <v>30517.4</v>
      </c>
      <c r="F22" s="188">
        <f t="shared" si="0"/>
        <v>0</v>
      </c>
    </row>
    <row r="23" spans="1:7" ht="15.75" x14ac:dyDescent="0.25">
      <c r="A23" s="257">
        <v>44728</v>
      </c>
      <c r="B23" s="258" t="s">
        <v>351</v>
      </c>
      <c r="C23" s="127">
        <v>105168.4</v>
      </c>
      <c r="D23" s="295">
        <v>44729</v>
      </c>
      <c r="E23" s="294">
        <v>105168.4</v>
      </c>
      <c r="F23" s="188">
        <f t="shared" si="0"/>
        <v>0</v>
      </c>
    </row>
    <row r="24" spans="1:7" ht="18.75" x14ac:dyDescent="0.3">
      <c r="A24" s="257">
        <v>44728</v>
      </c>
      <c r="B24" s="258" t="s">
        <v>352</v>
      </c>
      <c r="C24" s="127">
        <v>1901.8</v>
      </c>
      <c r="D24" s="295">
        <v>44729</v>
      </c>
      <c r="E24" s="294">
        <v>1901.8</v>
      </c>
      <c r="F24" s="188">
        <f t="shared" si="0"/>
        <v>0</v>
      </c>
      <c r="G24" s="156"/>
    </row>
    <row r="25" spans="1:7" ht="15.75" x14ac:dyDescent="0.25">
      <c r="A25" s="257">
        <v>44729</v>
      </c>
      <c r="B25" s="258" t="s">
        <v>353</v>
      </c>
      <c r="C25" s="127">
        <v>21748.2</v>
      </c>
      <c r="D25" s="295">
        <v>44729</v>
      </c>
      <c r="E25" s="294">
        <v>21748.2</v>
      </c>
      <c r="F25" s="188">
        <f t="shared" si="0"/>
        <v>0</v>
      </c>
    </row>
    <row r="26" spans="1:7" ht="15.75" x14ac:dyDescent="0.25">
      <c r="A26" s="257">
        <v>44729</v>
      </c>
      <c r="B26" s="258" t="s">
        <v>354</v>
      </c>
      <c r="C26" s="127">
        <v>63869.33</v>
      </c>
      <c r="D26" s="295">
        <v>44729</v>
      </c>
      <c r="E26" s="294">
        <v>63869.33</v>
      </c>
      <c r="F26" s="188">
        <f t="shared" si="0"/>
        <v>0</v>
      </c>
    </row>
    <row r="27" spans="1:7" ht="18.75" customHeight="1" x14ac:dyDescent="0.25">
      <c r="A27" s="257">
        <v>44729</v>
      </c>
      <c r="B27" s="258" t="s">
        <v>355</v>
      </c>
      <c r="C27" s="127">
        <v>2726.4</v>
      </c>
      <c r="D27" s="295">
        <v>44729</v>
      </c>
      <c r="E27" s="294">
        <v>2726.4</v>
      </c>
      <c r="F27" s="188">
        <f t="shared" si="0"/>
        <v>0</v>
      </c>
    </row>
    <row r="28" spans="1:7" ht="18.75" customHeight="1" x14ac:dyDescent="0.25">
      <c r="A28" s="257">
        <v>44730</v>
      </c>
      <c r="B28" s="258" t="s">
        <v>363</v>
      </c>
      <c r="C28" s="127">
        <v>144028.64000000001</v>
      </c>
      <c r="D28" s="259">
        <v>44736</v>
      </c>
      <c r="E28" s="127">
        <v>144028.64000000001</v>
      </c>
      <c r="F28" s="188">
        <f t="shared" si="0"/>
        <v>0</v>
      </c>
    </row>
    <row r="29" spans="1:7" ht="18.75" customHeight="1" x14ac:dyDescent="0.25">
      <c r="A29" s="257">
        <v>44732</v>
      </c>
      <c r="B29" s="258" t="s">
        <v>364</v>
      </c>
      <c r="C29" s="127">
        <v>131512.62</v>
      </c>
      <c r="D29" s="259">
        <v>44736</v>
      </c>
      <c r="E29" s="127">
        <v>131512.62</v>
      </c>
      <c r="F29" s="188">
        <f>C29-E29+F28</f>
        <v>0</v>
      </c>
    </row>
    <row r="30" spans="1:7" ht="18.75" customHeight="1" x14ac:dyDescent="0.25">
      <c r="A30" s="257">
        <v>44733</v>
      </c>
      <c r="B30" s="258" t="s">
        <v>365</v>
      </c>
      <c r="C30" s="127">
        <v>66859.600000000006</v>
      </c>
      <c r="D30" s="259">
        <v>44736</v>
      </c>
      <c r="E30" s="127">
        <v>66859.600000000006</v>
      </c>
      <c r="F30" s="188">
        <f t="shared" ref="F30:F78" si="1">C30-E30+F29</f>
        <v>0</v>
      </c>
    </row>
    <row r="31" spans="1:7" ht="18.75" customHeight="1" x14ac:dyDescent="0.25">
      <c r="A31" s="257">
        <v>44734</v>
      </c>
      <c r="B31" s="258" t="s">
        <v>366</v>
      </c>
      <c r="C31" s="127">
        <v>42136.6</v>
      </c>
      <c r="D31" s="259">
        <v>44736</v>
      </c>
      <c r="E31" s="127">
        <v>42136.6</v>
      </c>
      <c r="F31" s="188">
        <f t="shared" si="1"/>
        <v>0</v>
      </c>
    </row>
    <row r="32" spans="1:7" ht="18.75" customHeight="1" x14ac:dyDescent="0.3">
      <c r="A32" s="257">
        <v>44735</v>
      </c>
      <c r="B32" s="258" t="s">
        <v>367</v>
      </c>
      <c r="C32" s="127">
        <v>138883.07999999999</v>
      </c>
      <c r="D32" s="259">
        <v>44736</v>
      </c>
      <c r="E32" s="127">
        <v>138883.07999999999</v>
      </c>
      <c r="F32" s="188">
        <f t="shared" si="1"/>
        <v>0</v>
      </c>
      <c r="G32" s="156"/>
    </row>
    <row r="33" spans="1:6" ht="18.75" customHeight="1" x14ac:dyDescent="0.25">
      <c r="A33" s="257">
        <v>44737</v>
      </c>
      <c r="B33" s="258" t="s">
        <v>368</v>
      </c>
      <c r="C33" s="127">
        <v>181425.6</v>
      </c>
      <c r="D33" s="297">
        <v>44743</v>
      </c>
      <c r="E33" s="296">
        <v>181425.6</v>
      </c>
      <c r="F33" s="188">
        <f t="shared" si="1"/>
        <v>0</v>
      </c>
    </row>
    <row r="34" spans="1:6" ht="18.75" customHeight="1" x14ac:dyDescent="0.25">
      <c r="A34" s="257">
        <v>44737</v>
      </c>
      <c r="B34" s="258" t="s">
        <v>369</v>
      </c>
      <c r="C34" s="127">
        <v>6873.3</v>
      </c>
      <c r="D34" s="297">
        <v>44743</v>
      </c>
      <c r="E34" s="296">
        <v>6873.3</v>
      </c>
      <c r="F34" s="188">
        <f t="shared" si="1"/>
        <v>0</v>
      </c>
    </row>
    <row r="35" spans="1:6" ht="18.75" customHeight="1" x14ac:dyDescent="0.25">
      <c r="A35" s="257">
        <v>44739</v>
      </c>
      <c r="B35" s="258" t="s">
        <v>370</v>
      </c>
      <c r="C35" s="127">
        <v>41033.42</v>
      </c>
      <c r="D35" s="297">
        <v>44743</v>
      </c>
      <c r="E35" s="296">
        <v>41033.42</v>
      </c>
      <c r="F35" s="188">
        <f t="shared" si="1"/>
        <v>0</v>
      </c>
    </row>
    <row r="36" spans="1:6" ht="18.75" customHeight="1" x14ac:dyDescent="0.25">
      <c r="A36" s="257">
        <v>44740</v>
      </c>
      <c r="B36" s="258" t="s">
        <v>371</v>
      </c>
      <c r="C36" s="127">
        <v>133753.5</v>
      </c>
      <c r="D36" s="297">
        <v>44743</v>
      </c>
      <c r="E36" s="296">
        <v>133753.5</v>
      </c>
      <c r="F36" s="188">
        <f t="shared" si="1"/>
        <v>0</v>
      </c>
    </row>
    <row r="37" spans="1:6" ht="18.75" customHeight="1" x14ac:dyDescent="0.25">
      <c r="A37" s="257">
        <v>44742</v>
      </c>
      <c r="B37" s="258" t="s">
        <v>372</v>
      </c>
      <c r="C37" s="127">
        <v>132774.54</v>
      </c>
      <c r="D37" s="297">
        <v>44743</v>
      </c>
      <c r="E37" s="296">
        <v>132774.54</v>
      </c>
      <c r="F37" s="188">
        <f t="shared" si="1"/>
        <v>0</v>
      </c>
    </row>
    <row r="38" spans="1:6" ht="18.75" customHeight="1" x14ac:dyDescent="0.25">
      <c r="A38" s="257">
        <v>44743</v>
      </c>
      <c r="B38" s="258" t="s">
        <v>373</v>
      </c>
      <c r="C38" s="127">
        <v>86830.49</v>
      </c>
      <c r="D38" s="276">
        <v>44750</v>
      </c>
      <c r="E38" s="277">
        <v>86830.49</v>
      </c>
      <c r="F38" s="188">
        <f t="shared" si="1"/>
        <v>0</v>
      </c>
    </row>
    <row r="39" spans="1:6" ht="18.75" customHeight="1" x14ac:dyDescent="0.25">
      <c r="A39" s="257">
        <v>44744</v>
      </c>
      <c r="B39" s="258" t="s">
        <v>374</v>
      </c>
      <c r="C39" s="127">
        <v>142079.78</v>
      </c>
      <c r="D39" s="276">
        <v>44750</v>
      </c>
      <c r="E39" s="277">
        <v>142079.78</v>
      </c>
      <c r="F39" s="188">
        <f t="shared" si="1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1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1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1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1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1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1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1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1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2875380.48</v>
      </c>
      <c r="D79" s="181"/>
      <c r="E79" s="170">
        <f>SUM(E3:E78)</f>
        <v>2875380.48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96"/>
      <c r="C1" s="398" t="s">
        <v>380</v>
      </c>
      <c r="D1" s="399"/>
      <c r="E1" s="399"/>
      <c r="F1" s="399"/>
      <c r="G1" s="399"/>
      <c r="H1" s="399"/>
      <c r="I1" s="399"/>
      <c r="J1" s="399"/>
      <c r="K1" s="399"/>
      <c r="L1" s="399"/>
      <c r="M1" s="399"/>
    </row>
    <row r="2" spans="1:21" ht="16.5" thickBot="1" x14ac:dyDescent="0.3">
      <c r="B2" s="397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0" t="s">
        <v>0</v>
      </c>
      <c r="C3" s="401"/>
      <c r="D3" s="9"/>
      <c r="E3" s="10"/>
      <c r="F3" s="10"/>
      <c r="H3" s="402" t="s">
        <v>1</v>
      </c>
      <c r="I3" s="402"/>
      <c r="K3" s="12"/>
      <c r="L3" s="12"/>
      <c r="M3" s="4"/>
      <c r="R3" s="407" t="s">
        <v>38</v>
      </c>
    </row>
    <row r="4" spans="1:21" ht="20.25" thickTop="1" thickBot="1" x14ac:dyDescent="0.35">
      <c r="A4" s="13" t="s">
        <v>2</v>
      </c>
      <c r="B4" s="14"/>
      <c r="C4" s="15">
        <v>232165.91</v>
      </c>
      <c r="D4" s="16">
        <v>44745</v>
      </c>
      <c r="E4" s="403" t="s">
        <v>3</v>
      </c>
      <c r="F4" s="404"/>
      <c r="H4" s="405" t="s">
        <v>4</v>
      </c>
      <c r="I4" s="406"/>
      <c r="J4" s="17"/>
      <c r="K4" s="18"/>
      <c r="L4" s="19"/>
      <c r="M4" s="20" t="s">
        <v>5</v>
      </c>
      <c r="N4" s="21" t="s">
        <v>6</v>
      </c>
      <c r="P4" s="414" t="s">
        <v>7</v>
      </c>
      <c r="Q4" s="415"/>
      <c r="R4" s="408"/>
    </row>
    <row r="5" spans="1:21" ht="18" thickBot="1" x14ac:dyDescent="0.35">
      <c r="A5" s="22" t="s">
        <v>8</v>
      </c>
      <c r="B5" s="23">
        <v>44746</v>
      </c>
      <c r="C5" s="24">
        <v>0</v>
      </c>
      <c r="D5" s="25"/>
      <c r="E5" s="26">
        <v>44746</v>
      </c>
      <c r="F5" s="27">
        <v>75721</v>
      </c>
      <c r="H5" s="28">
        <v>44746</v>
      </c>
      <c r="I5" s="29">
        <v>29</v>
      </c>
      <c r="J5" s="6"/>
      <c r="K5" s="174"/>
      <c r="L5" s="8"/>
      <c r="M5" s="30">
        <f>200+15000+69475</f>
        <v>84675</v>
      </c>
      <c r="N5" s="31">
        <v>0</v>
      </c>
      <c r="P5" s="32">
        <f>N5+M5+L5+I5+C5</f>
        <v>84704</v>
      </c>
      <c r="Q5" s="12">
        <v>0</v>
      </c>
      <c r="R5" s="283">
        <v>8983</v>
      </c>
    </row>
    <row r="6" spans="1:21" ht="18" thickBot="1" x14ac:dyDescent="0.35">
      <c r="A6" s="22"/>
      <c r="B6" s="23">
        <v>44747</v>
      </c>
      <c r="C6" s="24">
        <v>2220</v>
      </c>
      <c r="D6" s="34" t="s">
        <v>47</v>
      </c>
      <c r="E6" s="26">
        <v>44747</v>
      </c>
      <c r="F6" s="27">
        <v>64337</v>
      </c>
      <c r="H6" s="28">
        <v>44747</v>
      </c>
      <c r="I6" s="29">
        <v>15</v>
      </c>
      <c r="J6" s="36"/>
      <c r="K6" s="37"/>
      <c r="L6" s="38"/>
      <c r="M6" s="30">
        <f>20000+52612</f>
        <v>72612</v>
      </c>
      <c r="N6" s="31">
        <v>0</v>
      </c>
      <c r="P6" s="32">
        <f t="shared" ref="P6:P40" si="0">N6+M6+L6+I6+C6</f>
        <v>74847</v>
      </c>
      <c r="Q6" s="12">
        <v>0</v>
      </c>
      <c r="R6" s="176">
        <v>10510</v>
      </c>
    </row>
    <row r="7" spans="1:21" ht="18" thickBot="1" x14ac:dyDescent="0.35">
      <c r="A7" s="22"/>
      <c r="B7" s="23">
        <v>44748</v>
      </c>
      <c r="C7" s="24">
        <v>0</v>
      </c>
      <c r="D7" s="39"/>
      <c r="E7" s="26">
        <v>44748</v>
      </c>
      <c r="F7" s="27">
        <v>55285</v>
      </c>
      <c r="H7" s="28">
        <v>44748</v>
      </c>
      <c r="I7" s="29">
        <v>135</v>
      </c>
      <c r="J7" s="36"/>
      <c r="K7" s="40"/>
      <c r="L7" s="38"/>
      <c r="M7" s="30">
        <f>44893+10000</f>
        <v>54893</v>
      </c>
      <c r="N7" s="31">
        <v>257</v>
      </c>
      <c r="P7" s="32">
        <f t="shared" si="0"/>
        <v>55285</v>
      </c>
      <c r="Q7" s="12">
        <f t="shared" ref="Q7:Q39" si="1">P7-F7</f>
        <v>0</v>
      </c>
      <c r="R7" s="8"/>
    </row>
    <row r="8" spans="1:21" ht="18" thickBot="1" x14ac:dyDescent="0.35">
      <c r="A8" s="22"/>
      <c r="B8" s="23">
        <v>44749</v>
      </c>
      <c r="C8" s="24">
        <v>31689</v>
      </c>
      <c r="D8" s="39" t="s">
        <v>49</v>
      </c>
      <c r="E8" s="26">
        <v>44749</v>
      </c>
      <c r="F8" s="27">
        <v>67572</v>
      </c>
      <c r="H8" s="28">
        <v>44749</v>
      </c>
      <c r="I8" s="29">
        <v>61</v>
      </c>
      <c r="J8" s="42"/>
      <c r="K8" s="43"/>
      <c r="L8" s="38"/>
      <c r="M8" s="30">
        <f>20000+15529</f>
        <v>35529</v>
      </c>
      <c r="N8" s="31">
        <v>293</v>
      </c>
      <c r="P8" s="32">
        <f t="shared" si="0"/>
        <v>67572</v>
      </c>
      <c r="Q8" s="12">
        <f t="shared" si="1"/>
        <v>0</v>
      </c>
      <c r="R8" s="8"/>
    </row>
    <row r="9" spans="1:21" ht="18" thickBot="1" x14ac:dyDescent="0.35">
      <c r="A9" s="22"/>
      <c r="B9" s="23">
        <v>44750</v>
      </c>
      <c r="C9" s="24">
        <v>0</v>
      </c>
      <c r="D9" s="39"/>
      <c r="E9" s="26">
        <v>44750</v>
      </c>
      <c r="F9" s="27">
        <v>87563</v>
      </c>
      <c r="H9" s="28">
        <v>44750</v>
      </c>
      <c r="I9" s="29">
        <v>50</v>
      </c>
      <c r="J9" s="36"/>
      <c r="K9" s="44"/>
      <c r="L9" s="38"/>
      <c r="M9" s="30">
        <f>20000+63428</f>
        <v>83428</v>
      </c>
      <c r="N9" s="31">
        <v>4085</v>
      </c>
      <c r="P9" s="32">
        <f t="shared" si="0"/>
        <v>87563</v>
      </c>
      <c r="Q9" s="12">
        <f t="shared" si="1"/>
        <v>0</v>
      </c>
      <c r="R9" s="8"/>
    </row>
    <row r="10" spans="1:21" ht="18" thickBot="1" x14ac:dyDescent="0.35">
      <c r="A10" s="22"/>
      <c r="B10" s="23">
        <v>44751</v>
      </c>
      <c r="C10" s="24">
        <v>0</v>
      </c>
      <c r="D10" s="34"/>
      <c r="E10" s="26">
        <v>44751</v>
      </c>
      <c r="F10" s="27">
        <v>74393</v>
      </c>
      <c r="H10" s="28">
        <v>44751</v>
      </c>
      <c r="I10" s="29">
        <v>65</v>
      </c>
      <c r="J10" s="36">
        <v>44751</v>
      </c>
      <c r="K10" s="45" t="s">
        <v>381</v>
      </c>
      <c r="L10" s="46">
        <v>10713</v>
      </c>
      <c r="M10" s="30">
        <f>35000+37489</f>
        <v>72489</v>
      </c>
      <c r="N10" s="31">
        <v>7126</v>
      </c>
      <c r="P10" s="32">
        <f t="shared" si="0"/>
        <v>90393</v>
      </c>
      <c r="Q10" s="12">
        <v>0</v>
      </c>
      <c r="R10" s="176">
        <v>16000</v>
      </c>
      <c r="U10" t="s">
        <v>8</v>
      </c>
    </row>
    <row r="11" spans="1:21" ht="18" thickBot="1" x14ac:dyDescent="0.35">
      <c r="A11" s="22"/>
      <c r="B11" s="23">
        <v>44752</v>
      </c>
      <c r="C11" s="24">
        <v>1268</v>
      </c>
      <c r="D11" s="34" t="s">
        <v>382</v>
      </c>
      <c r="E11" s="26">
        <v>44752</v>
      </c>
      <c r="F11" s="27">
        <v>96836</v>
      </c>
      <c r="H11" s="28">
        <v>44752</v>
      </c>
      <c r="I11" s="29">
        <v>20</v>
      </c>
      <c r="J11" s="42"/>
      <c r="K11" s="47"/>
      <c r="L11" s="38"/>
      <c r="M11" s="30">
        <f>13658+80000</f>
        <v>93658</v>
      </c>
      <c r="N11" s="31">
        <v>1890</v>
      </c>
      <c r="P11" s="32">
        <f>N11+M11+L11+I11+C11</f>
        <v>96836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44753</v>
      </c>
      <c r="C12" s="24">
        <v>3860</v>
      </c>
      <c r="D12" s="34" t="s">
        <v>383</v>
      </c>
      <c r="E12" s="26">
        <v>44753</v>
      </c>
      <c r="F12" s="27">
        <v>72261</v>
      </c>
      <c r="H12" s="28">
        <v>44753</v>
      </c>
      <c r="I12" s="29">
        <v>104</v>
      </c>
      <c r="J12" s="36"/>
      <c r="K12" s="48"/>
      <c r="L12" s="38"/>
      <c r="M12" s="30">
        <f>23000+41297</f>
        <v>64297</v>
      </c>
      <c r="N12" s="31">
        <v>4000</v>
      </c>
      <c r="P12" s="32">
        <f t="shared" si="0"/>
        <v>72261</v>
      </c>
      <c r="Q12" s="12">
        <f t="shared" si="1"/>
        <v>0</v>
      </c>
      <c r="R12" s="8" t="s">
        <v>8</v>
      </c>
    </row>
    <row r="13" spans="1:21" ht="18" thickBot="1" x14ac:dyDescent="0.35">
      <c r="A13" s="22"/>
      <c r="B13" s="23">
        <v>44754</v>
      </c>
      <c r="C13" s="24">
        <v>1550</v>
      </c>
      <c r="D13" s="39" t="s">
        <v>384</v>
      </c>
      <c r="E13" s="26">
        <v>44754</v>
      </c>
      <c r="F13" s="27">
        <v>61151</v>
      </c>
      <c r="H13" s="28">
        <v>44754</v>
      </c>
      <c r="I13" s="29">
        <v>28</v>
      </c>
      <c r="J13" s="36"/>
      <c r="K13" s="37"/>
      <c r="L13" s="38"/>
      <c r="M13" s="30">
        <f>20000+42573</f>
        <v>62573</v>
      </c>
      <c r="N13" s="31">
        <v>0</v>
      </c>
      <c r="P13" s="32">
        <f t="shared" si="0"/>
        <v>64151</v>
      </c>
      <c r="Q13" s="12">
        <v>0</v>
      </c>
      <c r="R13" s="176">
        <v>3000</v>
      </c>
    </row>
    <row r="14" spans="1:21" ht="18" thickBot="1" x14ac:dyDescent="0.35">
      <c r="A14" s="22"/>
      <c r="B14" s="23">
        <v>44755</v>
      </c>
      <c r="C14" s="24">
        <v>0</v>
      </c>
      <c r="D14" s="49"/>
      <c r="E14" s="26">
        <v>44755</v>
      </c>
      <c r="F14" s="27">
        <v>29742</v>
      </c>
      <c r="H14" s="28">
        <v>44755</v>
      </c>
      <c r="I14" s="29">
        <v>122</v>
      </c>
      <c r="J14" s="36"/>
      <c r="K14" s="43"/>
      <c r="L14" s="38"/>
      <c r="M14" s="30">
        <v>29097</v>
      </c>
      <c r="N14" s="31">
        <v>523</v>
      </c>
      <c r="P14" s="32">
        <f t="shared" si="0"/>
        <v>29742</v>
      </c>
      <c r="Q14" s="12">
        <f t="shared" si="1"/>
        <v>0</v>
      </c>
      <c r="R14" s="177"/>
    </row>
    <row r="15" spans="1:21" ht="18" thickBot="1" x14ac:dyDescent="0.35">
      <c r="A15" s="22"/>
      <c r="B15" s="23">
        <v>44756</v>
      </c>
      <c r="C15" s="24">
        <v>14035</v>
      </c>
      <c r="D15" s="49" t="s">
        <v>49</v>
      </c>
      <c r="E15" s="26">
        <v>44756</v>
      </c>
      <c r="F15" s="27">
        <v>83567</v>
      </c>
      <c r="H15" s="28">
        <v>44756</v>
      </c>
      <c r="I15" s="29">
        <v>94</v>
      </c>
      <c r="J15" s="36"/>
      <c r="K15" s="43"/>
      <c r="L15" s="38"/>
      <c r="M15" s="30">
        <f>20000+51838</f>
        <v>71838</v>
      </c>
      <c r="N15" s="31">
        <v>1600</v>
      </c>
      <c r="P15" s="32">
        <f t="shared" si="0"/>
        <v>87567</v>
      </c>
      <c r="Q15" s="12">
        <v>0</v>
      </c>
      <c r="R15" s="283">
        <v>4000</v>
      </c>
    </row>
    <row r="16" spans="1:21" ht="18" thickBot="1" x14ac:dyDescent="0.35">
      <c r="A16" s="22"/>
      <c r="B16" s="23">
        <v>44757</v>
      </c>
      <c r="C16" s="24">
        <v>0</v>
      </c>
      <c r="D16" s="34"/>
      <c r="E16" s="26">
        <v>44757</v>
      </c>
      <c r="F16" s="27">
        <v>108259</v>
      </c>
      <c r="H16" s="28">
        <v>44757</v>
      </c>
      <c r="I16" s="29">
        <v>86</v>
      </c>
      <c r="J16" s="36"/>
      <c r="K16" s="43"/>
      <c r="L16" s="8"/>
      <c r="M16" s="30">
        <f>55000+56821</f>
        <v>111821</v>
      </c>
      <c r="N16" s="31">
        <v>80</v>
      </c>
      <c r="P16" s="32">
        <f t="shared" si="0"/>
        <v>111987</v>
      </c>
      <c r="Q16" s="12">
        <v>0</v>
      </c>
      <c r="R16" s="283">
        <v>3728</v>
      </c>
    </row>
    <row r="17" spans="1:18" ht="18" thickBot="1" x14ac:dyDescent="0.35">
      <c r="A17" s="22"/>
      <c r="B17" s="23">
        <v>44758</v>
      </c>
      <c r="C17" s="24">
        <v>5</v>
      </c>
      <c r="D17" s="39" t="s">
        <v>34</v>
      </c>
      <c r="E17" s="26">
        <v>44758</v>
      </c>
      <c r="F17" s="27">
        <v>103870</v>
      </c>
      <c r="H17" s="28">
        <v>44758</v>
      </c>
      <c r="I17" s="29">
        <v>130</v>
      </c>
      <c r="J17" s="36">
        <v>44758</v>
      </c>
      <c r="K17" s="50" t="s">
        <v>385</v>
      </c>
      <c r="L17" s="46">
        <v>9500</v>
      </c>
      <c r="M17" s="30">
        <f>40000+48423</f>
        <v>88423</v>
      </c>
      <c r="N17" s="31">
        <v>5812</v>
      </c>
      <c r="P17" s="32">
        <f t="shared" si="0"/>
        <v>103870</v>
      </c>
      <c r="Q17" s="12">
        <f t="shared" si="1"/>
        <v>0</v>
      </c>
      <c r="R17" s="8"/>
    </row>
    <row r="18" spans="1:18" ht="18" thickBot="1" x14ac:dyDescent="0.35">
      <c r="A18" s="22"/>
      <c r="B18" s="23">
        <v>44759</v>
      </c>
      <c r="C18" s="24">
        <v>0</v>
      </c>
      <c r="D18" s="34"/>
      <c r="E18" s="26">
        <v>44759</v>
      </c>
      <c r="F18" s="27">
        <v>174202</v>
      </c>
      <c r="H18" s="28">
        <v>44759</v>
      </c>
      <c r="I18" s="29">
        <v>56</v>
      </c>
      <c r="J18" s="36"/>
      <c r="K18" s="51"/>
      <c r="L18" s="38"/>
      <c r="M18" s="30">
        <f>80000+75000+16489</f>
        <v>171489</v>
      </c>
      <c r="N18" s="31">
        <v>2657</v>
      </c>
      <c r="P18" s="32">
        <f t="shared" si="0"/>
        <v>174202</v>
      </c>
      <c r="Q18" s="12">
        <f t="shared" si="1"/>
        <v>0</v>
      </c>
      <c r="R18" s="8"/>
    </row>
    <row r="19" spans="1:18" ht="18" thickBot="1" x14ac:dyDescent="0.35">
      <c r="A19" s="22"/>
      <c r="B19" s="23">
        <v>44760</v>
      </c>
      <c r="C19" s="24">
        <v>2220</v>
      </c>
      <c r="D19" s="34" t="s">
        <v>47</v>
      </c>
      <c r="E19" s="26">
        <v>44760</v>
      </c>
      <c r="F19" s="27">
        <v>76929</v>
      </c>
      <c r="H19" s="28">
        <v>44760</v>
      </c>
      <c r="I19" s="29">
        <v>76</v>
      </c>
      <c r="J19" s="36"/>
      <c r="K19" s="52"/>
      <c r="L19" s="53"/>
      <c r="M19" s="30">
        <f>10000+59233</f>
        <v>69233</v>
      </c>
      <c r="N19" s="31">
        <v>5400</v>
      </c>
      <c r="P19" s="32">
        <f t="shared" si="0"/>
        <v>76929</v>
      </c>
      <c r="Q19" s="12">
        <f t="shared" si="1"/>
        <v>0</v>
      </c>
      <c r="R19" s="8"/>
    </row>
    <row r="20" spans="1:18" ht="18" thickBot="1" x14ac:dyDescent="0.35">
      <c r="A20" s="22"/>
      <c r="B20" s="23">
        <v>44761</v>
      </c>
      <c r="C20" s="24">
        <v>2800</v>
      </c>
      <c r="D20" s="34" t="s">
        <v>312</v>
      </c>
      <c r="E20" s="26">
        <v>44761</v>
      </c>
      <c r="F20" s="27">
        <v>80274</v>
      </c>
      <c r="H20" s="28">
        <v>44761</v>
      </c>
      <c r="I20" s="29">
        <v>15</v>
      </c>
      <c r="J20" s="36"/>
      <c r="K20" s="54"/>
      <c r="L20" s="46"/>
      <c r="M20" s="30">
        <f>52240+20000</f>
        <v>72240</v>
      </c>
      <c r="N20" s="31">
        <v>5219</v>
      </c>
      <c r="P20" s="32">
        <f t="shared" si="0"/>
        <v>80274</v>
      </c>
      <c r="Q20" s="12">
        <f t="shared" si="1"/>
        <v>0</v>
      </c>
      <c r="R20" s="8"/>
    </row>
    <row r="21" spans="1:18" ht="18" thickBot="1" x14ac:dyDescent="0.35">
      <c r="A21" s="22"/>
      <c r="B21" s="23">
        <v>44762</v>
      </c>
      <c r="C21" s="24">
        <v>0</v>
      </c>
      <c r="D21" s="34"/>
      <c r="E21" s="26">
        <v>44762</v>
      </c>
      <c r="F21" s="27">
        <v>69450</v>
      </c>
      <c r="H21" s="28">
        <v>44762</v>
      </c>
      <c r="I21" s="29">
        <v>85</v>
      </c>
      <c r="J21" s="36"/>
      <c r="K21" s="55"/>
      <c r="L21" s="46"/>
      <c r="M21" s="30">
        <f>52210+15000</f>
        <v>67210</v>
      </c>
      <c r="N21" s="31">
        <v>2155</v>
      </c>
      <c r="P21" s="32">
        <f t="shared" si="0"/>
        <v>69450</v>
      </c>
      <c r="Q21" s="12">
        <f t="shared" si="1"/>
        <v>0</v>
      </c>
      <c r="R21" s="8"/>
    </row>
    <row r="22" spans="1:18" ht="18" thickBot="1" x14ac:dyDescent="0.35">
      <c r="A22" s="22"/>
      <c r="B22" s="23">
        <v>44763</v>
      </c>
      <c r="C22" s="24">
        <v>26231</v>
      </c>
      <c r="D22" s="34" t="s">
        <v>49</v>
      </c>
      <c r="E22" s="26">
        <v>44763</v>
      </c>
      <c r="F22" s="27">
        <v>96352</v>
      </c>
      <c r="H22" s="28">
        <v>44763</v>
      </c>
      <c r="I22" s="29">
        <v>71</v>
      </c>
      <c r="J22" s="36"/>
      <c r="K22" s="43"/>
      <c r="L22" s="56"/>
      <c r="M22" s="30">
        <f>43277+25000</f>
        <v>68277</v>
      </c>
      <c r="N22" s="31">
        <v>1773</v>
      </c>
      <c r="P22" s="32">
        <f t="shared" si="0"/>
        <v>96352</v>
      </c>
      <c r="Q22" s="12">
        <f t="shared" si="1"/>
        <v>0</v>
      </c>
      <c r="R22" s="8"/>
    </row>
    <row r="23" spans="1:18" ht="18" thickBot="1" x14ac:dyDescent="0.35">
      <c r="A23" s="22"/>
      <c r="B23" s="23">
        <v>44764</v>
      </c>
      <c r="C23" s="24">
        <v>0</v>
      </c>
      <c r="D23" s="34"/>
      <c r="E23" s="26">
        <v>44764</v>
      </c>
      <c r="F23" s="27">
        <v>116734</v>
      </c>
      <c r="H23" s="28">
        <v>44764</v>
      </c>
      <c r="I23" s="29">
        <v>148</v>
      </c>
      <c r="J23" s="57"/>
      <c r="K23" s="58"/>
      <c r="L23" s="46"/>
      <c r="M23" s="30">
        <f>45000+50000+20886</f>
        <v>115886</v>
      </c>
      <c r="N23" s="31">
        <v>700</v>
      </c>
      <c r="P23" s="32">
        <f t="shared" si="0"/>
        <v>116734</v>
      </c>
      <c r="Q23" s="12">
        <f t="shared" si="1"/>
        <v>0</v>
      </c>
      <c r="R23" s="8"/>
    </row>
    <row r="24" spans="1:18" ht="18" thickBot="1" x14ac:dyDescent="0.35">
      <c r="A24" s="22"/>
      <c r="B24" s="23">
        <v>44765</v>
      </c>
      <c r="C24" s="24">
        <v>19</v>
      </c>
      <c r="D24" s="39" t="s">
        <v>386</v>
      </c>
      <c r="E24" s="26">
        <v>44765</v>
      </c>
      <c r="F24" s="27">
        <v>119975</v>
      </c>
      <c r="H24" s="28">
        <v>44765</v>
      </c>
      <c r="I24" s="29">
        <v>95</v>
      </c>
      <c r="J24" s="173">
        <v>44765</v>
      </c>
      <c r="K24" s="60" t="s">
        <v>387</v>
      </c>
      <c r="L24" s="61">
        <v>9500</v>
      </c>
      <c r="M24" s="30">
        <f>14453+50000+40000</f>
        <v>104453</v>
      </c>
      <c r="N24" s="31">
        <v>5908</v>
      </c>
      <c r="P24" s="32">
        <f t="shared" si="0"/>
        <v>119975</v>
      </c>
      <c r="Q24" s="12">
        <f t="shared" si="1"/>
        <v>0</v>
      </c>
      <c r="R24" s="8"/>
    </row>
    <row r="25" spans="1:18" ht="18" thickBot="1" x14ac:dyDescent="0.35">
      <c r="A25" s="22"/>
      <c r="B25" s="23">
        <v>44766</v>
      </c>
      <c r="C25" s="24">
        <v>0</v>
      </c>
      <c r="D25" s="34"/>
      <c r="E25" s="26">
        <v>44766</v>
      </c>
      <c r="F25" s="27">
        <v>133851</v>
      </c>
      <c r="H25" s="28">
        <v>44766</v>
      </c>
      <c r="I25" s="29">
        <v>40</v>
      </c>
      <c r="J25" s="62"/>
      <c r="K25" s="280"/>
      <c r="L25" s="64"/>
      <c r="M25" s="30">
        <f>100000+33570</f>
        <v>133570</v>
      </c>
      <c r="N25" s="31">
        <v>241</v>
      </c>
      <c r="O25" t="s">
        <v>8</v>
      </c>
      <c r="P25" s="32">
        <f t="shared" si="0"/>
        <v>133851</v>
      </c>
      <c r="Q25" s="12">
        <f t="shared" si="1"/>
        <v>0</v>
      </c>
      <c r="R25" s="8"/>
    </row>
    <row r="26" spans="1:18" ht="18" thickBot="1" x14ac:dyDescent="0.35">
      <c r="A26" s="22"/>
      <c r="B26" s="23">
        <v>44767</v>
      </c>
      <c r="C26" s="24">
        <v>3750</v>
      </c>
      <c r="D26" s="34" t="s">
        <v>388</v>
      </c>
      <c r="E26" s="26">
        <v>44767</v>
      </c>
      <c r="F26" s="27">
        <v>88776</v>
      </c>
      <c r="H26" s="28">
        <v>44767</v>
      </c>
      <c r="I26" s="29">
        <v>54</v>
      </c>
      <c r="J26" s="36"/>
      <c r="K26" s="60"/>
      <c r="L26" s="46"/>
      <c r="M26" s="30">
        <f>38428+40000</f>
        <v>78428</v>
      </c>
      <c r="N26" s="31">
        <v>6544</v>
      </c>
      <c r="P26" s="32">
        <f t="shared" si="0"/>
        <v>88776</v>
      </c>
      <c r="Q26" s="12">
        <f t="shared" si="1"/>
        <v>0</v>
      </c>
      <c r="R26" s="8"/>
    </row>
    <row r="27" spans="1:18" ht="18" thickBot="1" x14ac:dyDescent="0.35">
      <c r="A27" s="22"/>
      <c r="B27" s="23">
        <v>44768</v>
      </c>
      <c r="C27" s="24">
        <v>0</v>
      </c>
      <c r="D27" s="39"/>
      <c r="E27" s="26">
        <v>44768</v>
      </c>
      <c r="F27" s="27">
        <v>99511</v>
      </c>
      <c r="H27" s="28">
        <v>44768</v>
      </c>
      <c r="I27" s="29">
        <v>120</v>
      </c>
      <c r="J27" s="65"/>
      <c r="K27" s="66"/>
      <c r="L27" s="64"/>
      <c r="M27" s="30">
        <f>29390+20000+50000</f>
        <v>99390</v>
      </c>
      <c r="N27" s="31">
        <v>0</v>
      </c>
      <c r="P27" s="32">
        <f t="shared" si="0"/>
        <v>99510</v>
      </c>
      <c r="Q27" s="286">
        <f t="shared" si="1"/>
        <v>-1</v>
      </c>
      <c r="R27" s="8"/>
    </row>
    <row r="28" spans="1:18" ht="18" thickBot="1" x14ac:dyDescent="0.35">
      <c r="A28" s="22"/>
      <c r="B28" s="23">
        <v>44769</v>
      </c>
      <c r="C28" s="24">
        <v>0</v>
      </c>
      <c r="D28" s="39"/>
      <c r="E28" s="26">
        <v>44769</v>
      </c>
      <c r="F28" s="27">
        <v>38709</v>
      </c>
      <c r="H28" s="28">
        <v>44769</v>
      </c>
      <c r="I28" s="29">
        <v>244</v>
      </c>
      <c r="J28" s="67"/>
      <c r="K28" s="68"/>
      <c r="L28" s="64"/>
      <c r="M28" s="30">
        <f>10000+27658</f>
        <v>37658</v>
      </c>
      <c r="N28" s="31">
        <v>807</v>
      </c>
      <c r="P28" s="32">
        <f t="shared" si="0"/>
        <v>38709</v>
      </c>
      <c r="Q28" s="12">
        <f t="shared" si="1"/>
        <v>0</v>
      </c>
      <c r="R28" s="8"/>
    </row>
    <row r="29" spans="1:18" ht="18" thickBot="1" x14ac:dyDescent="0.35">
      <c r="A29" s="22"/>
      <c r="B29" s="23">
        <v>44770</v>
      </c>
      <c r="C29" s="24">
        <v>18558</v>
      </c>
      <c r="D29" s="69" t="s">
        <v>49</v>
      </c>
      <c r="E29" s="26">
        <v>44770</v>
      </c>
      <c r="F29" s="27">
        <v>68450</v>
      </c>
      <c r="H29" s="28">
        <v>44770</v>
      </c>
      <c r="I29" s="29">
        <v>48</v>
      </c>
      <c r="J29" s="65"/>
      <c r="K29" s="70"/>
      <c r="L29" s="64"/>
      <c r="M29" s="30">
        <f>35756+10000</f>
        <v>45756</v>
      </c>
      <c r="N29" s="31">
        <v>4088</v>
      </c>
      <c r="P29" s="32">
        <f t="shared" si="0"/>
        <v>68450</v>
      </c>
      <c r="Q29" s="12">
        <f t="shared" si="1"/>
        <v>0</v>
      </c>
      <c r="R29" s="8"/>
    </row>
    <row r="30" spans="1:18" ht="18" thickBot="1" x14ac:dyDescent="0.35">
      <c r="A30" s="22"/>
      <c r="B30" s="23">
        <v>44771</v>
      </c>
      <c r="C30" s="24">
        <v>0</v>
      </c>
      <c r="D30" s="69"/>
      <c r="E30" s="26">
        <v>44771</v>
      </c>
      <c r="F30" s="27">
        <v>121452</v>
      </c>
      <c r="H30" s="28">
        <v>44771</v>
      </c>
      <c r="I30" s="29">
        <v>291</v>
      </c>
      <c r="J30" s="71"/>
      <c r="K30" s="72"/>
      <c r="L30" s="73"/>
      <c r="M30" s="30">
        <f>35000+65000+20961</f>
        <v>120961</v>
      </c>
      <c r="N30" s="31">
        <v>200</v>
      </c>
      <c r="P30" s="32">
        <f t="shared" si="0"/>
        <v>121452</v>
      </c>
      <c r="Q30" s="12">
        <f t="shared" si="1"/>
        <v>0</v>
      </c>
      <c r="R30" s="8"/>
    </row>
    <row r="31" spans="1:18" ht="18" thickBot="1" x14ac:dyDescent="0.35">
      <c r="A31" s="22"/>
      <c r="B31" s="23">
        <v>44772</v>
      </c>
      <c r="C31" s="24">
        <v>0</v>
      </c>
      <c r="D31" s="81"/>
      <c r="E31" s="26">
        <v>44772</v>
      </c>
      <c r="F31" s="27">
        <v>142552</v>
      </c>
      <c r="H31" s="28">
        <v>44772</v>
      </c>
      <c r="I31" s="29">
        <v>118</v>
      </c>
      <c r="J31" s="71">
        <v>44772</v>
      </c>
      <c r="K31" s="74" t="s">
        <v>389</v>
      </c>
      <c r="L31" s="75">
        <v>9500</v>
      </c>
      <c r="M31" s="30">
        <f>40000+70000+18287</f>
        <v>128287</v>
      </c>
      <c r="N31" s="31">
        <v>4647</v>
      </c>
      <c r="P31" s="32">
        <f t="shared" si="0"/>
        <v>142552</v>
      </c>
      <c r="Q31" s="12">
        <f t="shared" si="1"/>
        <v>0</v>
      </c>
      <c r="R31" s="8"/>
    </row>
    <row r="32" spans="1:18" ht="18" thickBot="1" x14ac:dyDescent="0.35">
      <c r="A32" s="22"/>
      <c r="B32" s="23">
        <v>44773</v>
      </c>
      <c r="C32" s="24">
        <v>0</v>
      </c>
      <c r="D32" s="76"/>
      <c r="E32" s="26">
        <v>44773</v>
      </c>
      <c r="F32" s="27">
        <v>136330</v>
      </c>
      <c r="H32" s="28">
        <v>44773</v>
      </c>
      <c r="I32" s="29">
        <v>95</v>
      </c>
      <c r="J32" s="71"/>
      <c r="K32" s="72"/>
      <c r="L32" s="73"/>
      <c r="M32" s="30">
        <f>90000+35000+9932</f>
        <v>134932</v>
      </c>
      <c r="N32" s="31">
        <v>1303</v>
      </c>
      <c r="P32" s="32">
        <f t="shared" si="0"/>
        <v>136330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8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44760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1"/>
        <v>0</v>
      </c>
      <c r="R34" s="8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44771</v>
      </c>
      <c r="K35" s="74" t="s">
        <v>204</v>
      </c>
      <c r="L35" s="78">
        <v>927.48</v>
      </c>
      <c r="M35" s="30">
        <v>0</v>
      </c>
      <c r="N35" s="31">
        <v>0</v>
      </c>
      <c r="P35" s="32">
        <v>0</v>
      </c>
      <c r="Q35" s="12">
        <f t="shared" si="1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 t="s">
        <v>419</v>
      </c>
      <c r="K36" s="288" t="s">
        <v>418</v>
      </c>
      <c r="L36" s="78">
        <v>32491</v>
      </c>
      <c r="M36" s="30">
        <v>0</v>
      </c>
      <c r="N36" s="31">
        <v>0</v>
      </c>
      <c r="P36" s="32">
        <v>0</v>
      </c>
      <c r="Q36" s="12">
        <f t="shared" si="1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 t="s">
        <v>419</v>
      </c>
      <c r="K37" s="290" t="s">
        <v>420</v>
      </c>
      <c r="L37" s="78">
        <v>3131.24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16">
        <f>SUM(M5:M39)</f>
        <v>2373103</v>
      </c>
      <c r="N40" s="418">
        <f>SUM(N5:N39)</f>
        <v>67308</v>
      </c>
      <c r="P40" s="32">
        <f t="shared" si="0"/>
        <v>2440411</v>
      </c>
      <c r="Q40" s="284">
        <f>SUM(Q5:Q39)</f>
        <v>-1</v>
      </c>
      <c r="R40" s="285">
        <f>SUM(R5:R39)</f>
        <v>46221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17"/>
      <c r="N41" s="419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108205</v>
      </c>
      <c r="D51" s="103"/>
      <c r="E51" s="104" t="s">
        <v>9</v>
      </c>
      <c r="F51" s="105">
        <f>SUM(F5:F50)</f>
        <v>2544104</v>
      </c>
      <c r="G51" s="103"/>
      <c r="H51" s="106" t="s">
        <v>10</v>
      </c>
      <c r="I51" s="107">
        <f>SUM(I5:I50)</f>
        <v>2495</v>
      </c>
      <c r="J51" s="108"/>
      <c r="K51" s="109" t="s">
        <v>11</v>
      </c>
      <c r="L51" s="110">
        <f>SUM(L5:L50)</f>
        <v>77154.720000000016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20" t="s">
        <v>12</v>
      </c>
      <c r="I53" s="421"/>
      <c r="J53" s="114"/>
      <c r="K53" s="422">
        <f>I51+L51</f>
        <v>79649.720000000016</v>
      </c>
      <c r="L53" s="423"/>
      <c r="M53" s="424">
        <f>N40+M40</f>
        <v>2440411</v>
      </c>
      <c r="N53" s="425"/>
      <c r="P53" s="32"/>
      <c r="Q53" s="8"/>
    </row>
    <row r="54" spans="1:17" ht="15.75" x14ac:dyDescent="0.25">
      <c r="D54" s="426" t="s">
        <v>13</v>
      </c>
      <c r="E54" s="426"/>
      <c r="F54" s="115">
        <f>F51-K53-C51</f>
        <v>2356249.2799999998</v>
      </c>
      <c r="I54" s="116"/>
      <c r="J54" s="117"/>
      <c r="P54" s="32"/>
      <c r="Q54" s="8"/>
    </row>
    <row r="55" spans="1:17" ht="18.75" x14ac:dyDescent="0.3">
      <c r="D55" s="427" t="s">
        <v>14</v>
      </c>
      <c r="E55" s="427"/>
      <c r="F55" s="111">
        <v>-2471332.31</v>
      </c>
      <c r="I55" s="428" t="s">
        <v>15</v>
      </c>
      <c r="J55" s="429"/>
      <c r="K55" s="430">
        <f>F57+F58+F59</f>
        <v>214026.38999999972</v>
      </c>
      <c r="L55" s="43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-115083.03000000026</v>
      </c>
      <c r="H57" s="22"/>
      <c r="I57" s="124" t="s">
        <v>17</v>
      </c>
      <c r="J57" s="125"/>
      <c r="K57" s="432">
        <f>-C4</f>
        <v>-232165.91</v>
      </c>
      <c r="L57" s="433"/>
    </row>
    <row r="58" spans="1:17" ht="16.5" thickBot="1" x14ac:dyDescent="0.3">
      <c r="D58" s="126" t="s">
        <v>18</v>
      </c>
      <c r="E58" s="33" t="s">
        <v>19</v>
      </c>
      <c r="F58" s="127">
        <v>55373</v>
      </c>
    </row>
    <row r="59" spans="1:17" ht="20.25" thickTop="1" thickBot="1" x14ac:dyDescent="0.35">
      <c r="C59" s="128">
        <v>44773</v>
      </c>
      <c r="D59" s="409" t="s">
        <v>20</v>
      </c>
      <c r="E59" s="410"/>
      <c r="F59" s="129">
        <v>273736.42</v>
      </c>
      <c r="I59" s="411" t="s">
        <v>325</v>
      </c>
      <c r="J59" s="412"/>
      <c r="K59" s="413">
        <f>K55+K57</f>
        <v>-18139.520000000281</v>
      </c>
      <c r="L59" s="41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28" workbookViewId="0">
      <selection activeCell="D34" sqref="D3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44746</v>
      </c>
      <c r="B3" s="255" t="s">
        <v>390</v>
      </c>
      <c r="C3" s="256">
        <v>129755.9</v>
      </c>
      <c r="D3" s="298">
        <v>44750</v>
      </c>
      <c r="E3" s="299">
        <v>129755.9</v>
      </c>
      <c r="F3" s="152">
        <f>C3-E3</f>
        <v>0</v>
      </c>
      <c r="J3" s="127"/>
    </row>
    <row r="4" spans="1:10" ht="15.75" x14ac:dyDescent="0.25">
      <c r="A4" s="257">
        <v>44746</v>
      </c>
      <c r="B4" s="258" t="s">
        <v>391</v>
      </c>
      <c r="C4" s="127">
        <v>14947.2</v>
      </c>
      <c r="D4" s="298">
        <v>44750</v>
      </c>
      <c r="E4" s="277">
        <v>14947.2</v>
      </c>
      <c r="F4" s="188">
        <f>C4-E4+F3</f>
        <v>0</v>
      </c>
      <c r="J4" s="256"/>
    </row>
    <row r="5" spans="1:10" ht="15.75" x14ac:dyDescent="0.25">
      <c r="A5" s="257">
        <v>44748</v>
      </c>
      <c r="B5" s="258" t="s">
        <v>392</v>
      </c>
      <c r="C5" s="127">
        <v>92642.6</v>
      </c>
      <c r="D5" s="298">
        <v>44750</v>
      </c>
      <c r="E5" s="277">
        <v>92642.6</v>
      </c>
      <c r="F5" s="188">
        <f t="shared" ref="F5:F68" si="0">C5-E5+F4</f>
        <v>0</v>
      </c>
      <c r="J5" s="127"/>
    </row>
    <row r="6" spans="1:10" ht="18.75" x14ac:dyDescent="0.3">
      <c r="A6" s="257">
        <v>44749</v>
      </c>
      <c r="B6" s="258" t="s">
        <v>393</v>
      </c>
      <c r="C6" s="127">
        <v>69904.100000000006</v>
      </c>
      <c r="D6" s="298">
        <v>44750</v>
      </c>
      <c r="E6" s="277">
        <v>69904.100000000006</v>
      </c>
      <c r="F6" s="188">
        <f t="shared" si="0"/>
        <v>0</v>
      </c>
      <c r="G6" s="156"/>
      <c r="J6" s="127"/>
    </row>
    <row r="7" spans="1:10" ht="15.75" x14ac:dyDescent="0.25">
      <c r="A7" s="257">
        <v>44750</v>
      </c>
      <c r="B7" s="258" t="s">
        <v>394</v>
      </c>
      <c r="C7" s="127">
        <v>144242.76</v>
      </c>
      <c r="D7" s="298">
        <v>44750</v>
      </c>
      <c r="E7" s="277">
        <v>144242.76</v>
      </c>
      <c r="F7" s="188">
        <f t="shared" si="0"/>
        <v>0</v>
      </c>
      <c r="J7" s="127"/>
    </row>
    <row r="8" spans="1:10" ht="15.75" x14ac:dyDescent="0.25">
      <c r="A8" s="257">
        <v>44750</v>
      </c>
      <c r="B8" s="258" t="s">
        <v>395</v>
      </c>
      <c r="C8" s="127">
        <v>5072.6000000000004</v>
      </c>
      <c r="D8" s="298">
        <v>44750</v>
      </c>
      <c r="E8" s="277">
        <v>5072.6000000000004</v>
      </c>
      <c r="F8" s="188">
        <f t="shared" si="0"/>
        <v>0</v>
      </c>
      <c r="J8" s="127"/>
    </row>
    <row r="9" spans="1:10" ht="15.75" x14ac:dyDescent="0.25">
      <c r="A9" s="257">
        <v>44750</v>
      </c>
      <c r="B9" s="258" t="s">
        <v>396</v>
      </c>
      <c r="C9" s="127">
        <v>265.5</v>
      </c>
      <c r="D9" s="273">
        <v>44757</v>
      </c>
      <c r="E9" s="274">
        <v>265.5</v>
      </c>
      <c r="F9" s="188">
        <f t="shared" si="0"/>
        <v>0</v>
      </c>
      <c r="J9" s="127"/>
    </row>
    <row r="10" spans="1:10" ht="15.75" x14ac:dyDescent="0.25">
      <c r="A10" s="257">
        <v>44751</v>
      </c>
      <c r="B10" s="258" t="s">
        <v>397</v>
      </c>
      <c r="C10" s="127">
        <v>119029.9</v>
      </c>
      <c r="D10" s="273">
        <v>44757</v>
      </c>
      <c r="E10" s="274">
        <v>119029.9</v>
      </c>
      <c r="F10" s="188">
        <f t="shared" si="0"/>
        <v>0</v>
      </c>
      <c r="J10" s="33">
        <v>0</v>
      </c>
    </row>
    <row r="11" spans="1:10" ht="15.75" x14ac:dyDescent="0.25">
      <c r="A11" s="257">
        <v>44753</v>
      </c>
      <c r="B11" s="258" t="s">
        <v>398</v>
      </c>
      <c r="C11" s="127">
        <v>86612.94</v>
      </c>
      <c r="D11" s="273">
        <v>44757</v>
      </c>
      <c r="E11" s="274">
        <v>86612.94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44754</v>
      </c>
      <c r="B12" s="258" t="s">
        <v>399</v>
      </c>
      <c r="C12" s="127">
        <v>29055.5</v>
      </c>
      <c r="D12" s="273">
        <v>44757</v>
      </c>
      <c r="E12" s="274">
        <v>29055.5</v>
      </c>
      <c r="F12" s="188">
        <f t="shared" si="0"/>
        <v>0</v>
      </c>
      <c r="G12" s="156"/>
    </row>
    <row r="13" spans="1:10" ht="15.75" x14ac:dyDescent="0.25">
      <c r="A13" s="257">
        <v>44755</v>
      </c>
      <c r="B13" s="258" t="s">
        <v>400</v>
      </c>
      <c r="C13" s="127">
        <v>87559.6</v>
      </c>
      <c r="D13" s="273">
        <v>44757</v>
      </c>
      <c r="E13" s="274">
        <v>87559.6</v>
      </c>
      <c r="F13" s="188">
        <f t="shared" si="0"/>
        <v>0</v>
      </c>
    </row>
    <row r="14" spans="1:10" ht="15.75" x14ac:dyDescent="0.25">
      <c r="A14" s="257">
        <v>44756</v>
      </c>
      <c r="B14" s="258" t="s">
        <v>401</v>
      </c>
      <c r="C14" s="127">
        <v>132564.79999999999</v>
      </c>
      <c r="D14" s="273">
        <v>44757</v>
      </c>
      <c r="E14" s="274">
        <v>132564.79999999999</v>
      </c>
      <c r="F14" s="188">
        <f t="shared" si="0"/>
        <v>0</v>
      </c>
    </row>
    <row r="15" spans="1:10" ht="15.75" x14ac:dyDescent="0.25">
      <c r="A15" s="257">
        <v>44757</v>
      </c>
      <c r="B15" s="258" t="s">
        <v>402</v>
      </c>
      <c r="C15" s="127">
        <v>44983.4</v>
      </c>
      <c r="D15" s="273">
        <v>44757</v>
      </c>
      <c r="E15" s="274">
        <v>44983.4</v>
      </c>
      <c r="F15" s="188">
        <f t="shared" si="0"/>
        <v>0</v>
      </c>
    </row>
    <row r="16" spans="1:10" ht="15.75" x14ac:dyDescent="0.25">
      <c r="A16" s="257">
        <v>44758</v>
      </c>
      <c r="B16" s="258" t="s">
        <v>403</v>
      </c>
      <c r="C16" s="127">
        <v>155220.28</v>
      </c>
      <c r="D16" s="259">
        <v>44764</v>
      </c>
      <c r="E16" s="127">
        <v>155220.28</v>
      </c>
      <c r="F16" s="188">
        <f t="shared" si="0"/>
        <v>0</v>
      </c>
    </row>
    <row r="17" spans="1:7" ht="15.75" x14ac:dyDescent="0.25">
      <c r="A17" s="257">
        <v>44759</v>
      </c>
      <c r="B17" s="258" t="s">
        <v>404</v>
      </c>
      <c r="C17" s="127">
        <v>77061</v>
      </c>
      <c r="D17" s="259">
        <v>44764</v>
      </c>
      <c r="E17" s="127">
        <v>77061</v>
      </c>
      <c r="F17" s="188">
        <f t="shared" si="0"/>
        <v>0</v>
      </c>
    </row>
    <row r="18" spans="1:7" ht="15.75" x14ac:dyDescent="0.25">
      <c r="A18" s="257">
        <v>44760</v>
      </c>
      <c r="B18" s="258" t="s">
        <v>405</v>
      </c>
      <c r="C18" s="127">
        <v>78240.2</v>
      </c>
      <c r="D18" s="259">
        <v>44764</v>
      </c>
      <c r="E18" s="127">
        <v>78240.2</v>
      </c>
      <c r="F18" s="188">
        <f t="shared" si="0"/>
        <v>0</v>
      </c>
    </row>
    <row r="19" spans="1:7" ht="15.75" x14ac:dyDescent="0.25">
      <c r="A19" s="257">
        <v>44761</v>
      </c>
      <c r="B19" s="258" t="s">
        <v>406</v>
      </c>
      <c r="C19" s="127">
        <v>16361.3</v>
      </c>
      <c r="D19" s="259">
        <v>44764</v>
      </c>
      <c r="E19" s="127">
        <v>16361.3</v>
      </c>
      <c r="F19" s="188">
        <f t="shared" si="0"/>
        <v>0</v>
      </c>
    </row>
    <row r="20" spans="1:7" ht="15.75" x14ac:dyDescent="0.25">
      <c r="A20" s="257">
        <v>44762</v>
      </c>
      <c r="B20" s="258" t="s">
        <v>407</v>
      </c>
      <c r="C20" s="127">
        <v>162807.84</v>
      </c>
      <c r="D20" s="259">
        <v>44764</v>
      </c>
      <c r="E20" s="127">
        <v>162807.84</v>
      </c>
      <c r="F20" s="188">
        <f t="shared" si="0"/>
        <v>0</v>
      </c>
    </row>
    <row r="21" spans="1:7" ht="15.75" x14ac:dyDescent="0.25">
      <c r="A21" s="257">
        <v>44763</v>
      </c>
      <c r="B21" s="258" t="s">
        <v>408</v>
      </c>
      <c r="C21" s="127">
        <v>144209.19</v>
      </c>
      <c r="D21" s="259">
        <v>44764</v>
      </c>
      <c r="E21" s="127">
        <v>144209.19</v>
      </c>
      <c r="F21" s="188">
        <f t="shared" si="0"/>
        <v>0</v>
      </c>
    </row>
    <row r="22" spans="1:7" ht="15.75" x14ac:dyDescent="0.25">
      <c r="A22" s="257">
        <v>44764</v>
      </c>
      <c r="B22" s="258" t="s">
        <v>409</v>
      </c>
      <c r="C22" s="127">
        <v>120958.88</v>
      </c>
      <c r="D22" s="259">
        <v>44764</v>
      </c>
      <c r="E22" s="127">
        <v>120958.88</v>
      </c>
      <c r="F22" s="188">
        <f t="shared" si="0"/>
        <v>0</v>
      </c>
    </row>
    <row r="23" spans="1:7" ht="15.75" x14ac:dyDescent="0.25">
      <c r="A23" s="257">
        <v>44765</v>
      </c>
      <c r="B23" s="258" t="s">
        <v>410</v>
      </c>
      <c r="C23" s="127">
        <v>135754.06</v>
      </c>
      <c r="D23" s="300">
        <v>44771</v>
      </c>
      <c r="E23" s="301">
        <v>135754.06</v>
      </c>
      <c r="F23" s="188">
        <f t="shared" si="0"/>
        <v>0</v>
      </c>
    </row>
    <row r="24" spans="1:7" ht="18.75" x14ac:dyDescent="0.3">
      <c r="A24" s="257">
        <v>44765</v>
      </c>
      <c r="B24" s="258" t="s">
        <v>411</v>
      </c>
      <c r="C24" s="127">
        <v>4200</v>
      </c>
      <c r="D24" s="300">
        <v>44771</v>
      </c>
      <c r="E24" s="301">
        <v>4200</v>
      </c>
      <c r="F24" s="188">
        <f t="shared" si="0"/>
        <v>0</v>
      </c>
      <c r="G24" s="156"/>
    </row>
    <row r="25" spans="1:7" ht="15.75" x14ac:dyDescent="0.25">
      <c r="A25" s="257">
        <v>44767</v>
      </c>
      <c r="B25" s="258" t="s">
        <v>412</v>
      </c>
      <c r="C25" s="127">
        <v>100782.12</v>
      </c>
      <c r="D25" s="300">
        <v>44771</v>
      </c>
      <c r="E25" s="301">
        <v>100782.12</v>
      </c>
      <c r="F25" s="188">
        <f t="shared" si="0"/>
        <v>0</v>
      </c>
    </row>
    <row r="26" spans="1:7" ht="15.75" x14ac:dyDescent="0.25">
      <c r="A26" s="257">
        <v>44769</v>
      </c>
      <c r="B26" s="258" t="s">
        <v>413</v>
      </c>
      <c r="C26" s="127">
        <v>159228.38</v>
      </c>
      <c r="D26" s="300">
        <v>44771</v>
      </c>
      <c r="E26" s="301">
        <v>159228.38</v>
      </c>
      <c r="F26" s="188">
        <f t="shared" si="0"/>
        <v>0</v>
      </c>
    </row>
    <row r="27" spans="1:7" ht="18.75" customHeight="1" x14ac:dyDescent="0.25">
      <c r="A27" s="257">
        <v>44770</v>
      </c>
      <c r="B27" s="258" t="s">
        <v>414</v>
      </c>
      <c r="C27" s="127">
        <v>77241.66</v>
      </c>
      <c r="D27" s="300">
        <v>44771</v>
      </c>
      <c r="E27" s="301">
        <v>77241.66</v>
      </c>
      <c r="F27" s="188">
        <f t="shared" si="0"/>
        <v>0</v>
      </c>
    </row>
    <row r="28" spans="1:7" ht="18.75" customHeight="1" x14ac:dyDescent="0.25">
      <c r="A28" s="257">
        <v>44771</v>
      </c>
      <c r="B28" s="258" t="s">
        <v>415</v>
      </c>
      <c r="C28" s="127">
        <v>126836.5</v>
      </c>
      <c r="D28" s="293">
        <v>44778</v>
      </c>
      <c r="E28" s="294">
        <v>126836.5</v>
      </c>
      <c r="F28" s="188">
        <f t="shared" si="0"/>
        <v>0</v>
      </c>
    </row>
    <row r="29" spans="1:7" ht="18.75" customHeight="1" x14ac:dyDescent="0.25">
      <c r="A29" s="257">
        <v>44771</v>
      </c>
      <c r="B29" s="258" t="s">
        <v>416</v>
      </c>
      <c r="C29" s="127">
        <v>49636.2</v>
      </c>
      <c r="D29" s="293">
        <v>44778</v>
      </c>
      <c r="E29" s="294">
        <v>49636.2</v>
      </c>
      <c r="F29" s="188">
        <f t="shared" si="0"/>
        <v>0</v>
      </c>
    </row>
    <row r="30" spans="1:7" ht="18.75" customHeight="1" x14ac:dyDescent="0.25">
      <c r="A30" s="257">
        <v>44772</v>
      </c>
      <c r="B30" s="258" t="s">
        <v>417</v>
      </c>
      <c r="C30" s="127">
        <v>106157.9</v>
      </c>
      <c r="D30" s="293">
        <v>44778</v>
      </c>
      <c r="E30" s="294">
        <v>106157.9</v>
      </c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2471332.31</v>
      </c>
      <c r="D79" s="181"/>
      <c r="E79" s="170">
        <f>SUM(E3:E78)</f>
        <v>2471332.31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A19" workbookViewId="0">
      <selection activeCell="C50" sqref="C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96"/>
      <c r="C1" s="398" t="s">
        <v>421</v>
      </c>
      <c r="D1" s="399"/>
      <c r="E1" s="399"/>
      <c r="F1" s="399"/>
      <c r="G1" s="399"/>
      <c r="H1" s="399"/>
      <c r="I1" s="399"/>
      <c r="J1" s="399"/>
      <c r="K1" s="399"/>
      <c r="L1" s="399"/>
      <c r="M1" s="399"/>
    </row>
    <row r="2" spans="1:21" ht="16.5" thickBot="1" x14ac:dyDescent="0.3">
      <c r="B2" s="397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0" t="s">
        <v>0</v>
      </c>
      <c r="C3" s="401"/>
      <c r="D3" s="9"/>
      <c r="E3" s="10"/>
      <c r="F3" s="10"/>
      <c r="H3" s="402" t="s">
        <v>1</v>
      </c>
      <c r="I3" s="402"/>
      <c r="K3" s="12"/>
      <c r="L3" s="12"/>
      <c r="M3" s="4"/>
      <c r="R3" s="407" t="s">
        <v>38</v>
      </c>
    </row>
    <row r="4" spans="1:21" ht="20.25" thickTop="1" thickBot="1" x14ac:dyDescent="0.35">
      <c r="A4" s="13" t="s">
        <v>2</v>
      </c>
      <c r="B4" s="14"/>
      <c r="C4" s="15">
        <v>273736.42</v>
      </c>
      <c r="D4" s="16">
        <v>44773</v>
      </c>
      <c r="E4" s="403" t="s">
        <v>3</v>
      </c>
      <c r="F4" s="404"/>
      <c r="H4" s="405" t="s">
        <v>4</v>
      </c>
      <c r="I4" s="406"/>
      <c r="J4" s="17"/>
      <c r="K4" s="18"/>
      <c r="L4" s="19"/>
      <c r="M4" s="20" t="s">
        <v>5</v>
      </c>
      <c r="N4" s="21" t="s">
        <v>6</v>
      </c>
      <c r="P4" s="414" t="s">
        <v>7</v>
      </c>
      <c r="Q4" s="415"/>
      <c r="R4" s="408"/>
    </row>
    <row r="5" spans="1:21" ht="18" thickBot="1" x14ac:dyDescent="0.35">
      <c r="A5" s="22" t="s">
        <v>8</v>
      </c>
      <c r="B5" s="23">
        <v>44774</v>
      </c>
      <c r="C5" s="24">
        <v>0</v>
      </c>
      <c r="D5" s="25"/>
      <c r="E5" s="26">
        <v>44774</v>
      </c>
      <c r="F5" s="27">
        <v>62335</v>
      </c>
      <c r="H5" s="28">
        <v>44774</v>
      </c>
      <c r="I5" s="29">
        <v>141</v>
      </c>
      <c r="J5" s="6"/>
      <c r="K5" s="174"/>
      <c r="L5" s="8"/>
      <c r="M5" s="30">
        <f>25000+34594</f>
        <v>59594</v>
      </c>
      <c r="N5" s="31">
        <v>2600</v>
      </c>
      <c r="P5" s="32">
        <f>N5+M5+L5+I5+C5</f>
        <v>62335</v>
      </c>
      <c r="Q5" s="12">
        <f t="shared" ref="Q5:Q39" si="0">P5-F5</f>
        <v>0</v>
      </c>
      <c r="R5" s="12">
        <v>0</v>
      </c>
    </row>
    <row r="6" spans="1:21" ht="18" thickBot="1" x14ac:dyDescent="0.35">
      <c r="A6" s="22"/>
      <c r="B6" s="23">
        <v>44775</v>
      </c>
      <c r="C6" s="24">
        <v>4700</v>
      </c>
      <c r="D6" s="34" t="s">
        <v>47</v>
      </c>
      <c r="E6" s="26">
        <v>44775</v>
      </c>
      <c r="F6" s="27">
        <v>62729</v>
      </c>
      <c r="H6" s="28">
        <v>44775</v>
      </c>
      <c r="I6" s="29">
        <v>35</v>
      </c>
      <c r="J6" s="36"/>
      <c r="K6" s="37"/>
      <c r="L6" s="38"/>
      <c r="M6" s="30">
        <f>10000+57853</f>
        <v>67853</v>
      </c>
      <c r="N6" s="31">
        <v>0</v>
      </c>
      <c r="P6" s="32">
        <f t="shared" ref="P6:P40" si="1">N6+M6+L6+I6+C6</f>
        <v>72588</v>
      </c>
      <c r="Q6" s="12">
        <v>0</v>
      </c>
      <c r="R6" s="283">
        <v>9859</v>
      </c>
    </row>
    <row r="7" spans="1:21" ht="18" thickBot="1" x14ac:dyDescent="0.35">
      <c r="A7" s="22"/>
      <c r="B7" s="23">
        <v>44776</v>
      </c>
      <c r="C7" s="24">
        <v>13</v>
      </c>
      <c r="D7" s="39" t="s">
        <v>34</v>
      </c>
      <c r="E7" s="26">
        <v>44776</v>
      </c>
      <c r="F7" s="1">
        <v>41829</v>
      </c>
      <c r="H7" s="28">
        <v>44776</v>
      </c>
      <c r="I7" s="29">
        <v>140</v>
      </c>
      <c r="J7" s="36"/>
      <c r="K7" s="40"/>
      <c r="L7" s="38"/>
      <c r="M7" s="30">
        <f>10000+47248</f>
        <v>57248</v>
      </c>
      <c r="N7" s="31">
        <v>1200</v>
      </c>
      <c r="P7" s="32">
        <f>N7+M7+L7+I7+C7</f>
        <v>58601</v>
      </c>
      <c r="Q7" s="12">
        <v>0</v>
      </c>
      <c r="R7" s="176">
        <v>16772</v>
      </c>
    </row>
    <row r="8" spans="1:21" ht="18" thickBot="1" x14ac:dyDescent="0.35">
      <c r="A8" s="22"/>
      <c r="B8" s="23">
        <v>44777</v>
      </c>
      <c r="C8" s="292">
        <v>5</v>
      </c>
      <c r="D8" s="39" t="s">
        <v>34</v>
      </c>
      <c r="E8" s="26">
        <v>44777</v>
      </c>
      <c r="F8" s="27">
        <v>82001</v>
      </c>
      <c r="H8" s="28">
        <v>44777</v>
      </c>
      <c r="I8" s="29">
        <v>101</v>
      </c>
      <c r="J8" s="42"/>
      <c r="K8" s="43"/>
      <c r="L8" s="38"/>
      <c r="M8" s="30">
        <f>15000+70195</f>
        <v>85195</v>
      </c>
      <c r="N8" s="31">
        <v>1400</v>
      </c>
      <c r="P8" s="32">
        <f t="shared" si="1"/>
        <v>86701</v>
      </c>
      <c r="Q8" s="12">
        <v>0</v>
      </c>
      <c r="R8" s="176">
        <v>4700</v>
      </c>
    </row>
    <row r="9" spans="1:21" ht="18" thickBot="1" x14ac:dyDescent="0.35">
      <c r="A9" s="22"/>
      <c r="B9" s="23">
        <v>44778</v>
      </c>
      <c r="C9" s="24">
        <v>8450</v>
      </c>
      <c r="D9" s="39" t="s">
        <v>422</v>
      </c>
      <c r="E9" s="26">
        <v>44778</v>
      </c>
      <c r="F9" s="27">
        <v>123903</v>
      </c>
      <c r="H9" s="28">
        <v>44778</v>
      </c>
      <c r="I9" s="29">
        <v>106</v>
      </c>
      <c r="J9" s="36"/>
      <c r="K9" s="44"/>
      <c r="L9" s="38"/>
      <c r="M9" s="30">
        <f>40000+60000+22800+374</f>
        <v>123174</v>
      </c>
      <c r="N9" s="31">
        <v>0</v>
      </c>
      <c r="P9" s="32">
        <f t="shared" si="1"/>
        <v>131730</v>
      </c>
      <c r="Q9" s="12">
        <v>0</v>
      </c>
      <c r="R9" s="176">
        <v>7827</v>
      </c>
    </row>
    <row r="10" spans="1:21" ht="18" thickBot="1" x14ac:dyDescent="0.35">
      <c r="A10" s="22"/>
      <c r="B10" s="23">
        <v>44779</v>
      </c>
      <c r="C10" s="24">
        <v>10</v>
      </c>
      <c r="D10" s="34" t="s">
        <v>34</v>
      </c>
      <c r="E10" s="26">
        <v>44779</v>
      </c>
      <c r="F10" s="27">
        <v>101841</v>
      </c>
      <c r="H10" s="28">
        <v>44779</v>
      </c>
      <c r="I10" s="29">
        <v>146</v>
      </c>
      <c r="J10" s="36">
        <v>44779</v>
      </c>
      <c r="K10" s="45" t="s">
        <v>423</v>
      </c>
      <c r="L10" s="46">
        <v>10000</v>
      </c>
      <c r="M10" s="30">
        <f>15000+55000+16368</f>
        <v>86368</v>
      </c>
      <c r="N10" s="31">
        <v>5317</v>
      </c>
      <c r="P10" s="32">
        <f>N10+M10+L10+I10+C10</f>
        <v>101841</v>
      </c>
      <c r="Q10" s="12">
        <f t="shared" ref="Q10:Q36" si="2">P10-F10</f>
        <v>0</v>
      </c>
      <c r="R10" s="8">
        <v>0</v>
      </c>
      <c r="U10" t="s">
        <v>8</v>
      </c>
    </row>
    <row r="11" spans="1:21" ht="18" thickBot="1" x14ac:dyDescent="0.35">
      <c r="A11" s="22"/>
      <c r="B11" s="23">
        <v>44780</v>
      </c>
      <c r="C11" s="24">
        <v>0</v>
      </c>
      <c r="D11" s="34"/>
      <c r="E11" s="26">
        <v>44780</v>
      </c>
      <c r="F11" s="27">
        <v>120014</v>
      </c>
      <c r="H11" s="28">
        <v>44780</v>
      </c>
      <c r="I11" s="29">
        <v>100</v>
      </c>
      <c r="J11" s="42"/>
      <c r="K11" s="47"/>
      <c r="L11" s="38"/>
      <c r="M11" s="30">
        <f>85000+30000+19176</f>
        <v>134176</v>
      </c>
      <c r="N11" s="31">
        <v>1954</v>
      </c>
      <c r="P11" s="32">
        <f>N11+M11+L11+I11+C11</f>
        <v>136230</v>
      </c>
      <c r="Q11" s="12">
        <v>0</v>
      </c>
      <c r="R11" s="176">
        <v>16216</v>
      </c>
    </row>
    <row r="12" spans="1:21" ht="18" thickBot="1" x14ac:dyDescent="0.35">
      <c r="A12" s="22"/>
      <c r="B12" s="23">
        <v>44781</v>
      </c>
      <c r="C12" s="24">
        <v>0</v>
      </c>
      <c r="D12" s="34"/>
      <c r="E12" s="26">
        <v>44781</v>
      </c>
      <c r="F12" s="27">
        <v>66101</v>
      </c>
      <c r="H12" s="28">
        <v>44781</v>
      </c>
      <c r="I12" s="29">
        <v>35</v>
      </c>
      <c r="J12" s="36"/>
      <c r="K12" s="48"/>
      <c r="L12" s="38"/>
      <c r="M12" s="30">
        <f>11000+54697</f>
        <v>65697</v>
      </c>
      <c r="N12" s="31">
        <v>369</v>
      </c>
      <c r="P12" s="32">
        <f t="shared" si="1"/>
        <v>66101</v>
      </c>
      <c r="Q12" s="12">
        <f t="shared" si="2"/>
        <v>0</v>
      </c>
      <c r="R12" s="8">
        <v>0</v>
      </c>
    </row>
    <row r="13" spans="1:21" ht="18" thickBot="1" x14ac:dyDescent="0.35">
      <c r="A13" s="22"/>
      <c r="B13" s="23">
        <v>44782</v>
      </c>
      <c r="C13" s="24">
        <v>17820</v>
      </c>
      <c r="D13" s="39" t="s">
        <v>424</v>
      </c>
      <c r="E13" s="26">
        <v>44782</v>
      </c>
      <c r="F13" s="27">
        <v>83219</v>
      </c>
      <c r="H13" s="28">
        <v>44782</v>
      </c>
      <c r="I13" s="29">
        <v>95</v>
      </c>
      <c r="J13" s="36"/>
      <c r="K13" s="37"/>
      <c r="L13" s="38"/>
      <c r="M13" s="30">
        <f>49505+15000</f>
        <v>64505</v>
      </c>
      <c r="N13" s="31">
        <v>799</v>
      </c>
      <c r="P13" s="32">
        <f t="shared" si="1"/>
        <v>83219</v>
      </c>
      <c r="Q13" s="12">
        <f t="shared" si="2"/>
        <v>0</v>
      </c>
      <c r="R13" s="8">
        <v>0</v>
      </c>
    </row>
    <row r="14" spans="1:21" ht="18" thickBot="1" x14ac:dyDescent="0.35">
      <c r="A14" s="22"/>
      <c r="B14" s="23">
        <v>44783</v>
      </c>
      <c r="C14" s="24">
        <v>0</v>
      </c>
      <c r="D14" s="49"/>
      <c r="E14" s="26">
        <v>44783</v>
      </c>
      <c r="F14" s="27">
        <v>71645</v>
      </c>
      <c r="H14" s="28">
        <v>44783</v>
      </c>
      <c r="I14" s="29">
        <v>264</v>
      </c>
      <c r="J14" s="36"/>
      <c r="K14" s="43"/>
      <c r="L14" s="38"/>
      <c r="M14" s="30">
        <f>10000+60626</f>
        <v>70626</v>
      </c>
      <c r="N14" s="31">
        <v>755</v>
      </c>
      <c r="P14" s="32">
        <f t="shared" si="1"/>
        <v>71645</v>
      </c>
      <c r="Q14" s="12">
        <f t="shared" si="2"/>
        <v>0</v>
      </c>
      <c r="R14" s="8">
        <v>0</v>
      </c>
    </row>
    <row r="15" spans="1:21" ht="18" thickBot="1" x14ac:dyDescent="0.35">
      <c r="A15" s="22"/>
      <c r="B15" s="23">
        <v>44784</v>
      </c>
      <c r="C15" s="24">
        <v>0</v>
      </c>
      <c r="D15" s="49"/>
      <c r="E15" s="26">
        <v>44784</v>
      </c>
      <c r="F15" s="27">
        <v>75242</v>
      </c>
      <c r="H15" s="28">
        <v>44784</v>
      </c>
      <c r="I15" s="29">
        <v>56</v>
      </c>
      <c r="J15" s="36"/>
      <c r="K15" s="43"/>
      <c r="L15" s="38"/>
      <c r="M15" s="30">
        <f>20000+54661</f>
        <v>74661</v>
      </c>
      <c r="N15" s="31">
        <v>525</v>
      </c>
      <c r="P15" s="32">
        <f t="shared" si="1"/>
        <v>75242</v>
      </c>
      <c r="Q15" s="12">
        <f t="shared" si="2"/>
        <v>0</v>
      </c>
      <c r="R15" s="8">
        <v>0</v>
      </c>
    </row>
    <row r="16" spans="1:21" ht="18" thickBot="1" x14ac:dyDescent="0.35">
      <c r="A16" s="22"/>
      <c r="B16" s="23">
        <v>44785</v>
      </c>
      <c r="C16" s="24">
        <v>12186</v>
      </c>
      <c r="D16" s="34" t="s">
        <v>425</v>
      </c>
      <c r="E16" s="26">
        <v>44785</v>
      </c>
      <c r="F16" s="27">
        <v>100267</v>
      </c>
      <c r="H16" s="28">
        <v>44785</v>
      </c>
      <c r="I16" s="29">
        <v>107</v>
      </c>
      <c r="J16" s="36"/>
      <c r="K16" s="43"/>
      <c r="L16" s="8"/>
      <c r="M16" s="30">
        <f>35000+52152</f>
        <v>87152</v>
      </c>
      <c r="N16" s="31">
        <v>822</v>
      </c>
      <c r="P16" s="32">
        <f t="shared" si="1"/>
        <v>100267</v>
      </c>
      <c r="Q16" s="12">
        <f t="shared" si="2"/>
        <v>0</v>
      </c>
      <c r="R16" s="8">
        <v>0</v>
      </c>
    </row>
    <row r="17" spans="1:18" ht="18" thickBot="1" x14ac:dyDescent="0.35">
      <c r="A17" s="22"/>
      <c r="B17" s="23">
        <v>44786</v>
      </c>
      <c r="C17" s="24">
        <v>0</v>
      </c>
      <c r="D17" s="39"/>
      <c r="E17" s="26">
        <v>44786</v>
      </c>
      <c r="F17" s="27">
        <v>86993</v>
      </c>
      <c r="H17" s="28">
        <v>44786</v>
      </c>
      <c r="I17" s="29">
        <v>420</v>
      </c>
      <c r="J17" s="36">
        <v>44786</v>
      </c>
      <c r="K17" s="50" t="s">
        <v>426</v>
      </c>
      <c r="L17" s="46">
        <v>10000</v>
      </c>
      <c r="M17" s="30">
        <f>15000+54861</f>
        <v>69861</v>
      </c>
      <c r="N17" s="31">
        <v>6712</v>
      </c>
      <c r="P17" s="32">
        <f t="shared" si="1"/>
        <v>86993</v>
      </c>
      <c r="Q17" s="12">
        <f t="shared" si="2"/>
        <v>0</v>
      </c>
      <c r="R17" s="8">
        <v>0</v>
      </c>
    </row>
    <row r="18" spans="1:18" ht="18" thickBot="1" x14ac:dyDescent="0.35">
      <c r="A18" s="22"/>
      <c r="B18" s="23">
        <v>44787</v>
      </c>
      <c r="C18" s="24">
        <v>0</v>
      </c>
      <c r="D18" s="34"/>
      <c r="E18" s="26">
        <v>44787</v>
      </c>
      <c r="F18" s="27">
        <v>160010</v>
      </c>
      <c r="H18" s="28">
        <v>44787</v>
      </c>
      <c r="I18" s="29">
        <v>45</v>
      </c>
      <c r="J18" s="36"/>
      <c r="K18" s="51"/>
      <c r="L18" s="38"/>
      <c r="M18" s="30">
        <f>13410+85000+60000</f>
        <v>158410</v>
      </c>
      <c r="N18" s="31">
        <v>1555</v>
      </c>
      <c r="P18" s="32">
        <f t="shared" si="1"/>
        <v>160010</v>
      </c>
      <c r="Q18" s="12">
        <f t="shared" si="2"/>
        <v>0</v>
      </c>
      <c r="R18" s="8">
        <v>0</v>
      </c>
    </row>
    <row r="19" spans="1:18" ht="18" thickBot="1" x14ac:dyDescent="0.35">
      <c r="A19" s="22"/>
      <c r="B19" s="23">
        <v>44788</v>
      </c>
      <c r="C19" s="24">
        <v>0</v>
      </c>
      <c r="D19" s="34"/>
      <c r="E19" s="26">
        <v>44788</v>
      </c>
      <c r="F19" s="27">
        <v>62286</v>
      </c>
      <c r="H19" s="28">
        <v>44788</v>
      </c>
      <c r="I19" s="29">
        <v>67</v>
      </c>
      <c r="J19" s="36"/>
      <c r="K19" s="52"/>
      <c r="L19" s="53"/>
      <c r="M19" s="30">
        <f>27000+32120</f>
        <v>59120</v>
      </c>
      <c r="N19" s="31">
        <v>3100</v>
      </c>
      <c r="P19" s="32">
        <f t="shared" si="1"/>
        <v>62287</v>
      </c>
      <c r="Q19" s="12">
        <f t="shared" si="2"/>
        <v>1</v>
      </c>
      <c r="R19" s="8">
        <v>0</v>
      </c>
    </row>
    <row r="20" spans="1:18" ht="18" thickBot="1" x14ac:dyDescent="0.35">
      <c r="A20" s="22"/>
      <c r="B20" s="23">
        <v>44789</v>
      </c>
      <c r="C20" s="24">
        <v>3040</v>
      </c>
      <c r="D20" s="34" t="s">
        <v>427</v>
      </c>
      <c r="E20" s="26">
        <v>44789</v>
      </c>
      <c r="F20" s="27">
        <v>89018</v>
      </c>
      <c r="H20" s="28">
        <v>44789</v>
      </c>
      <c r="I20" s="29">
        <v>185</v>
      </c>
      <c r="J20" s="36"/>
      <c r="K20" s="54"/>
      <c r="L20" s="46"/>
      <c r="M20" s="30">
        <f>50000+32793</f>
        <v>82793</v>
      </c>
      <c r="N20" s="31">
        <v>3000</v>
      </c>
      <c r="P20" s="32">
        <f t="shared" si="1"/>
        <v>89018</v>
      </c>
      <c r="Q20" s="12">
        <f t="shared" si="2"/>
        <v>0</v>
      </c>
      <c r="R20" s="8">
        <v>0</v>
      </c>
    </row>
    <row r="21" spans="1:18" ht="18" thickBot="1" x14ac:dyDescent="0.35">
      <c r="A21" s="22"/>
      <c r="B21" s="23">
        <v>44790</v>
      </c>
      <c r="C21" s="24">
        <v>11</v>
      </c>
      <c r="D21" s="34" t="s">
        <v>34</v>
      </c>
      <c r="E21" s="26">
        <v>44790</v>
      </c>
      <c r="F21" s="27">
        <v>69367</v>
      </c>
      <c r="H21" s="28">
        <v>44790</v>
      </c>
      <c r="I21" s="29">
        <v>130</v>
      </c>
      <c r="J21" s="36"/>
      <c r="K21" s="55"/>
      <c r="L21" s="46"/>
      <c r="M21" s="30">
        <f>48509+20000</f>
        <v>68509</v>
      </c>
      <c r="N21" s="31">
        <v>717</v>
      </c>
      <c r="P21" s="32">
        <f t="shared" si="1"/>
        <v>69367</v>
      </c>
      <c r="Q21" s="12">
        <f t="shared" si="2"/>
        <v>0</v>
      </c>
      <c r="R21" s="8">
        <v>0</v>
      </c>
    </row>
    <row r="22" spans="1:18" ht="18" thickBot="1" x14ac:dyDescent="0.35">
      <c r="A22" s="22"/>
      <c r="B22" s="23">
        <v>44791</v>
      </c>
      <c r="C22" s="24">
        <v>0</v>
      </c>
      <c r="D22" s="34"/>
      <c r="E22" s="26">
        <v>44791</v>
      </c>
      <c r="F22" s="27">
        <v>78185</v>
      </c>
      <c r="H22" s="28">
        <v>44791</v>
      </c>
      <c r="I22" s="29">
        <v>144</v>
      </c>
      <c r="J22" s="36"/>
      <c r="K22" s="43"/>
      <c r="L22" s="56"/>
      <c r="M22" s="30">
        <f>56888+20000</f>
        <v>76888</v>
      </c>
      <c r="N22" s="31">
        <v>1153</v>
      </c>
      <c r="P22" s="32">
        <f t="shared" si="1"/>
        <v>78185</v>
      </c>
      <c r="Q22" s="12">
        <f t="shared" si="2"/>
        <v>0</v>
      </c>
      <c r="R22" s="8">
        <v>0</v>
      </c>
    </row>
    <row r="23" spans="1:18" ht="18" thickBot="1" x14ac:dyDescent="0.35">
      <c r="A23" s="22"/>
      <c r="B23" s="23">
        <v>44792</v>
      </c>
      <c r="C23" s="24">
        <v>23190</v>
      </c>
      <c r="D23" s="34" t="s">
        <v>49</v>
      </c>
      <c r="E23" s="26">
        <v>44792</v>
      </c>
      <c r="F23" s="27">
        <v>90916</v>
      </c>
      <c r="H23" s="28">
        <v>44792</v>
      </c>
      <c r="I23" s="29">
        <v>230</v>
      </c>
      <c r="J23" s="57"/>
      <c r="K23" s="58"/>
      <c r="L23" s="46"/>
      <c r="M23" s="30">
        <f>40000+25848</f>
        <v>65848</v>
      </c>
      <c r="N23" s="31">
        <v>1648</v>
      </c>
      <c r="P23" s="32">
        <f t="shared" si="1"/>
        <v>90916</v>
      </c>
      <c r="Q23" s="12">
        <f t="shared" si="2"/>
        <v>0</v>
      </c>
      <c r="R23" s="8">
        <v>0</v>
      </c>
    </row>
    <row r="24" spans="1:18" ht="18" thickBot="1" x14ac:dyDescent="0.35">
      <c r="A24" s="22"/>
      <c r="B24" s="23">
        <v>44793</v>
      </c>
      <c r="C24" s="24">
        <v>0</v>
      </c>
      <c r="D24" s="39"/>
      <c r="E24" s="26">
        <v>44793</v>
      </c>
      <c r="F24" s="27">
        <v>116105</v>
      </c>
      <c r="H24" s="28">
        <v>44793</v>
      </c>
      <c r="I24" s="29">
        <v>116</v>
      </c>
      <c r="J24" s="173">
        <v>44793</v>
      </c>
      <c r="K24" s="60" t="s">
        <v>454</v>
      </c>
      <c r="L24" s="61">
        <v>9500</v>
      </c>
      <c r="M24" s="30">
        <f>67009+35000</f>
        <v>102009</v>
      </c>
      <c r="N24" s="31">
        <v>4480</v>
      </c>
      <c r="P24" s="32">
        <f t="shared" si="1"/>
        <v>116105</v>
      </c>
      <c r="Q24" s="12">
        <f t="shared" si="2"/>
        <v>0</v>
      </c>
      <c r="R24" s="8">
        <v>0</v>
      </c>
    </row>
    <row r="25" spans="1:18" ht="18" thickBot="1" x14ac:dyDescent="0.35">
      <c r="A25" s="22"/>
      <c r="B25" s="23">
        <v>44794</v>
      </c>
      <c r="C25" s="24">
        <v>3180</v>
      </c>
      <c r="D25" s="34" t="s">
        <v>47</v>
      </c>
      <c r="E25" s="26">
        <v>44794</v>
      </c>
      <c r="F25" s="27">
        <v>128512</v>
      </c>
      <c r="H25" s="28">
        <v>44794</v>
      </c>
      <c r="I25" s="29">
        <v>90</v>
      </c>
      <c r="J25" s="62"/>
      <c r="K25" s="280"/>
      <c r="L25" s="64"/>
      <c r="M25" s="30">
        <f>60000+50000+12403</f>
        <v>122403</v>
      </c>
      <c r="N25" s="31">
        <v>2839</v>
      </c>
      <c r="O25" t="s">
        <v>8</v>
      </c>
      <c r="P25" s="32">
        <f t="shared" si="1"/>
        <v>128512</v>
      </c>
      <c r="Q25" s="12">
        <f t="shared" si="2"/>
        <v>0</v>
      </c>
      <c r="R25" s="8">
        <v>0</v>
      </c>
    </row>
    <row r="26" spans="1:18" ht="18" thickBot="1" x14ac:dyDescent="0.35">
      <c r="A26" s="22"/>
      <c r="B26" s="23">
        <v>44795</v>
      </c>
      <c r="C26" s="24">
        <v>0</v>
      </c>
      <c r="D26" s="34"/>
      <c r="E26" s="26">
        <v>44795</v>
      </c>
      <c r="F26" s="27">
        <v>52480</v>
      </c>
      <c r="H26" s="28">
        <v>44795</v>
      </c>
      <c r="I26" s="29">
        <v>119</v>
      </c>
      <c r="J26" s="36"/>
      <c r="K26" s="60"/>
      <c r="L26" s="46"/>
      <c r="M26" s="30">
        <f>37111+10000</f>
        <v>47111</v>
      </c>
      <c r="N26" s="31">
        <v>5250</v>
      </c>
      <c r="P26" s="32">
        <f t="shared" si="1"/>
        <v>52480</v>
      </c>
      <c r="Q26" s="12">
        <f t="shared" si="2"/>
        <v>0</v>
      </c>
      <c r="R26" s="8">
        <v>0</v>
      </c>
    </row>
    <row r="27" spans="1:18" ht="18" thickBot="1" x14ac:dyDescent="0.35">
      <c r="A27" s="22"/>
      <c r="B27" s="23">
        <v>44796</v>
      </c>
      <c r="C27" s="24">
        <v>450</v>
      </c>
      <c r="D27" s="39" t="s">
        <v>47</v>
      </c>
      <c r="E27" s="26">
        <v>44796</v>
      </c>
      <c r="F27" s="27">
        <v>62313</v>
      </c>
      <c r="H27" s="28">
        <v>44796</v>
      </c>
      <c r="I27" s="29">
        <v>66</v>
      </c>
      <c r="J27" s="65"/>
      <c r="K27" s="66"/>
      <c r="L27" s="64"/>
      <c r="M27" s="30">
        <f>20000+1000+40637</f>
        <v>61637</v>
      </c>
      <c r="N27" s="31">
        <v>160</v>
      </c>
      <c r="P27" s="32">
        <f t="shared" si="1"/>
        <v>62313</v>
      </c>
      <c r="Q27" s="12">
        <f t="shared" si="2"/>
        <v>0</v>
      </c>
      <c r="R27" s="8">
        <v>0</v>
      </c>
    </row>
    <row r="28" spans="1:18" ht="18" thickBot="1" x14ac:dyDescent="0.35">
      <c r="A28" s="22"/>
      <c r="B28" s="23">
        <v>44797</v>
      </c>
      <c r="C28" s="24">
        <v>0</v>
      </c>
      <c r="D28" s="39"/>
      <c r="E28" s="26">
        <v>44797</v>
      </c>
      <c r="F28" s="27">
        <v>83782</v>
      </c>
      <c r="H28" s="28">
        <v>44797</v>
      </c>
      <c r="I28" s="29">
        <v>93</v>
      </c>
      <c r="J28" s="67"/>
      <c r="K28" s="68"/>
      <c r="L28" s="64"/>
      <c r="M28" s="30">
        <f>25000+56677</f>
        <v>81677</v>
      </c>
      <c r="N28" s="31">
        <v>2012</v>
      </c>
      <c r="P28" s="32">
        <f t="shared" si="1"/>
        <v>83782</v>
      </c>
      <c r="Q28" s="12">
        <f t="shared" si="2"/>
        <v>0</v>
      </c>
      <c r="R28" s="8">
        <v>0</v>
      </c>
    </row>
    <row r="29" spans="1:18" ht="18" thickBot="1" x14ac:dyDescent="0.35">
      <c r="A29" s="22"/>
      <c r="B29" s="23">
        <v>44798</v>
      </c>
      <c r="C29" s="24">
        <v>20847</v>
      </c>
      <c r="D29" s="69" t="s">
        <v>49</v>
      </c>
      <c r="E29" s="26">
        <v>44798</v>
      </c>
      <c r="F29" s="27">
        <v>98680</v>
      </c>
      <c r="H29" s="28">
        <v>44798</v>
      </c>
      <c r="I29" s="29">
        <v>18</v>
      </c>
      <c r="J29" s="65"/>
      <c r="K29" s="70"/>
      <c r="L29" s="64"/>
      <c r="M29" s="30">
        <f>40000+35392</f>
        <v>75392</v>
      </c>
      <c r="N29" s="31">
        <v>2423</v>
      </c>
      <c r="P29" s="32">
        <f t="shared" si="1"/>
        <v>98680</v>
      </c>
      <c r="Q29" s="12">
        <f t="shared" si="2"/>
        <v>0</v>
      </c>
      <c r="R29" s="8">
        <v>0</v>
      </c>
    </row>
    <row r="30" spans="1:18" ht="18" thickBot="1" x14ac:dyDescent="0.35">
      <c r="A30" s="22"/>
      <c r="B30" s="23">
        <v>44799</v>
      </c>
      <c r="C30" s="24">
        <v>0</v>
      </c>
      <c r="D30" s="69"/>
      <c r="E30" s="26">
        <v>44799</v>
      </c>
      <c r="F30" s="27">
        <v>79287</v>
      </c>
      <c r="H30" s="28">
        <v>44799</v>
      </c>
      <c r="I30" s="29">
        <v>230</v>
      </c>
      <c r="J30" s="71"/>
      <c r="K30" s="72"/>
      <c r="L30" s="73"/>
      <c r="M30" s="30">
        <f>15000+62857</f>
        <v>77857</v>
      </c>
      <c r="N30" s="31">
        <v>1200</v>
      </c>
      <c r="P30" s="32">
        <f t="shared" si="1"/>
        <v>79287</v>
      </c>
      <c r="Q30" s="12" t="s">
        <v>8</v>
      </c>
      <c r="R30" s="8">
        <v>0</v>
      </c>
    </row>
    <row r="31" spans="1:18" ht="18" thickBot="1" x14ac:dyDescent="0.35">
      <c r="A31" s="22"/>
      <c r="B31" s="23">
        <v>44800</v>
      </c>
      <c r="C31" s="24">
        <v>0</v>
      </c>
      <c r="D31" s="81"/>
      <c r="E31" s="26">
        <v>44800</v>
      </c>
      <c r="F31" s="27">
        <v>133187</v>
      </c>
      <c r="H31" s="28">
        <v>44800</v>
      </c>
      <c r="I31" s="29">
        <v>100</v>
      </c>
      <c r="J31" s="71">
        <v>44800</v>
      </c>
      <c r="K31" s="74" t="s">
        <v>455</v>
      </c>
      <c r="L31" s="75">
        <v>9500</v>
      </c>
      <c r="M31" s="30">
        <f>60000+55000</f>
        <v>115000</v>
      </c>
      <c r="N31" s="31">
        <v>8587</v>
      </c>
      <c r="P31" s="32">
        <f t="shared" si="1"/>
        <v>133187</v>
      </c>
      <c r="Q31" s="12">
        <f t="shared" si="2"/>
        <v>0</v>
      </c>
      <c r="R31" s="8">
        <v>0</v>
      </c>
    </row>
    <row r="32" spans="1:18" ht="18" thickBot="1" x14ac:dyDescent="0.35">
      <c r="A32" s="22"/>
      <c r="B32" s="23">
        <v>44801</v>
      </c>
      <c r="C32" s="24">
        <v>0</v>
      </c>
      <c r="D32" s="76"/>
      <c r="E32" s="26">
        <v>44801</v>
      </c>
      <c r="F32" s="27">
        <v>135166</v>
      </c>
      <c r="H32" s="28">
        <v>44801</v>
      </c>
      <c r="I32" s="29">
        <v>131</v>
      </c>
      <c r="J32" s="71"/>
      <c r="K32" s="72"/>
      <c r="L32" s="73"/>
      <c r="M32" s="30">
        <f>80000+40000+14495</f>
        <v>134495</v>
      </c>
      <c r="N32" s="31">
        <v>540</v>
      </c>
      <c r="P32" s="32">
        <f t="shared" si="1"/>
        <v>135166</v>
      </c>
      <c r="Q32" s="12">
        <f t="shared" si="2"/>
        <v>0</v>
      </c>
      <c r="R32" s="8">
        <v>0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1"/>
        <v>0</v>
      </c>
      <c r="Q33" s="12">
        <f t="shared" si="2"/>
        <v>0</v>
      </c>
      <c r="R33" s="8">
        <v>0</v>
      </c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44786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2"/>
        <v>0</v>
      </c>
      <c r="R34" s="8">
        <v>0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44798</v>
      </c>
      <c r="K35" s="74" t="s">
        <v>463</v>
      </c>
      <c r="L35" s="78">
        <v>8406.25</v>
      </c>
      <c r="M35" s="30">
        <v>0</v>
      </c>
      <c r="N35" s="31">
        <v>0</v>
      </c>
      <c r="P35" s="32">
        <v>0</v>
      </c>
      <c r="Q35" s="12">
        <f t="shared" si="2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>
        <v>44790</v>
      </c>
      <c r="K36" s="291" t="s">
        <v>464</v>
      </c>
      <c r="L36" s="78">
        <v>549</v>
      </c>
      <c r="M36" s="30">
        <v>0</v>
      </c>
      <c r="N36" s="31">
        <v>0</v>
      </c>
      <c r="P36" s="32">
        <v>0</v>
      </c>
      <c r="Q36" s="12">
        <f t="shared" si="2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0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0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1"/>
        <v>0</v>
      </c>
      <c r="Q39" s="12">
        <f t="shared" si="0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16">
        <f>SUM(M5:M39)</f>
        <v>2375259</v>
      </c>
      <c r="N40" s="418">
        <f>SUM(N5:N39)</f>
        <v>61117</v>
      </c>
      <c r="P40" s="32">
        <f t="shared" si="1"/>
        <v>2436376</v>
      </c>
      <c r="Q40" s="284">
        <f>SUM(Q5:Q39)</f>
        <v>1</v>
      </c>
      <c r="R40" s="285">
        <f>SUM(R5:R39)</f>
        <v>55374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17"/>
      <c r="N41" s="419"/>
      <c r="P41" s="32"/>
      <c r="Q41" s="8"/>
    </row>
    <row r="42" spans="1:18" ht="17.25" hidden="1" customHeight="1" x14ac:dyDescent="0.3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93902</v>
      </c>
      <c r="D51" s="103"/>
      <c r="E51" s="104" t="s">
        <v>9</v>
      </c>
      <c r="F51" s="105">
        <f>SUM(F5:F50)</f>
        <v>2517413</v>
      </c>
      <c r="G51" s="103"/>
      <c r="H51" s="106" t="s">
        <v>10</v>
      </c>
      <c r="I51" s="107">
        <f>SUM(I5:I50)</f>
        <v>3510</v>
      </c>
      <c r="J51" s="108"/>
      <c r="K51" s="109" t="s">
        <v>11</v>
      </c>
      <c r="L51" s="110">
        <f>SUM(L5:L50)</f>
        <v>49347.25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20" t="s">
        <v>12</v>
      </c>
      <c r="I53" s="421"/>
      <c r="J53" s="114"/>
      <c r="K53" s="422">
        <f>I51+L51</f>
        <v>52857.25</v>
      </c>
      <c r="L53" s="423"/>
      <c r="M53" s="424">
        <f>N40+M40</f>
        <v>2436376</v>
      </c>
      <c r="N53" s="425"/>
      <c r="P53" s="32"/>
      <c r="Q53" s="8"/>
    </row>
    <row r="54" spans="1:17" ht="15.75" x14ac:dyDescent="0.25">
      <c r="D54" s="426" t="s">
        <v>13</v>
      </c>
      <c r="E54" s="426"/>
      <c r="F54" s="115">
        <f>F51-K53-C51</f>
        <v>2370653.75</v>
      </c>
      <c r="I54" s="116"/>
      <c r="J54" s="117"/>
      <c r="P54" s="32"/>
      <c r="Q54" s="8"/>
    </row>
    <row r="55" spans="1:17" ht="18.75" x14ac:dyDescent="0.3">
      <c r="D55" s="427" t="s">
        <v>14</v>
      </c>
      <c r="E55" s="427"/>
      <c r="F55" s="111">
        <v>-2401197.5699999998</v>
      </c>
      <c r="I55" s="428" t="s">
        <v>15</v>
      </c>
      <c r="J55" s="429"/>
      <c r="K55" s="430">
        <f>F57+F58+F59</f>
        <v>259241.77000000016</v>
      </c>
      <c r="L55" s="43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-30543.819999999832</v>
      </c>
      <c r="H57" s="22"/>
      <c r="I57" s="124" t="s">
        <v>17</v>
      </c>
      <c r="J57" s="125"/>
      <c r="K57" s="432">
        <f>-C4</f>
        <v>-273736.42</v>
      </c>
      <c r="L57" s="433"/>
    </row>
    <row r="58" spans="1:17" ht="16.5" thickBot="1" x14ac:dyDescent="0.3">
      <c r="D58" s="126" t="s">
        <v>18</v>
      </c>
      <c r="E58" s="33" t="s">
        <v>19</v>
      </c>
      <c r="F58" s="127">
        <v>53385</v>
      </c>
    </row>
    <row r="59" spans="1:17" ht="20.25" thickTop="1" thickBot="1" x14ac:dyDescent="0.35">
      <c r="C59" s="128">
        <v>44801</v>
      </c>
      <c r="D59" s="409" t="s">
        <v>20</v>
      </c>
      <c r="E59" s="410"/>
      <c r="F59" s="129">
        <v>236400.59</v>
      </c>
      <c r="I59" s="435" t="s">
        <v>325</v>
      </c>
      <c r="J59" s="436"/>
      <c r="K59" s="437">
        <f>K55+K57</f>
        <v>-14494.64999999982</v>
      </c>
      <c r="L59" s="43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18" workbookViewId="0">
      <selection activeCell="E37" sqref="E37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44774</v>
      </c>
      <c r="B3" s="255" t="s">
        <v>428</v>
      </c>
      <c r="C3" s="256">
        <v>91101.64</v>
      </c>
      <c r="D3" s="302">
        <v>44778</v>
      </c>
      <c r="E3" s="303">
        <v>91101.64</v>
      </c>
      <c r="F3" s="152">
        <f>C3-E3</f>
        <v>0</v>
      </c>
      <c r="J3" s="127"/>
    </row>
    <row r="4" spans="1:10" ht="15.75" x14ac:dyDescent="0.25">
      <c r="A4" s="257">
        <v>44775</v>
      </c>
      <c r="B4" s="258" t="s">
        <v>429</v>
      </c>
      <c r="C4" s="127">
        <v>11743.2</v>
      </c>
      <c r="D4" s="302">
        <v>44778</v>
      </c>
      <c r="E4" s="294">
        <v>11743.2</v>
      </c>
      <c r="F4" s="188">
        <f>C4-E4+F3</f>
        <v>0</v>
      </c>
      <c r="J4" s="256"/>
    </row>
    <row r="5" spans="1:10" ht="15.75" x14ac:dyDescent="0.25">
      <c r="A5" s="257">
        <v>44776</v>
      </c>
      <c r="B5" s="258" t="s">
        <v>430</v>
      </c>
      <c r="C5" s="127">
        <v>106066.52</v>
      </c>
      <c r="D5" s="302">
        <v>44778</v>
      </c>
      <c r="E5" s="294">
        <v>106066.52</v>
      </c>
      <c r="F5" s="188">
        <f t="shared" ref="F5:F68" si="0">C5-E5+F4</f>
        <v>0</v>
      </c>
      <c r="J5" s="127"/>
    </row>
    <row r="6" spans="1:10" ht="18.75" x14ac:dyDescent="0.3">
      <c r="A6" s="257">
        <v>44776</v>
      </c>
      <c r="B6" s="258" t="s">
        <v>431</v>
      </c>
      <c r="C6" s="127">
        <v>22321.599999999999</v>
      </c>
      <c r="D6" s="302">
        <v>44778</v>
      </c>
      <c r="E6" s="294">
        <v>22321.599999999999</v>
      </c>
      <c r="F6" s="188">
        <f t="shared" si="0"/>
        <v>0</v>
      </c>
      <c r="G6" s="156"/>
      <c r="J6" s="127"/>
    </row>
    <row r="7" spans="1:10" ht="15.75" x14ac:dyDescent="0.25">
      <c r="A7" s="257">
        <v>44777</v>
      </c>
      <c r="B7" s="258" t="s">
        <v>432</v>
      </c>
      <c r="C7" s="127">
        <v>94909.4</v>
      </c>
      <c r="D7" s="302">
        <v>44778</v>
      </c>
      <c r="E7" s="294">
        <v>94909.4</v>
      </c>
      <c r="F7" s="188">
        <f t="shared" si="0"/>
        <v>0</v>
      </c>
      <c r="J7" s="127"/>
    </row>
    <row r="8" spans="1:10" ht="15.75" x14ac:dyDescent="0.25">
      <c r="A8" s="257">
        <v>44778</v>
      </c>
      <c r="B8" s="258" t="s">
        <v>433</v>
      </c>
      <c r="C8" s="127">
        <v>156187.41</v>
      </c>
      <c r="D8" s="302">
        <v>44778</v>
      </c>
      <c r="E8" s="294">
        <v>156187.41</v>
      </c>
      <c r="F8" s="188">
        <f t="shared" si="0"/>
        <v>0</v>
      </c>
      <c r="J8" s="127"/>
    </row>
    <row r="9" spans="1:10" ht="15.75" x14ac:dyDescent="0.25">
      <c r="A9" s="257">
        <v>44779</v>
      </c>
      <c r="B9" s="258" t="s">
        <v>434</v>
      </c>
      <c r="C9" s="127">
        <v>133227.72</v>
      </c>
      <c r="D9" s="276">
        <v>44785</v>
      </c>
      <c r="E9" s="277">
        <v>133227.72</v>
      </c>
      <c r="F9" s="188">
        <f t="shared" si="0"/>
        <v>0</v>
      </c>
      <c r="J9" s="127"/>
    </row>
    <row r="10" spans="1:10" ht="15.75" x14ac:dyDescent="0.25">
      <c r="A10" s="257">
        <v>44780</v>
      </c>
      <c r="B10" s="258" t="s">
        <v>435</v>
      </c>
      <c r="C10" s="127">
        <v>11673.2</v>
      </c>
      <c r="D10" s="276">
        <v>44785</v>
      </c>
      <c r="E10" s="277">
        <v>11673.2</v>
      </c>
      <c r="F10" s="188">
        <f t="shared" si="0"/>
        <v>0</v>
      </c>
      <c r="J10" s="33">
        <v>0</v>
      </c>
    </row>
    <row r="11" spans="1:10" ht="15.75" x14ac:dyDescent="0.25">
      <c r="A11" s="257">
        <v>44781</v>
      </c>
      <c r="B11" s="258" t="s">
        <v>436</v>
      </c>
      <c r="C11" s="127">
        <v>96756.18</v>
      </c>
      <c r="D11" s="276">
        <v>44785</v>
      </c>
      <c r="E11" s="277">
        <v>96756.18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44781</v>
      </c>
      <c r="B12" s="258" t="s">
        <v>437</v>
      </c>
      <c r="C12" s="127">
        <v>9469.6</v>
      </c>
      <c r="D12" s="276">
        <v>44785</v>
      </c>
      <c r="E12" s="277">
        <v>9469.6</v>
      </c>
      <c r="F12" s="188">
        <f t="shared" si="0"/>
        <v>0</v>
      </c>
      <c r="G12" s="156"/>
    </row>
    <row r="13" spans="1:10" ht="15.75" x14ac:dyDescent="0.25">
      <c r="A13" s="257">
        <v>44782</v>
      </c>
      <c r="B13" s="258" t="s">
        <v>438</v>
      </c>
      <c r="C13" s="127">
        <v>19882.8</v>
      </c>
      <c r="D13" s="276">
        <v>44785</v>
      </c>
      <c r="E13" s="277">
        <v>19882.8</v>
      </c>
      <c r="F13" s="188">
        <f t="shared" si="0"/>
        <v>0</v>
      </c>
    </row>
    <row r="14" spans="1:10" ht="15.75" x14ac:dyDescent="0.25">
      <c r="A14" s="257">
        <v>44783</v>
      </c>
      <c r="B14" s="258" t="s">
        <v>439</v>
      </c>
      <c r="C14" s="127">
        <v>135477.76000000001</v>
      </c>
      <c r="D14" s="276">
        <v>44785</v>
      </c>
      <c r="E14" s="277">
        <v>135477.76000000001</v>
      </c>
      <c r="F14" s="188">
        <f t="shared" si="0"/>
        <v>0</v>
      </c>
    </row>
    <row r="15" spans="1:10" ht="15.75" x14ac:dyDescent="0.25">
      <c r="A15" s="257">
        <v>44783</v>
      </c>
      <c r="B15" s="258" t="s">
        <v>440</v>
      </c>
      <c r="C15" s="127">
        <v>17886.400000000001</v>
      </c>
      <c r="D15" s="276">
        <v>44785</v>
      </c>
      <c r="E15" s="277">
        <v>17886.400000000001</v>
      </c>
      <c r="F15" s="188">
        <f t="shared" si="0"/>
        <v>0</v>
      </c>
    </row>
    <row r="16" spans="1:10" ht="15.75" x14ac:dyDescent="0.25">
      <c r="A16" s="257">
        <v>44784</v>
      </c>
      <c r="B16" s="258" t="s">
        <v>441</v>
      </c>
      <c r="C16" s="127">
        <v>100230.24</v>
      </c>
      <c r="D16" s="276">
        <v>44785</v>
      </c>
      <c r="E16" s="277">
        <v>100230.24</v>
      </c>
      <c r="F16" s="188">
        <f t="shared" si="0"/>
        <v>0</v>
      </c>
    </row>
    <row r="17" spans="1:7" ht="15.75" x14ac:dyDescent="0.25">
      <c r="A17" s="257">
        <v>44785</v>
      </c>
      <c r="B17" s="258" t="s">
        <v>442</v>
      </c>
      <c r="C17" s="127">
        <v>37154</v>
      </c>
      <c r="D17" s="276">
        <v>44785</v>
      </c>
      <c r="E17" s="277">
        <v>37154</v>
      </c>
      <c r="F17" s="188">
        <f t="shared" si="0"/>
        <v>0</v>
      </c>
    </row>
    <row r="18" spans="1:7" ht="15.75" x14ac:dyDescent="0.25">
      <c r="A18" s="257">
        <v>44786</v>
      </c>
      <c r="B18" s="258" t="s">
        <v>443</v>
      </c>
      <c r="C18" s="127">
        <v>160037.66</v>
      </c>
      <c r="D18" s="304">
        <v>44792</v>
      </c>
      <c r="E18" s="274">
        <v>160037.66</v>
      </c>
      <c r="F18" s="188">
        <f t="shared" si="0"/>
        <v>0</v>
      </c>
    </row>
    <row r="19" spans="1:7" ht="15.75" x14ac:dyDescent="0.25">
      <c r="A19" s="257">
        <v>44788</v>
      </c>
      <c r="B19" s="258" t="s">
        <v>444</v>
      </c>
      <c r="C19" s="127">
        <v>76183.64</v>
      </c>
      <c r="D19" s="304">
        <v>44792</v>
      </c>
      <c r="E19" s="274">
        <v>76183.64</v>
      </c>
      <c r="F19" s="188">
        <f t="shared" si="0"/>
        <v>0</v>
      </c>
    </row>
    <row r="20" spans="1:7" ht="15.75" x14ac:dyDescent="0.25">
      <c r="A20" s="257">
        <v>44788</v>
      </c>
      <c r="B20" s="258" t="s">
        <v>445</v>
      </c>
      <c r="C20" s="127">
        <v>9526.5</v>
      </c>
      <c r="D20" s="304">
        <v>44792</v>
      </c>
      <c r="E20" s="274">
        <v>9526.5</v>
      </c>
      <c r="F20" s="188">
        <f t="shared" si="0"/>
        <v>0</v>
      </c>
    </row>
    <row r="21" spans="1:7" ht="15.75" x14ac:dyDescent="0.25">
      <c r="A21" s="257">
        <v>44789</v>
      </c>
      <c r="B21" s="258" t="s">
        <v>446</v>
      </c>
      <c r="C21" s="127">
        <v>81325.56</v>
      </c>
      <c r="D21" s="304">
        <v>44792</v>
      </c>
      <c r="E21" s="274">
        <v>81325.56</v>
      </c>
      <c r="F21" s="188">
        <f t="shared" si="0"/>
        <v>0</v>
      </c>
    </row>
    <row r="22" spans="1:7" ht="15.75" x14ac:dyDescent="0.25">
      <c r="A22" s="257">
        <v>44790</v>
      </c>
      <c r="B22" s="258" t="s">
        <v>447</v>
      </c>
      <c r="C22" s="127">
        <v>17944.2</v>
      </c>
      <c r="D22" s="304">
        <v>44792</v>
      </c>
      <c r="E22" s="274">
        <v>17944.2</v>
      </c>
      <c r="F22" s="188">
        <f t="shared" si="0"/>
        <v>0</v>
      </c>
    </row>
    <row r="23" spans="1:7" ht="15.75" x14ac:dyDescent="0.25">
      <c r="A23" s="257">
        <v>44791</v>
      </c>
      <c r="B23" s="258" t="s">
        <v>448</v>
      </c>
      <c r="C23" s="127">
        <v>139269.35999999999</v>
      </c>
      <c r="D23" s="304">
        <v>44792</v>
      </c>
      <c r="E23" s="274">
        <v>139269.35999999999</v>
      </c>
      <c r="F23" s="188">
        <f t="shared" si="0"/>
        <v>0</v>
      </c>
    </row>
    <row r="24" spans="1:7" ht="18.75" x14ac:dyDescent="0.3">
      <c r="A24" s="257">
        <v>44792</v>
      </c>
      <c r="B24" s="258" t="s">
        <v>449</v>
      </c>
      <c r="C24" s="127">
        <v>152813.51999999999</v>
      </c>
      <c r="D24" s="304">
        <v>44792</v>
      </c>
      <c r="E24" s="274">
        <v>152813.51999999999</v>
      </c>
      <c r="F24" s="188">
        <f t="shared" si="0"/>
        <v>0</v>
      </c>
      <c r="G24" s="156"/>
    </row>
    <row r="25" spans="1:7" ht="15.75" x14ac:dyDescent="0.25">
      <c r="A25" s="257">
        <v>44792</v>
      </c>
      <c r="B25" s="258" t="s">
        <v>450</v>
      </c>
      <c r="C25" s="127">
        <v>1251.8</v>
      </c>
      <c r="D25" s="304">
        <v>44792</v>
      </c>
      <c r="E25" s="274">
        <v>1251.8</v>
      </c>
      <c r="F25" s="188">
        <f t="shared" si="0"/>
        <v>0</v>
      </c>
    </row>
    <row r="26" spans="1:7" ht="15.75" x14ac:dyDescent="0.25">
      <c r="A26" s="257">
        <v>44793</v>
      </c>
      <c r="B26" s="258" t="s">
        <v>451</v>
      </c>
      <c r="C26" s="127">
        <v>135851.88</v>
      </c>
      <c r="D26" s="381">
        <v>44799</v>
      </c>
      <c r="E26" s="382">
        <v>135851.88</v>
      </c>
      <c r="F26" s="188">
        <f t="shared" si="0"/>
        <v>0</v>
      </c>
    </row>
    <row r="27" spans="1:7" ht="18.75" customHeight="1" x14ac:dyDescent="0.25">
      <c r="A27" s="257">
        <v>44795</v>
      </c>
      <c r="B27" s="258" t="s">
        <v>452</v>
      </c>
      <c r="C27" s="127">
        <v>68026.320000000007</v>
      </c>
      <c r="D27" s="381">
        <v>44799</v>
      </c>
      <c r="E27" s="382">
        <v>68026.320000000007</v>
      </c>
      <c r="F27" s="188">
        <f t="shared" si="0"/>
        <v>0</v>
      </c>
    </row>
    <row r="28" spans="1:7" ht="18.75" customHeight="1" x14ac:dyDescent="0.25">
      <c r="A28" s="257">
        <v>44795</v>
      </c>
      <c r="B28" s="258" t="s">
        <v>453</v>
      </c>
      <c r="C28" s="127">
        <v>1920</v>
      </c>
      <c r="D28" s="381">
        <v>44799</v>
      </c>
      <c r="E28" s="382">
        <v>1920</v>
      </c>
      <c r="F28" s="188">
        <f t="shared" si="0"/>
        <v>0</v>
      </c>
    </row>
    <row r="29" spans="1:7" ht="18.75" customHeight="1" x14ac:dyDescent="0.25">
      <c r="A29" s="257">
        <v>44796</v>
      </c>
      <c r="B29" s="258" t="s">
        <v>456</v>
      </c>
      <c r="C29" s="127">
        <v>11649</v>
      </c>
      <c r="D29" s="381">
        <v>44799</v>
      </c>
      <c r="E29" s="382">
        <v>11649</v>
      </c>
      <c r="F29" s="188">
        <f t="shared" si="0"/>
        <v>0</v>
      </c>
    </row>
    <row r="30" spans="1:7" ht="18.75" customHeight="1" x14ac:dyDescent="0.25">
      <c r="A30" s="257">
        <v>44796</v>
      </c>
      <c r="B30" s="258" t="s">
        <v>457</v>
      </c>
      <c r="C30" s="127">
        <v>13548.8</v>
      </c>
      <c r="D30" s="381">
        <v>44799</v>
      </c>
      <c r="E30" s="382">
        <v>13548.8</v>
      </c>
      <c r="F30" s="188">
        <f t="shared" si="0"/>
        <v>0</v>
      </c>
    </row>
    <row r="31" spans="1:7" ht="18.75" customHeight="1" x14ac:dyDescent="0.25">
      <c r="A31" s="257">
        <v>44797</v>
      </c>
      <c r="B31" s="258" t="s">
        <v>458</v>
      </c>
      <c r="C31" s="127">
        <v>131246.78</v>
      </c>
      <c r="D31" s="381">
        <v>44799</v>
      </c>
      <c r="E31" s="382">
        <v>131246.78</v>
      </c>
      <c r="F31" s="188">
        <f t="shared" si="0"/>
        <v>0</v>
      </c>
    </row>
    <row r="32" spans="1:7" ht="18.75" customHeight="1" x14ac:dyDescent="0.3">
      <c r="A32" s="257">
        <v>44798</v>
      </c>
      <c r="B32" s="258" t="s">
        <v>459</v>
      </c>
      <c r="C32" s="127">
        <v>137590.51999999999</v>
      </c>
      <c r="D32" s="381">
        <v>44799</v>
      </c>
      <c r="E32" s="382">
        <v>137590.51999999999</v>
      </c>
      <c r="F32" s="188">
        <f t="shared" si="0"/>
        <v>0</v>
      </c>
      <c r="G32" s="156"/>
    </row>
    <row r="33" spans="1:6" ht="18.75" customHeight="1" x14ac:dyDescent="0.25">
      <c r="A33" s="257">
        <v>44799</v>
      </c>
      <c r="B33" s="258" t="s">
        <v>460</v>
      </c>
      <c r="C33" s="127">
        <v>42523.44</v>
      </c>
      <c r="D33" s="300">
        <v>44806</v>
      </c>
      <c r="E33" s="301">
        <v>42523.44</v>
      </c>
      <c r="F33" s="188">
        <f t="shared" si="0"/>
        <v>0</v>
      </c>
    </row>
    <row r="34" spans="1:6" ht="18.75" customHeight="1" x14ac:dyDescent="0.25">
      <c r="A34" s="257">
        <v>44800</v>
      </c>
      <c r="B34" s="258" t="s">
        <v>461</v>
      </c>
      <c r="C34" s="127">
        <v>175893.52</v>
      </c>
      <c r="D34" s="300">
        <v>44806</v>
      </c>
      <c r="E34" s="301">
        <v>175893.52</v>
      </c>
      <c r="F34" s="188">
        <f t="shared" si="0"/>
        <v>0</v>
      </c>
    </row>
    <row r="35" spans="1:6" ht="18.75" customHeight="1" x14ac:dyDescent="0.25">
      <c r="A35" s="257">
        <v>44800</v>
      </c>
      <c r="B35" s="258" t="s">
        <v>462</v>
      </c>
      <c r="C35" s="127">
        <v>507.4</v>
      </c>
      <c r="D35" s="300">
        <v>44806</v>
      </c>
      <c r="E35" s="301">
        <v>507.4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2401197.5699999998</v>
      </c>
      <c r="D79" s="181"/>
      <c r="E79" s="170">
        <f>SUM(E3:E78)</f>
        <v>2401197.5699999998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U81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D33" sqref="D33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396"/>
      <c r="C1" s="398" t="s">
        <v>465</v>
      </c>
      <c r="D1" s="399"/>
      <c r="E1" s="399"/>
      <c r="F1" s="399"/>
      <c r="G1" s="399"/>
      <c r="H1" s="399"/>
      <c r="I1" s="399"/>
      <c r="J1" s="399"/>
      <c r="K1" s="399"/>
      <c r="L1" s="399"/>
      <c r="M1" s="399"/>
    </row>
    <row r="2" spans="1:21" ht="16.5" thickBot="1" x14ac:dyDescent="0.3">
      <c r="B2" s="397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0" t="s">
        <v>0</v>
      </c>
      <c r="C3" s="401"/>
      <c r="D3" s="9"/>
      <c r="E3" s="10"/>
      <c r="F3" s="10"/>
      <c r="H3" s="402" t="s">
        <v>1</v>
      </c>
      <c r="I3" s="402"/>
      <c r="K3" s="12"/>
      <c r="L3" s="12"/>
      <c r="M3" s="4"/>
      <c r="R3" s="407" t="s">
        <v>38</v>
      </c>
    </row>
    <row r="4" spans="1:21" ht="20.25" thickTop="1" thickBot="1" x14ac:dyDescent="0.35">
      <c r="A4" s="13" t="s">
        <v>2</v>
      </c>
      <c r="B4" s="14"/>
      <c r="C4" s="15">
        <v>236400.59</v>
      </c>
      <c r="D4" s="16">
        <v>44801</v>
      </c>
      <c r="E4" s="403" t="s">
        <v>3</v>
      </c>
      <c r="F4" s="404"/>
      <c r="H4" s="405" t="s">
        <v>4</v>
      </c>
      <c r="I4" s="406"/>
      <c r="J4" s="17"/>
      <c r="K4" s="18"/>
      <c r="L4" s="19"/>
      <c r="M4" s="20" t="s">
        <v>5</v>
      </c>
      <c r="N4" s="21" t="s">
        <v>6</v>
      </c>
      <c r="P4" s="414" t="s">
        <v>7</v>
      </c>
      <c r="Q4" s="415"/>
      <c r="R4" s="408"/>
    </row>
    <row r="5" spans="1:21" ht="18" thickBot="1" x14ac:dyDescent="0.35">
      <c r="A5" s="22" t="s">
        <v>8</v>
      </c>
      <c r="B5" s="23">
        <v>44802</v>
      </c>
      <c r="C5" s="305">
        <v>4560</v>
      </c>
      <c r="D5" s="306" t="s">
        <v>47</v>
      </c>
      <c r="E5" s="307">
        <v>44802</v>
      </c>
      <c r="F5" s="308">
        <v>47920</v>
      </c>
      <c r="G5" s="309"/>
      <c r="H5" s="310">
        <v>44802</v>
      </c>
      <c r="I5" s="311">
        <v>125</v>
      </c>
      <c r="J5" s="6"/>
      <c r="K5" s="174"/>
      <c r="L5" s="8"/>
      <c r="M5" s="30">
        <f>19000+26792.5</f>
        <v>45792.5</v>
      </c>
      <c r="N5" s="31">
        <v>0</v>
      </c>
      <c r="O5" s="314"/>
      <c r="P5" s="32">
        <f>N5+M5+L5+I5+C5</f>
        <v>50477.5</v>
      </c>
      <c r="Q5" s="12">
        <v>0</v>
      </c>
      <c r="R5" s="283">
        <v>2558</v>
      </c>
      <c r="S5" s="315">
        <v>44802</v>
      </c>
    </row>
    <row r="6" spans="1:21" ht="18" thickBot="1" x14ac:dyDescent="0.35">
      <c r="A6" s="22"/>
      <c r="B6" s="23">
        <v>44803</v>
      </c>
      <c r="C6" s="24">
        <v>0</v>
      </c>
      <c r="D6" s="34"/>
      <c r="E6" s="26">
        <v>44803</v>
      </c>
      <c r="F6" s="308">
        <v>61493</v>
      </c>
      <c r="H6" s="28">
        <v>44803</v>
      </c>
      <c r="I6" s="311">
        <v>88</v>
      </c>
      <c r="J6" s="36"/>
      <c r="K6" s="37"/>
      <c r="L6" s="38"/>
      <c r="M6" s="30">
        <f>30000+57998</f>
        <v>87998</v>
      </c>
      <c r="N6" s="31">
        <v>3567</v>
      </c>
      <c r="O6" s="314"/>
      <c r="P6" s="32">
        <f t="shared" ref="P6:P40" si="0">N6+M6+L6+I6+C6</f>
        <v>91653</v>
      </c>
      <c r="Q6" s="12">
        <v>0</v>
      </c>
      <c r="R6" s="283">
        <v>30160</v>
      </c>
      <c r="S6" s="315">
        <v>44803</v>
      </c>
    </row>
    <row r="7" spans="1:21" ht="18" thickBot="1" x14ac:dyDescent="0.35">
      <c r="A7" s="22"/>
      <c r="B7" s="23">
        <v>44804</v>
      </c>
      <c r="C7" s="305">
        <v>8</v>
      </c>
      <c r="D7" s="39" t="s">
        <v>34</v>
      </c>
      <c r="E7" s="26">
        <v>44804</v>
      </c>
      <c r="F7" s="312">
        <v>36876</v>
      </c>
      <c r="G7" s="309"/>
      <c r="H7" s="28">
        <v>44804</v>
      </c>
      <c r="I7" s="311">
        <v>188</v>
      </c>
      <c r="J7" s="36"/>
      <c r="K7" s="40"/>
      <c r="L7" s="38"/>
      <c r="M7" s="30">
        <f>26630+10000</f>
        <v>36630</v>
      </c>
      <c r="N7" s="31">
        <v>50</v>
      </c>
      <c r="O7" s="314"/>
      <c r="P7" s="32">
        <f>N7+M7+L7+I7+C7</f>
        <v>36876</v>
      </c>
      <c r="Q7" s="12">
        <f t="shared" ref="Q7:Q39" si="1">P7-F7</f>
        <v>0</v>
      </c>
      <c r="R7" s="12">
        <v>0</v>
      </c>
      <c r="S7" s="314">
        <v>44804</v>
      </c>
    </row>
    <row r="8" spans="1:21" ht="18" thickBot="1" x14ac:dyDescent="0.35">
      <c r="A8" s="22"/>
      <c r="B8" s="23">
        <v>44805</v>
      </c>
      <c r="C8" s="305">
        <v>22932</v>
      </c>
      <c r="D8" s="313" t="s">
        <v>49</v>
      </c>
      <c r="E8" s="307">
        <v>44805</v>
      </c>
      <c r="F8" s="308">
        <v>61899</v>
      </c>
      <c r="G8" s="309"/>
      <c r="H8" s="310">
        <v>44805</v>
      </c>
      <c r="I8" s="311">
        <v>63</v>
      </c>
      <c r="J8" s="42"/>
      <c r="K8" s="43"/>
      <c r="L8" s="38"/>
      <c r="M8" s="30">
        <f>20000+15422</f>
        <v>35422</v>
      </c>
      <c r="N8" s="31">
        <v>3482</v>
      </c>
      <c r="O8" s="314"/>
      <c r="P8" s="32">
        <f t="shared" si="0"/>
        <v>61899</v>
      </c>
      <c r="Q8" s="12">
        <f t="shared" si="1"/>
        <v>0</v>
      </c>
      <c r="R8" s="12">
        <v>0</v>
      </c>
      <c r="S8" s="314">
        <v>44805</v>
      </c>
    </row>
    <row r="9" spans="1:21" ht="18" thickBot="1" x14ac:dyDescent="0.35">
      <c r="A9" s="22"/>
      <c r="B9" s="23">
        <v>44806</v>
      </c>
      <c r="C9" s="24">
        <v>0</v>
      </c>
      <c r="D9" s="39"/>
      <c r="E9" s="26">
        <v>44806</v>
      </c>
      <c r="F9" s="308">
        <v>111381</v>
      </c>
      <c r="G9" s="309"/>
      <c r="H9" s="310">
        <v>44806</v>
      </c>
      <c r="I9" s="311">
        <v>65</v>
      </c>
      <c r="J9" s="36"/>
      <c r="K9" s="44"/>
      <c r="L9" s="38"/>
      <c r="M9" s="30">
        <f>65000+41977</f>
        <v>106977</v>
      </c>
      <c r="N9" s="31">
        <v>4339</v>
      </c>
      <c r="O9" s="314"/>
      <c r="P9" s="32">
        <f t="shared" si="0"/>
        <v>111381</v>
      </c>
      <c r="Q9" s="12">
        <f t="shared" si="1"/>
        <v>0</v>
      </c>
      <c r="R9" s="12">
        <v>0</v>
      </c>
      <c r="S9" s="314">
        <v>44806</v>
      </c>
    </row>
    <row r="10" spans="1:21" ht="18" thickBot="1" x14ac:dyDescent="0.35">
      <c r="A10" s="22"/>
      <c r="B10" s="23">
        <v>44807</v>
      </c>
      <c r="C10" s="24">
        <v>0</v>
      </c>
      <c r="D10" s="34"/>
      <c r="E10" s="26">
        <v>44807</v>
      </c>
      <c r="F10" s="27">
        <v>93547</v>
      </c>
      <c r="H10" s="28">
        <v>44807</v>
      </c>
      <c r="I10" s="29">
        <v>73</v>
      </c>
      <c r="J10" s="36">
        <v>44807</v>
      </c>
      <c r="K10" s="45" t="s">
        <v>466</v>
      </c>
      <c r="L10" s="46">
        <f>9500+3000</f>
        <v>12500</v>
      </c>
      <c r="M10" s="30">
        <f>50000+27706</f>
        <v>77706</v>
      </c>
      <c r="N10" s="31">
        <v>7615</v>
      </c>
      <c r="O10" s="314"/>
      <c r="P10" s="32">
        <f>N10+M10+L10+I10+C10</f>
        <v>97894</v>
      </c>
      <c r="Q10" s="12">
        <v>0</v>
      </c>
      <c r="R10" s="283">
        <v>4347</v>
      </c>
      <c r="S10" s="315">
        <v>44807</v>
      </c>
      <c r="U10" t="s">
        <v>8</v>
      </c>
    </row>
    <row r="11" spans="1:21" ht="18" thickBot="1" x14ac:dyDescent="0.35">
      <c r="A11" s="22"/>
      <c r="B11" s="23">
        <v>44808</v>
      </c>
      <c r="C11" s="24">
        <v>9</v>
      </c>
      <c r="D11" s="34" t="s">
        <v>34</v>
      </c>
      <c r="E11" s="26">
        <v>44808</v>
      </c>
      <c r="F11" s="27">
        <v>122905</v>
      </c>
      <c r="H11" s="28">
        <v>44808</v>
      </c>
      <c r="I11" s="29">
        <v>127</v>
      </c>
      <c r="J11" s="42"/>
      <c r="K11" s="47"/>
      <c r="L11" s="38"/>
      <c r="M11" s="30">
        <f>100000+25000+13263</f>
        <v>138263</v>
      </c>
      <c r="N11" s="31">
        <v>826</v>
      </c>
      <c r="O11" s="314"/>
      <c r="P11" s="32">
        <f>N11+M11+L11+I11+C11</f>
        <v>139225</v>
      </c>
      <c r="Q11" s="12">
        <v>0</v>
      </c>
      <c r="R11" s="283">
        <v>16320</v>
      </c>
      <c r="S11" s="314">
        <v>44808</v>
      </c>
    </row>
    <row r="12" spans="1:21" ht="18" thickBot="1" x14ac:dyDescent="0.35">
      <c r="A12" s="22"/>
      <c r="B12" s="23">
        <v>44809</v>
      </c>
      <c r="C12" s="24">
        <v>4080</v>
      </c>
      <c r="D12" s="34" t="s">
        <v>47</v>
      </c>
      <c r="E12" s="26">
        <v>44809</v>
      </c>
      <c r="F12" s="27">
        <v>70174</v>
      </c>
      <c r="H12" s="28">
        <v>44809</v>
      </c>
      <c r="I12" s="29">
        <v>142</v>
      </c>
      <c r="J12" s="36"/>
      <c r="K12" s="48"/>
      <c r="L12" s="38"/>
      <c r="M12" s="30">
        <f>26000+38248</f>
        <v>64248</v>
      </c>
      <c r="N12" s="31">
        <v>1704</v>
      </c>
      <c r="O12" s="314"/>
      <c r="P12" s="32">
        <f t="shared" si="0"/>
        <v>70174</v>
      </c>
      <c r="Q12" s="12">
        <f t="shared" si="1"/>
        <v>0</v>
      </c>
      <c r="R12" s="12">
        <v>0</v>
      </c>
      <c r="S12" s="314">
        <v>44809</v>
      </c>
    </row>
    <row r="13" spans="1:21" ht="18" thickBot="1" x14ac:dyDescent="0.35">
      <c r="A13" s="22"/>
      <c r="B13" s="23">
        <v>44810</v>
      </c>
      <c r="C13" s="24">
        <v>0</v>
      </c>
      <c r="D13" s="39"/>
      <c r="E13" s="26">
        <v>44810</v>
      </c>
      <c r="F13" s="27">
        <v>82851</v>
      </c>
      <c r="H13" s="28">
        <v>44810</v>
      </c>
      <c r="I13" s="29">
        <v>18</v>
      </c>
      <c r="J13" s="36"/>
      <c r="K13" s="37"/>
      <c r="L13" s="38"/>
      <c r="M13" s="30">
        <f>47531+35000</f>
        <v>82531</v>
      </c>
      <c r="N13" s="31">
        <v>302</v>
      </c>
      <c r="O13" s="314"/>
      <c r="P13" s="32">
        <f t="shared" si="0"/>
        <v>82851</v>
      </c>
      <c r="Q13" s="12">
        <f t="shared" si="1"/>
        <v>0</v>
      </c>
      <c r="R13" s="12">
        <v>0</v>
      </c>
      <c r="S13" s="314">
        <v>44810</v>
      </c>
    </row>
    <row r="14" spans="1:21" ht="18" thickBot="1" x14ac:dyDescent="0.35">
      <c r="A14" s="22"/>
      <c r="B14" s="23">
        <v>44811</v>
      </c>
      <c r="C14" s="24">
        <v>0</v>
      </c>
      <c r="D14" s="49"/>
      <c r="E14" s="26">
        <v>44811</v>
      </c>
      <c r="F14" s="27">
        <v>42033</v>
      </c>
      <c r="H14" s="28">
        <v>44811</v>
      </c>
      <c r="I14" s="29">
        <v>55</v>
      </c>
      <c r="J14" s="36"/>
      <c r="K14" s="43"/>
      <c r="L14" s="38"/>
      <c r="M14" s="30">
        <v>41978</v>
      </c>
      <c r="N14" s="31">
        <v>0</v>
      </c>
      <c r="O14" s="314"/>
      <c r="P14" s="32">
        <f t="shared" si="0"/>
        <v>42033</v>
      </c>
      <c r="Q14" s="12">
        <f t="shared" si="1"/>
        <v>0</v>
      </c>
      <c r="R14" s="12">
        <v>0</v>
      </c>
      <c r="S14" s="314">
        <v>44811</v>
      </c>
    </row>
    <row r="15" spans="1:21" ht="18" thickBot="1" x14ac:dyDescent="0.35">
      <c r="A15" s="22"/>
      <c r="B15" s="23">
        <v>44812</v>
      </c>
      <c r="C15" s="24">
        <v>0</v>
      </c>
      <c r="D15" s="49"/>
      <c r="E15" s="26">
        <v>44812</v>
      </c>
      <c r="F15" s="27">
        <v>79497</v>
      </c>
      <c r="H15" s="28">
        <v>44812</v>
      </c>
      <c r="I15" s="29">
        <v>18</v>
      </c>
      <c r="J15" s="36"/>
      <c r="K15" s="43"/>
      <c r="L15" s="38"/>
      <c r="M15" s="30">
        <f>40000+36444</f>
        <v>76444</v>
      </c>
      <c r="N15" s="31">
        <v>3035</v>
      </c>
      <c r="O15" s="314"/>
      <c r="P15" s="32">
        <f t="shared" si="0"/>
        <v>79497</v>
      </c>
      <c r="Q15" s="12">
        <f t="shared" si="1"/>
        <v>0</v>
      </c>
      <c r="R15" s="12">
        <v>0</v>
      </c>
      <c r="S15" s="314">
        <v>44812</v>
      </c>
    </row>
    <row r="16" spans="1:21" ht="18" thickBot="1" x14ac:dyDescent="0.35">
      <c r="A16" s="22"/>
      <c r="B16" s="23">
        <v>44813</v>
      </c>
      <c r="C16" s="24">
        <v>24269</v>
      </c>
      <c r="D16" s="34" t="s">
        <v>49</v>
      </c>
      <c r="E16" s="26">
        <v>44813</v>
      </c>
      <c r="F16" s="27">
        <v>139439</v>
      </c>
      <c r="H16" s="28">
        <v>44813</v>
      </c>
      <c r="I16" s="29">
        <v>344</v>
      </c>
      <c r="J16" s="36"/>
      <c r="K16" s="43"/>
      <c r="L16" s="8"/>
      <c r="M16" s="30">
        <f>64104+50000</f>
        <v>114104</v>
      </c>
      <c r="N16" s="31">
        <v>722</v>
      </c>
      <c r="O16" s="314"/>
      <c r="P16" s="32">
        <f t="shared" si="0"/>
        <v>139439</v>
      </c>
      <c r="Q16" s="12">
        <f t="shared" si="1"/>
        <v>0</v>
      </c>
      <c r="R16" s="12">
        <v>0</v>
      </c>
      <c r="S16" s="314">
        <v>44813</v>
      </c>
    </row>
    <row r="17" spans="1:19" ht="18" thickBot="1" x14ac:dyDescent="0.35">
      <c r="A17" s="22"/>
      <c r="B17" s="23">
        <v>44814</v>
      </c>
      <c r="C17" s="24">
        <v>0</v>
      </c>
      <c r="D17" s="39"/>
      <c r="E17" s="26">
        <v>44814</v>
      </c>
      <c r="F17" s="27">
        <v>90718</v>
      </c>
      <c r="H17" s="28">
        <v>44814</v>
      </c>
      <c r="I17" s="29">
        <v>316</v>
      </c>
      <c r="J17" s="36">
        <v>44814</v>
      </c>
      <c r="K17" s="50" t="s">
        <v>467</v>
      </c>
      <c r="L17" s="46">
        <v>8657</v>
      </c>
      <c r="M17" s="30">
        <f>40000+36427</f>
        <v>76427</v>
      </c>
      <c r="N17" s="31">
        <v>5318</v>
      </c>
      <c r="O17" s="314"/>
      <c r="P17" s="32">
        <f t="shared" si="0"/>
        <v>90718</v>
      </c>
      <c r="Q17" s="12">
        <f t="shared" si="1"/>
        <v>0</v>
      </c>
      <c r="R17" s="8">
        <v>0</v>
      </c>
      <c r="S17" s="314">
        <v>44814</v>
      </c>
    </row>
    <row r="18" spans="1:19" ht="18" thickBot="1" x14ac:dyDescent="0.35">
      <c r="A18" s="22"/>
      <c r="B18" s="23">
        <v>44815</v>
      </c>
      <c r="C18" s="24">
        <v>0</v>
      </c>
      <c r="D18" s="34"/>
      <c r="E18" s="26">
        <v>44815</v>
      </c>
      <c r="F18" s="27">
        <v>129054</v>
      </c>
      <c r="H18" s="28">
        <v>44815</v>
      </c>
      <c r="I18" s="29">
        <v>35</v>
      </c>
      <c r="J18" s="36"/>
      <c r="K18" s="51"/>
      <c r="L18" s="38"/>
      <c r="M18" s="30">
        <f>50000+65000+13519</f>
        <v>128519</v>
      </c>
      <c r="N18" s="31">
        <v>500</v>
      </c>
      <c r="O18" s="314"/>
      <c r="P18" s="32">
        <f t="shared" si="0"/>
        <v>129054</v>
      </c>
      <c r="Q18" s="12">
        <f t="shared" si="1"/>
        <v>0</v>
      </c>
      <c r="R18" s="8">
        <v>0</v>
      </c>
      <c r="S18" s="314">
        <v>44815</v>
      </c>
    </row>
    <row r="19" spans="1:19" ht="18" thickBot="1" x14ac:dyDescent="0.35">
      <c r="A19" s="22"/>
      <c r="B19" s="23">
        <v>44816</v>
      </c>
      <c r="C19" s="24">
        <v>4868</v>
      </c>
      <c r="D19" s="34" t="s">
        <v>44</v>
      </c>
      <c r="E19" s="26">
        <v>44816</v>
      </c>
      <c r="F19" s="27">
        <v>77315</v>
      </c>
      <c r="H19" s="28">
        <v>44816</v>
      </c>
      <c r="I19" s="29">
        <v>83</v>
      </c>
      <c r="J19" s="36"/>
      <c r="K19" s="52"/>
      <c r="L19" s="53"/>
      <c r="M19" s="30">
        <f>52134+20000</f>
        <v>72134</v>
      </c>
      <c r="N19" s="31">
        <v>230</v>
      </c>
      <c r="O19" s="314"/>
      <c r="P19" s="32">
        <f t="shared" si="0"/>
        <v>77315</v>
      </c>
      <c r="Q19" s="12">
        <f t="shared" si="1"/>
        <v>0</v>
      </c>
      <c r="R19" s="8">
        <v>0</v>
      </c>
      <c r="S19" s="314">
        <v>44816</v>
      </c>
    </row>
    <row r="20" spans="1:19" ht="18" thickBot="1" x14ac:dyDescent="0.35">
      <c r="A20" s="22"/>
      <c r="B20" s="23">
        <v>44817</v>
      </c>
      <c r="C20" s="24">
        <v>0</v>
      </c>
      <c r="D20" s="34"/>
      <c r="E20" s="26">
        <v>44817</v>
      </c>
      <c r="F20" s="27">
        <v>77935</v>
      </c>
      <c r="H20" s="28">
        <v>44817</v>
      </c>
      <c r="I20" s="29">
        <v>115</v>
      </c>
      <c r="J20" s="36"/>
      <c r="K20" s="54"/>
      <c r="L20" s="46"/>
      <c r="M20" s="30">
        <f>62167+15000</f>
        <v>77167</v>
      </c>
      <c r="N20" s="31">
        <v>653</v>
      </c>
      <c r="O20" s="314"/>
      <c r="P20" s="32">
        <f t="shared" si="0"/>
        <v>77935</v>
      </c>
      <c r="Q20" s="12">
        <f t="shared" si="1"/>
        <v>0</v>
      </c>
      <c r="R20" s="8">
        <v>0</v>
      </c>
      <c r="S20" s="314">
        <v>44817</v>
      </c>
    </row>
    <row r="21" spans="1:19" ht="18" thickBot="1" x14ac:dyDescent="0.35">
      <c r="A21" s="22"/>
      <c r="B21" s="23">
        <v>44818</v>
      </c>
      <c r="C21" s="24">
        <v>0</v>
      </c>
      <c r="D21" s="34"/>
      <c r="E21" s="26">
        <v>44818</v>
      </c>
      <c r="F21" s="27">
        <v>112539</v>
      </c>
      <c r="H21" s="28">
        <v>44818</v>
      </c>
      <c r="I21" s="29">
        <v>78</v>
      </c>
      <c r="J21" s="36"/>
      <c r="K21" s="55"/>
      <c r="L21" s="46"/>
      <c r="M21" s="30">
        <f>65015+35000</f>
        <v>100015</v>
      </c>
      <c r="N21" s="31">
        <v>12446</v>
      </c>
      <c r="O21" s="314"/>
      <c r="P21" s="32">
        <f t="shared" si="0"/>
        <v>112539</v>
      </c>
      <c r="Q21" s="12">
        <f t="shared" si="1"/>
        <v>0</v>
      </c>
      <c r="R21" s="8">
        <v>0</v>
      </c>
      <c r="S21" s="314">
        <v>44818</v>
      </c>
    </row>
    <row r="22" spans="1:19" ht="18" thickBot="1" x14ac:dyDescent="0.35">
      <c r="A22" s="22"/>
      <c r="B22" s="23">
        <v>44819</v>
      </c>
      <c r="C22" s="24">
        <v>43</v>
      </c>
      <c r="D22" s="34" t="s">
        <v>34</v>
      </c>
      <c r="E22" s="26">
        <v>44819</v>
      </c>
      <c r="F22" s="27">
        <v>128781</v>
      </c>
      <c r="H22" s="28">
        <v>44819</v>
      </c>
      <c r="I22" s="29">
        <v>258</v>
      </c>
      <c r="J22" s="36"/>
      <c r="K22" s="43"/>
      <c r="L22" s="56"/>
      <c r="M22" s="30">
        <f>60000+67123</f>
        <v>127123</v>
      </c>
      <c r="N22" s="31">
        <v>1357</v>
      </c>
      <c r="O22" s="314"/>
      <c r="P22" s="32">
        <f t="shared" si="0"/>
        <v>128781</v>
      </c>
      <c r="Q22" s="12">
        <f t="shared" si="1"/>
        <v>0</v>
      </c>
      <c r="R22" s="8">
        <v>0</v>
      </c>
      <c r="S22" s="314">
        <v>44819</v>
      </c>
    </row>
    <row r="23" spans="1:19" ht="18" thickBot="1" x14ac:dyDescent="0.35">
      <c r="A23" s="22"/>
      <c r="B23" s="23">
        <v>44820</v>
      </c>
      <c r="C23" s="24">
        <v>26294</v>
      </c>
      <c r="D23" s="34" t="s">
        <v>49</v>
      </c>
      <c r="E23" s="26">
        <v>44820</v>
      </c>
      <c r="F23" s="27">
        <v>93698</v>
      </c>
      <c r="H23" s="28">
        <v>44820</v>
      </c>
      <c r="I23" s="29">
        <v>144</v>
      </c>
      <c r="J23" s="57"/>
      <c r="K23" s="58"/>
      <c r="L23" s="46"/>
      <c r="M23" s="30">
        <f>40000+26566</f>
        <v>66566</v>
      </c>
      <c r="N23" s="31">
        <v>694</v>
      </c>
      <c r="O23" s="314"/>
      <c r="P23" s="32">
        <f t="shared" si="0"/>
        <v>93698</v>
      </c>
      <c r="Q23" s="12">
        <f t="shared" si="1"/>
        <v>0</v>
      </c>
      <c r="R23" s="8">
        <v>0</v>
      </c>
      <c r="S23" s="314">
        <v>44820</v>
      </c>
    </row>
    <row r="24" spans="1:19" ht="18" thickBot="1" x14ac:dyDescent="0.35">
      <c r="A24" s="22"/>
      <c r="B24" s="23">
        <v>44821</v>
      </c>
      <c r="C24" s="24">
        <v>0</v>
      </c>
      <c r="D24" s="39"/>
      <c r="E24" s="26">
        <v>44821</v>
      </c>
      <c r="F24" s="27">
        <v>111198</v>
      </c>
      <c r="H24" s="28">
        <v>44821</v>
      </c>
      <c r="I24" s="29">
        <v>155</v>
      </c>
      <c r="J24" s="173"/>
      <c r="K24" s="60" t="s">
        <v>468</v>
      </c>
      <c r="L24" s="61">
        <v>14624</v>
      </c>
      <c r="M24" s="30">
        <f>50000+40990</f>
        <v>90990</v>
      </c>
      <c r="N24" s="31">
        <v>5429</v>
      </c>
      <c r="O24" s="314"/>
      <c r="P24" s="32">
        <f t="shared" si="0"/>
        <v>111198</v>
      </c>
      <c r="Q24" s="12">
        <f t="shared" si="1"/>
        <v>0</v>
      </c>
      <c r="R24" s="8">
        <v>0</v>
      </c>
      <c r="S24" s="314">
        <v>44821</v>
      </c>
    </row>
    <row r="25" spans="1:19" ht="18" thickBot="1" x14ac:dyDescent="0.35">
      <c r="A25" s="22"/>
      <c r="B25" s="23">
        <v>44822</v>
      </c>
      <c r="C25" s="24">
        <v>0</v>
      </c>
      <c r="D25" s="34"/>
      <c r="E25" s="26">
        <v>44822</v>
      </c>
      <c r="F25" s="27">
        <v>145703</v>
      </c>
      <c r="H25" s="28">
        <v>44822</v>
      </c>
      <c r="I25" s="29">
        <v>108</v>
      </c>
      <c r="J25" s="62"/>
      <c r="K25" s="280"/>
      <c r="L25" s="64"/>
      <c r="M25" s="30">
        <f>90000+40000+15305</f>
        <v>145305</v>
      </c>
      <c r="N25" s="31">
        <v>290</v>
      </c>
      <c r="O25" s="314"/>
      <c r="P25" s="32">
        <f t="shared" si="0"/>
        <v>145703</v>
      </c>
      <c r="Q25" s="12">
        <f t="shared" si="1"/>
        <v>0</v>
      </c>
      <c r="R25" s="8">
        <v>0</v>
      </c>
      <c r="S25" s="314">
        <v>44822</v>
      </c>
    </row>
    <row r="26" spans="1:19" ht="18" thickBot="1" x14ac:dyDescent="0.35">
      <c r="A26" s="22"/>
      <c r="B26" s="23">
        <v>44823</v>
      </c>
      <c r="C26" s="24">
        <v>4860</v>
      </c>
      <c r="D26" s="34" t="s">
        <v>469</v>
      </c>
      <c r="E26" s="26">
        <v>44823</v>
      </c>
      <c r="F26" s="27">
        <v>89271</v>
      </c>
      <c r="H26" s="28">
        <v>44823</v>
      </c>
      <c r="I26" s="29">
        <v>79</v>
      </c>
      <c r="J26" s="36"/>
      <c r="K26" s="60"/>
      <c r="L26" s="46"/>
      <c r="M26" s="30">
        <f>50000+33930</f>
        <v>83930</v>
      </c>
      <c r="N26" s="31">
        <v>402</v>
      </c>
      <c r="O26" s="314"/>
      <c r="P26" s="32">
        <f t="shared" si="0"/>
        <v>89271</v>
      </c>
      <c r="Q26" s="12">
        <f t="shared" si="1"/>
        <v>0</v>
      </c>
      <c r="R26" s="8">
        <v>0</v>
      </c>
      <c r="S26" s="314">
        <v>44823</v>
      </c>
    </row>
    <row r="27" spans="1:19" ht="18" thickBot="1" x14ac:dyDescent="0.35">
      <c r="A27" s="22"/>
      <c r="B27" s="23">
        <v>44824</v>
      </c>
      <c r="C27" s="24">
        <v>0</v>
      </c>
      <c r="D27" s="39"/>
      <c r="E27" s="26">
        <v>44824</v>
      </c>
      <c r="F27" s="27">
        <v>96379</v>
      </c>
      <c r="H27" s="28">
        <v>44824</v>
      </c>
      <c r="I27" s="29">
        <v>48</v>
      </c>
      <c r="J27" s="65"/>
      <c r="K27" s="66"/>
      <c r="L27" s="64"/>
      <c r="M27" s="30">
        <f>35000+61331</f>
        <v>96331</v>
      </c>
      <c r="N27" s="31">
        <v>0</v>
      </c>
      <c r="O27" s="314"/>
      <c r="P27" s="32">
        <f t="shared" si="0"/>
        <v>96379</v>
      </c>
      <c r="Q27" s="12">
        <f t="shared" si="1"/>
        <v>0</v>
      </c>
      <c r="R27" s="8">
        <v>0</v>
      </c>
      <c r="S27" s="314">
        <v>44824</v>
      </c>
    </row>
    <row r="28" spans="1:19" ht="18" thickBot="1" x14ac:dyDescent="0.35">
      <c r="A28" s="22"/>
      <c r="B28" s="23">
        <v>44825</v>
      </c>
      <c r="C28" s="24">
        <v>0</v>
      </c>
      <c r="D28" s="39"/>
      <c r="E28" s="26">
        <v>44825</v>
      </c>
      <c r="F28" s="27">
        <v>71070</v>
      </c>
      <c r="H28" s="28">
        <v>44825</v>
      </c>
      <c r="I28" s="29">
        <v>119</v>
      </c>
      <c r="J28" s="67"/>
      <c r="K28" s="68"/>
      <c r="L28" s="64"/>
      <c r="M28" s="30">
        <f>55951+15000</f>
        <v>70951</v>
      </c>
      <c r="N28" s="31">
        <v>0</v>
      </c>
      <c r="O28" s="314"/>
      <c r="P28" s="32">
        <f t="shared" si="0"/>
        <v>71070</v>
      </c>
      <c r="Q28" s="12">
        <f t="shared" si="1"/>
        <v>0</v>
      </c>
      <c r="R28" s="8">
        <v>0</v>
      </c>
      <c r="S28" s="314">
        <v>44825</v>
      </c>
    </row>
    <row r="29" spans="1:19" ht="18" thickBot="1" x14ac:dyDescent="0.35">
      <c r="A29" s="22"/>
      <c r="B29" s="23">
        <v>44826</v>
      </c>
      <c r="C29" s="24">
        <v>0</v>
      </c>
      <c r="D29" s="69"/>
      <c r="E29" s="26">
        <v>44826</v>
      </c>
      <c r="F29" s="27">
        <v>98470</v>
      </c>
      <c r="H29" s="28">
        <v>44826</v>
      </c>
      <c r="I29" s="29">
        <v>1367</v>
      </c>
      <c r="J29" s="65"/>
      <c r="K29" s="70"/>
      <c r="L29" s="64"/>
      <c r="M29" s="30">
        <f>67103+30000</f>
        <v>97103</v>
      </c>
      <c r="N29" s="31">
        <v>0</v>
      </c>
      <c r="O29" s="314"/>
      <c r="P29" s="32">
        <f t="shared" si="0"/>
        <v>98470</v>
      </c>
      <c r="Q29" s="12">
        <f t="shared" si="1"/>
        <v>0</v>
      </c>
      <c r="R29" s="8">
        <v>0</v>
      </c>
      <c r="S29" s="314">
        <v>44826</v>
      </c>
    </row>
    <row r="30" spans="1:19" ht="18" thickBot="1" x14ac:dyDescent="0.35">
      <c r="A30" s="22"/>
      <c r="B30" s="23">
        <v>44827</v>
      </c>
      <c r="C30" s="24">
        <v>7793</v>
      </c>
      <c r="D30" s="69" t="s">
        <v>49</v>
      </c>
      <c r="E30" s="26">
        <v>44827</v>
      </c>
      <c r="F30" s="27">
        <v>117536</v>
      </c>
      <c r="H30" s="28">
        <v>44827</v>
      </c>
      <c r="I30" s="29">
        <v>100</v>
      </c>
      <c r="J30" s="71"/>
      <c r="K30" s="72"/>
      <c r="L30" s="73"/>
      <c r="M30" s="30">
        <f>55000+34429+20000</f>
        <v>109429</v>
      </c>
      <c r="N30" s="31">
        <v>214</v>
      </c>
      <c r="O30" s="314"/>
      <c r="P30" s="32">
        <f t="shared" si="0"/>
        <v>117536</v>
      </c>
      <c r="Q30" s="12">
        <f t="shared" si="1"/>
        <v>0</v>
      </c>
      <c r="R30" s="8">
        <v>0</v>
      </c>
      <c r="S30" s="314">
        <v>44827</v>
      </c>
    </row>
    <row r="31" spans="1:19" ht="18" thickBot="1" x14ac:dyDescent="0.35">
      <c r="A31" s="22"/>
      <c r="B31" s="23">
        <v>44828</v>
      </c>
      <c r="C31" s="24">
        <v>0</v>
      </c>
      <c r="D31" s="81"/>
      <c r="E31" s="26">
        <v>44828</v>
      </c>
      <c r="F31" s="27">
        <v>106553</v>
      </c>
      <c r="H31" s="28">
        <v>44828</v>
      </c>
      <c r="I31" s="29">
        <v>86</v>
      </c>
      <c r="J31" s="71">
        <v>44828</v>
      </c>
      <c r="K31" s="74" t="s">
        <v>470</v>
      </c>
      <c r="L31" s="75">
        <v>10953</v>
      </c>
      <c r="M31" s="30">
        <f>52305+35000</f>
        <v>87305</v>
      </c>
      <c r="N31" s="31">
        <v>8209</v>
      </c>
      <c r="O31" s="314"/>
      <c r="P31" s="32">
        <f t="shared" si="0"/>
        <v>106553</v>
      </c>
      <c r="Q31" s="12">
        <f t="shared" si="1"/>
        <v>0</v>
      </c>
      <c r="R31" s="8">
        <v>0</v>
      </c>
      <c r="S31" s="314">
        <v>44828</v>
      </c>
    </row>
    <row r="32" spans="1:19" ht="18" thickBot="1" x14ac:dyDescent="0.35">
      <c r="A32" s="22"/>
      <c r="B32" s="23">
        <v>44829</v>
      </c>
      <c r="C32" s="24">
        <v>0</v>
      </c>
      <c r="D32" s="76"/>
      <c r="E32" s="26">
        <v>44829</v>
      </c>
      <c r="F32" s="27">
        <v>144028</v>
      </c>
      <c r="H32" s="28">
        <v>44829</v>
      </c>
      <c r="I32" s="29">
        <v>90</v>
      </c>
      <c r="J32" s="71"/>
      <c r="K32" s="72"/>
      <c r="L32" s="73"/>
      <c r="M32" s="30">
        <f>90000+40000+13302</f>
        <v>143302</v>
      </c>
      <c r="N32" s="31">
        <v>636</v>
      </c>
      <c r="O32" s="314"/>
      <c r="P32" s="32">
        <f t="shared" si="0"/>
        <v>144028</v>
      </c>
      <c r="Q32" s="12">
        <f t="shared" si="1"/>
        <v>0</v>
      </c>
      <c r="R32" s="8">
        <v>0</v>
      </c>
      <c r="S32" s="314">
        <v>44829</v>
      </c>
    </row>
    <row r="33" spans="1:19" ht="18" thickBot="1" x14ac:dyDescent="0.35">
      <c r="A33" s="22"/>
      <c r="B33" s="23">
        <v>44830</v>
      </c>
      <c r="C33" s="24">
        <v>5250</v>
      </c>
      <c r="D33" s="77" t="s">
        <v>469</v>
      </c>
      <c r="E33" s="26">
        <v>44830</v>
      </c>
      <c r="F33" s="27">
        <v>69263</v>
      </c>
      <c r="H33" s="28">
        <v>44830</v>
      </c>
      <c r="I33" s="29">
        <v>163</v>
      </c>
      <c r="J33" s="71"/>
      <c r="K33" s="74"/>
      <c r="L33" s="78"/>
      <c r="M33" s="30">
        <f>15000+48549</f>
        <v>63549</v>
      </c>
      <c r="N33" s="31">
        <v>301</v>
      </c>
      <c r="O33" s="314"/>
      <c r="P33" s="32">
        <f t="shared" si="0"/>
        <v>69263</v>
      </c>
      <c r="Q33" s="12">
        <f t="shared" si="1"/>
        <v>0</v>
      </c>
      <c r="R33" s="8">
        <v>0</v>
      </c>
      <c r="S33" s="314">
        <v>44830</v>
      </c>
    </row>
    <row r="34" spans="1:19" ht="18" thickBot="1" x14ac:dyDescent="0.35">
      <c r="A34" s="22"/>
      <c r="B34" s="23">
        <v>44831</v>
      </c>
      <c r="C34" s="24">
        <v>0</v>
      </c>
      <c r="D34" s="76"/>
      <c r="E34" s="26">
        <v>44831</v>
      </c>
      <c r="F34" s="27">
        <v>78606</v>
      </c>
      <c r="H34" s="28">
        <v>44831</v>
      </c>
      <c r="I34" s="29">
        <v>35</v>
      </c>
      <c r="J34" s="71"/>
      <c r="K34" s="79"/>
      <c r="L34" s="80"/>
      <c r="M34" s="30">
        <f>23071+50000+5000</f>
        <v>78071</v>
      </c>
      <c r="N34" s="31">
        <v>500</v>
      </c>
      <c r="O34" s="314"/>
      <c r="P34" s="32">
        <f t="shared" si="0"/>
        <v>78606</v>
      </c>
      <c r="Q34" s="12">
        <f t="shared" si="1"/>
        <v>0</v>
      </c>
      <c r="R34" s="8">
        <v>0</v>
      </c>
      <c r="S34" s="314">
        <v>44831</v>
      </c>
    </row>
    <row r="35" spans="1:19" ht="18" thickBot="1" x14ac:dyDescent="0.35">
      <c r="A35" s="22"/>
      <c r="B35" s="23">
        <v>44832</v>
      </c>
      <c r="C35" s="24">
        <v>0</v>
      </c>
      <c r="D35" s="81"/>
      <c r="E35" s="26">
        <v>44832</v>
      </c>
      <c r="F35" s="27">
        <v>55817</v>
      </c>
      <c r="H35" s="28">
        <v>44832</v>
      </c>
      <c r="I35" s="29">
        <v>143</v>
      </c>
      <c r="J35" s="71"/>
      <c r="K35" s="74"/>
      <c r="L35" s="78"/>
      <c r="M35" s="30">
        <f>5000+44735+5869</f>
        <v>55604</v>
      </c>
      <c r="N35" s="31">
        <v>70</v>
      </c>
      <c r="O35" s="314"/>
      <c r="P35" s="32">
        <f t="shared" si="0"/>
        <v>55817</v>
      </c>
      <c r="Q35" s="12">
        <f t="shared" si="1"/>
        <v>0</v>
      </c>
      <c r="R35" s="8">
        <v>0</v>
      </c>
      <c r="S35" s="314">
        <v>44832</v>
      </c>
    </row>
    <row r="36" spans="1:19" ht="19.5" thickBot="1" x14ac:dyDescent="0.35">
      <c r="A36" s="22"/>
      <c r="B36" s="23">
        <v>44833</v>
      </c>
      <c r="C36" s="24">
        <v>0</v>
      </c>
      <c r="D36" s="82"/>
      <c r="E36" s="26">
        <v>44833</v>
      </c>
      <c r="F36" s="27">
        <v>97461</v>
      </c>
      <c r="H36" s="28">
        <v>44833</v>
      </c>
      <c r="I36" s="29">
        <v>99</v>
      </c>
      <c r="J36" s="289"/>
      <c r="K36" s="291"/>
      <c r="L36" s="78"/>
      <c r="M36" s="30">
        <f>22362+50000+25000</f>
        <v>97362</v>
      </c>
      <c r="N36" s="31">
        <v>0</v>
      </c>
      <c r="O36" s="314"/>
      <c r="P36" s="32">
        <f t="shared" si="0"/>
        <v>97461</v>
      </c>
      <c r="Q36" s="12">
        <f t="shared" si="1"/>
        <v>0</v>
      </c>
      <c r="R36" s="8">
        <v>0</v>
      </c>
      <c r="S36" s="314">
        <v>44833</v>
      </c>
    </row>
    <row r="37" spans="1:19" ht="18" thickBot="1" x14ac:dyDescent="0.35">
      <c r="A37" s="22"/>
      <c r="B37" s="23">
        <v>44834</v>
      </c>
      <c r="C37" s="24">
        <v>26722</v>
      </c>
      <c r="D37" s="76" t="s">
        <v>49</v>
      </c>
      <c r="E37" s="26">
        <v>44834</v>
      </c>
      <c r="F37" s="27">
        <v>152679</v>
      </c>
      <c r="H37" s="28">
        <v>44834</v>
      </c>
      <c r="I37" s="29">
        <v>122</v>
      </c>
      <c r="J37" s="71"/>
      <c r="K37" s="290"/>
      <c r="L37" s="78"/>
      <c r="M37" s="30">
        <f>25000+70000+27665</f>
        <v>122665</v>
      </c>
      <c r="N37" s="31">
        <v>3170</v>
      </c>
      <c r="O37" s="314"/>
      <c r="P37" s="32">
        <f t="shared" si="0"/>
        <v>152679</v>
      </c>
      <c r="Q37" s="12">
        <f t="shared" si="1"/>
        <v>0</v>
      </c>
      <c r="R37" s="8">
        <v>0</v>
      </c>
      <c r="S37" s="314">
        <v>44834</v>
      </c>
    </row>
    <row r="38" spans="1:19" ht="18" thickBot="1" x14ac:dyDescent="0.35">
      <c r="A38" s="22"/>
      <c r="B38" s="23">
        <v>44835</v>
      </c>
      <c r="C38" s="24">
        <v>0</v>
      </c>
      <c r="D38" s="77"/>
      <c r="E38" s="26">
        <v>44835</v>
      </c>
      <c r="F38" s="27">
        <v>125202</v>
      </c>
      <c r="H38" s="28">
        <v>44835</v>
      </c>
      <c r="I38" s="29">
        <v>133</v>
      </c>
      <c r="J38" s="71">
        <v>44835</v>
      </c>
      <c r="K38" s="40" t="s">
        <v>472</v>
      </c>
      <c r="L38" s="78">
        <v>10470</v>
      </c>
      <c r="M38" s="30">
        <f>25000+65000+17912</f>
        <v>107912</v>
      </c>
      <c r="N38" s="31">
        <v>6687</v>
      </c>
      <c r="O38" s="314"/>
      <c r="P38" s="32">
        <f t="shared" si="0"/>
        <v>125202</v>
      </c>
      <c r="Q38" s="12">
        <f t="shared" si="1"/>
        <v>0</v>
      </c>
      <c r="R38" s="8">
        <v>0</v>
      </c>
      <c r="S38" s="314">
        <v>44835</v>
      </c>
    </row>
    <row r="39" spans="1:19" ht="18" thickBot="1" x14ac:dyDescent="0.35">
      <c r="A39" s="22"/>
      <c r="B39" s="23">
        <v>44836</v>
      </c>
      <c r="C39" s="24">
        <v>16</v>
      </c>
      <c r="D39" s="77" t="s">
        <v>34</v>
      </c>
      <c r="E39" s="26">
        <v>44836</v>
      </c>
      <c r="F39" s="83">
        <v>145363</v>
      </c>
      <c r="H39" s="28">
        <v>44836</v>
      </c>
      <c r="I39" s="29">
        <v>70</v>
      </c>
      <c r="J39" s="71"/>
      <c r="K39" s="266"/>
      <c r="L39" s="73"/>
      <c r="M39" s="30">
        <f>16456+85000+40000</f>
        <v>141456</v>
      </c>
      <c r="N39" s="31">
        <v>3821</v>
      </c>
      <c r="O39" s="314"/>
      <c r="P39" s="32">
        <f t="shared" si="0"/>
        <v>145363</v>
      </c>
      <c r="Q39" s="12">
        <f t="shared" si="1"/>
        <v>0</v>
      </c>
      <c r="R39" s="8">
        <v>0</v>
      </c>
      <c r="S39" s="314">
        <v>44836</v>
      </c>
    </row>
    <row r="40" spans="1:19" ht="18.75" thickTop="1" thickBot="1" x14ac:dyDescent="0.35">
      <c r="A40" s="22"/>
      <c r="B40" s="23"/>
      <c r="C40" s="24">
        <v>0</v>
      </c>
      <c r="D40" s="82"/>
      <c r="E40" s="26"/>
      <c r="F40" s="85"/>
      <c r="H40" s="28"/>
      <c r="I40" s="86"/>
      <c r="J40" s="71">
        <v>44804</v>
      </c>
      <c r="K40" s="317" t="s">
        <v>204</v>
      </c>
      <c r="L40" s="73">
        <v>927.48</v>
      </c>
      <c r="M40" s="416">
        <f>SUM(M5:M39)</f>
        <v>3147309.5</v>
      </c>
      <c r="N40" s="418">
        <f>SUM(N5:N39)</f>
        <v>76569</v>
      </c>
      <c r="P40" s="32">
        <f t="shared" si="0"/>
        <v>3224805.98</v>
      </c>
      <c r="Q40" s="284">
        <f>SUM(Q5:Q39)</f>
        <v>0</v>
      </c>
      <c r="R40" s="316">
        <f>SUM(R5:R39)</f>
        <v>53385</v>
      </c>
    </row>
    <row r="41" spans="1:19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44809</v>
      </c>
      <c r="K41" s="318" t="s">
        <v>190</v>
      </c>
      <c r="L41" s="73">
        <v>33312</v>
      </c>
      <c r="M41" s="417"/>
      <c r="N41" s="419"/>
      <c r="P41" s="32"/>
      <c r="Q41" s="8"/>
    </row>
    <row r="42" spans="1:19" ht="17.25" customHeight="1" thickBot="1" x14ac:dyDescent="0.35">
      <c r="A42" s="22"/>
      <c r="B42" s="23"/>
      <c r="C42" s="84"/>
      <c r="D42" s="82"/>
      <c r="E42" s="252"/>
      <c r="F42" s="235"/>
      <c r="G42" s="251"/>
      <c r="H42" s="35"/>
      <c r="I42" s="93" t="s">
        <v>471</v>
      </c>
      <c r="J42" s="71">
        <v>44814</v>
      </c>
      <c r="K42" s="235" t="s">
        <v>205</v>
      </c>
      <c r="L42" s="73">
        <v>1392</v>
      </c>
      <c r="M42" s="94"/>
      <c r="N42" s="95"/>
      <c r="P42" s="32"/>
      <c r="Q42" s="8"/>
    </row>
    <row r="43" spans="1:19" ht="18" thickBot="1" x14ac:dyDescent="0.35">
      <c r="A43" s="22"/>
      <c r="B43" s="23"/>
      <c r="C43" s="84"/>
      <c r="D43" s="82"/>
      <c r="E43" s="252"/>
      <c r="F43" s="235"/>
      <c r="G43" s="251"/>
      <c r="H43" s="35"/>
      <c r="I43" s="93"/>
      <c r="J43" s="71">
        <v>44824</v>
      </c>
      <c r="K43" s="74" t="s">
        <v>464</v>
      </c>
      <c r="L43" s="78">
        <v>549</v>
      </c>
      <c r="M43" s="94"/>
      <c r="N43" s="95"/>
      <c r="P43" s="32"/>
      <c r="Q43" s="8"/>
    </row>
    <row r="44" spans="1:19" ht="18" thickBot="1" x14ac:dyDescent="0.35">
      <c r="A44" s="22"/>
      <c r="B44" s="23"/>
      <c r="C44" s="84"/>
      <c r="D44" s="82"/>
      <c r="E44" s="252"/>
      <c r="F44" s="235"/>
      <c r="G44" s="251"/>
      <c r="H44" s="35"/>
      <c r="I44" s="93" t="s">
        <v>473</v>
      </c>
      <c r="J44" s="71">
        <v>44830</v>
      </c>
      <c r="K44" s="319" t="s">
        <v>204</v>
      </c>
      <c r="L44" s="78">
        <v>979.68</v>
      </c>
      <c r="M44" s="94"/>
      <c r="N44" s="95"/>
      <c r="P44" s="32"/>
      <c r="Q44" s="8"/>
    </row>
    <row r="45" spans="1:19" ht="18" thickBot="1" x14ac:dyDescent="0.35">
      <c r="A45" s="22"/>
      <c r="B45" s="23"/>
      <c r="C45" s="84"/>
      <c r="D45" s="82"/>
      <c r="E45" s="252"/>
      <c r="F45" s="235"/>
      <c r="G45" s="251"/>
      <c r="H45" s="35"/>
      <c r="I45" s="93"/>
      <c r="J45" s="71">
        <v>44834</v>
      </c>
      <c r="K45" s="74" t="s">
        <v>378</v>
      </c>
      <c r="L45" s="78">
        <v>3257.71</v>
      </c>
      <c r="M45" s="94"/>
      <c r="N45" s="95"/>
      <c r="P45" s="32"/>
      <c r="Q45" s="8"/>
    </row>
    <row r="46" spans="1:19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131704</v>
      </c>
      <c r="D51" s="103"/>
      <c r="E51" s="104" t="s">
        <v>9</v>
      </c>
      <c r="F51" s="105">
        <f>SUM(F5:F50)</f>
        <v>3364654</v>
      </c>
      <c r="G51" s="103"/>
      <c r="H51" s="106" t="s">
        <v>10</v>
      </c>
      <c r="I51" s="107">
        <f>SUM(I5:I50)</f>
        <v>5252</v>
      </c>
      <c r="J51" s="108"/>
      <c r="K51" s="109" t="s">
        <v>11</v>
      </c>
      <c r="L51" s="110">
        <f>SUM(L5:L50)</f>
        <v>97621.87000000001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20" t="s">
        <v>12</v>
      </c>
      <c r="I53" s="421"/>
      <c r="J53" s="114"/>
      <c r="K53" s="422">
        <f>I51+L51</f>
        <v>102873.87000000001</v>
      </c>
      <c r="L53" s="423"/>
      <c r="M53" s="424">
        <f>N40+M40</f>
        <v>3223878.5</v>
      </c>
      <c r="N53" s="425"/>
      <c r="P53" s="32"/>
      <c r="Q53" s="8"/>
    </row>
    <row r="54" spans="1:17" ht="15.75" x14ac:dyDescent="0.25">
      <c r="D54" s="426" t="s">
        <v>13</v>
      </c>
      <c r="E54" s="426"/>
      <c r="F54" s="115">
        <f>F51-K53-C51</f>
        <v>3130076.13</v>
      </c>
      <c r="I54" s="116"/>
      <c r="J54" s="117"/>
      <c r="P54" s="32"/>
      <c r="Q54" s="8"/>
    </row>
    <row r="55" spans="1:17" ht="18.75" x14ac:dyDescent="0.3">
      <c r="D55" s="427" t="s">
        <v>14</v>
      </c>
      <c r="E55" s="427"/>
      <c r="F55" s="111">
        <v>-3171951.31</v>
      </c>
      <c r="I55" s="428" t="s">
        <v>15</v>
      </c>
      <c r="J55" s="429"/>
      <c r="K55" s="430">
        <f>F57+F58+F59</f>
        <v>265314.0299999998</v>
      </c>
      <c r="L55" s="43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-41875.180000000168</v>
      </c>
      <c r="H57" s="22"/>
      <c r="I57" s="124" t="s">
        <v>17</v>
      </c>
      <c r="J57" s="125"/>
      <c r="K57" s="432">
        <f>-C4</f>
        <v>-236400.59</v>
      </c>
      <c r="L57" s="433"/>
    </row>
    <row r="58" spans="1:17" ht="16.5" thickBot="1" x14ac:dyDescent="0.3">
      <c r="D58" s="126" t="s">
        <v>18</v>
      </c>
      <c r="E58" s="33" t="s">
        <v>19</v>
      </c>
      <c r="F58" s="127">
        <v>64835</v>
      </c>
    </row>
    <row r="59" spans="1:17" ht="20.25" thickTop="1" thickBot="1" x14ac:dyDescent="0.35">
      <c r="C59" s="128">
        <v>44836</v>
      </c>
      <c r="D59" s="409" t="s">
        <v>20</v>
      </c>
      <c r="E59" s="410"/>
      <c r="F59" s="129">
        <v>242354.21</v>
      </c>
      <c r="I59" s="435" t="s">
        <v>325</v>
      </c>
      <c r="J59" s="436"/>
      <c r="K59" s="437">
        <f>K55+K57</f>
        <v>28913.439999999799</v>
      </c>
      <c r="L59" s="43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1:L45">
    <sortCondition ref="J41:J45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5"/>
  <sheetViews>
    <sheetView topLeftCell="A34" workbookViewId="0">
      <selection activeCell="D86" sqref="D86"/>
    </sheetView>
  </sheetViews>
  <sheetFormatPr baseColWidth="10" defaultRowHeight="15.7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44802</v>
      </c>
      <c r="B3" s="255" t="s">
        <v>474</v>
      </c>
      <c r="C3" s="256">
        <v>121359.44</v>
      </c>
      <c r="D3" s="385">
        <v>44806</v>
      </c>
      <c r="E3" s="383">
        <v>121359.44</v>
      </c>
      <c r="F3" s="152">
        <f>C3-E3</f>
        <v>0</v>
      </c>
      <c r="J3" s="127"/>
    </row>
    <row r="4" spans="1:10" x14ac:dyDescent="0.25">
      <c r="A4" s="257">
        <v>44804</v>
      </c>
      <c r="B4" s="258" t="s">
        <v>475</v>
      </c>
      <c r="C4" s="127">
        <v>70490.48</v>
      </c>
      <c r="D4" s="385">
        <v>44806</v>
      </c>
      <c r="E4" s="384">
        <v>70490.48</v>
      </c>
      <c r="F4" s="188">
        <f>C4-E4+F3</f>
        <v>0</v>
      </c>
      <c r="J4" s="256"/>
    </row>
    <row r="5" spans="1:10" x14ac:dyDescent="0.25">
      <c r="A5" s="257">
        <v>44805</v>
      </c>
      <c r="B5" s="258" t="s">
        <v>476</v>
      </c>
      <c r="C5" s="127">
        <v>9687.1</v>
      </c>
      <c r="D5" s="385">
        <v>44806</v>
      </c>
      <c r="E5" s="384">
        <v>9687.1</v>
      </c>
      <c r="F5" s="188">
        <f t="shared" ref="F5:F68" si="0">C5-E5+F4</f>
        <v>0</v>
      </c>
      <c r="J5" s="127"/>
    </row>
    <row r="6" spans="1:10" ht="18.75" x14ac:dyDescent="0.3">
      <c r="A6" s="257">
        <v>44805</v>
      </c>
      <c r="B6" s="258" t="s">
        <v>477</v>
      </c>
      <c r="C6" s="127">
        <v>1392.3</v>
      </c>
      <c r="D6" s="385">
        <v>44806</v>
      </c>
      <c r="E6" s="384">
        <v>1392.3</v>
      </c>
      <c r="F6" s="188">
        <f t="shared" si="0"/>
        <v>0</v>
      </c>
      <c r="G6" s="156"/>
      <c r="J6" s="127"/>
    </row>
    <row r="7" spans="1:10" x14ac:dyDescent="0.25">
      <c r="A7" s="257">
        <v>44805</v>
      </c>
      <c r="B7" s="258" t="s">
        <v>478</v>
      </c>
      <c r="C7" s="127">
        <v>63143.99</v>
      </c>
      <c r="D7" s="385">
        <v>44806</v>
      </c>
      <c r="E7" s="384">
        <v>63143.99</v>
      </c>
      <c r="F7" s="188">
        <f t="shared" si="0"/>
        <v>0</v>
      </c>
      <c r="J7" s="127"/>
    </row>
    <row r="8" spans="1:10" x14ac:dyDescent="0.25">
      <c r="A8" s="257">
        <v>44806</v>
      </c>
      <c r="B8" s="258" t="s">
        <v>479</v>
      </c>
      <c r="C8" s="127">
        <v>110657.18</v>
      </c>
      <c r="D8" s="385">
        <v>44806</v>
      </c>
      <c r="E8" s="384">
        <v>110657.18</v>
      </c>
      <c r="F8" s="188">
        <f t="shared" si="0"/>
        <v>0</v>
      </c>
      <c r="J8" s="127"/>
    </row>
    <row r="9" spans="1:10" x14ac:dyDescent="0.25">
      <c r="A9" s="257">
        <v>44806</v>
      </c>
      <c r="B9" s="258" t="s">
        <v>480</v>
      </c>
      <c r="C9" s="127">
        <v>20028.400000000001</v>
      </c>
      <c r="D9" s="387">
        <v>44814</v>
      </c>
      <c r="E9" s="277">
        <v>20028.400000000001</v>
      </c>
      <c r="F9" s="188">
        <f t="shared" si="0"/>
        <v>0</v>
      </c>
      <c r="J9" s="127"/>
    </row>
    <row r="10" spans="1:10" x14ac:dyDescent="0.25">
      <c r="A10" s="257">
        <v>44807</v>
      </c>
      <c r="B10" s="258" t="s">
        <v>481</v>
      </c>
      <c r="C10" s="127">
        <v>99866.84</v>
      </c>
      <c r="D10" s="387">
        <v>44814</v>
      </c>
      <c r="E10" s="277">
        <v>99866.84</v>
      </c>
      <c r="F10" s="188">
        <f t="shared" si="0"/>
        <v>0</v>
      </c>
      <c r="J10" s="33">
        <v>0</v>
      </c>
    </row>
    <row r="11" spans="1:10" x14ac:dyDescent="0.25">
      <c r="A11" s="257">
        <v>44808</v>
      </c>
      <c r="B11" s="258" t="s">
        <v>482</v>
      </c>
      <c r="C11" s="127">
        <v>4343</v>
      </c>
      <c r="D11" s="387">
        <v>44814</v>
      </c>
      <c r="E11" s="277">
        <v>4343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44809</v>
      </c>
      <c r="B12" s="258" t="s">
        <v>483</v>
      </c>
      <c r="C12" s="127">
        <v>162404.20000000001</v>
      </c>
      <c r="D12" s="387">
        <v>44814</v>
      </c>
      <c r="E12" s="277">
        <v>162404.20000000001</v>
      </c>
      <c r="F12" s="188">
        <f t="shared" si="0"/>
        <v>0</v>
      </c>
      <c r="G12" s="156"/>
    </row>
    <row r="13" spans="1:10" x14ac:dyDescent="0.25">
      <c r="A13" s="257">
        <v>44810</v>
      </c>
      <c r="B13" s="258" t="s">
        <v>484</v>
      </c>
      <c r="C13" s="127">
        <v>100681.72</v>
      </c>
      <c r="D13" s="387">
        <v>44814</v>
      </c>
      <c r="E13" s="277">
        <v>100681.72</v>
      </c>
      <c r="F13" s="188">
        <f t="shared" si="0"/>
        <v>0</v>
      </c>
    </row>
    <row r="14" spans="1:10" x14ac:dyDescent="0.25">
      <c r="A14" s="257">
        <v>44810</v>
      </c>
      <c r="B14" s="258" t="s">
        <v>485</v>
      </c>
      <c r="C14" s="127">
        <v>4737.7</v>
      </c>
      <c r="D14" s="387">
        <v>44814</v>
      </c>
      <c r="E14" s="277">
        <v>4737.7</v>
      </c>
      <c r="F14" s="188">
        <f t="shared" si="0"/>
        <v>0</v>
      </c>
    </row>
    <row r="15" spans="1:10" x14ac:dyDescent="0.25">
      <c r="A15" s="257">
        <v>44812</v>
      </c>
      <c r="B15" s="258" t="s">
        <v>486</v>
      </c>
      <c r="C15" s="127">
        <v>126371.9</v>
      </c>
      <c r="D15" s="387">
        <v>44814</v>
      </c>
      <c r="E15" s="277">
        <v>126371.9</v>
      </c>
      <c r="F15" s="188">
        <f t="shared" si="0"/>
        <v>0</v>
      </c>
    </row>
    <row r="16" spans="1:10" x14ac:dyDescent="0.25">
      <c r="A16" s="257">
        <v>44814</v>
      </c>
      <c r="B16" s="258" t="s">
        <v>487</v>
      </c>
      <c r="C16" s="127">
        <v>151423.09</v>
      </c>
      <c r="D16" s="300">
        <v>44819</v>
      </c>
      <c r="E16" s="301">
        <v>151423.09</v>
      </c>
      <c r="F16" s="188">
        <f t="shared" si="0"/>
        <v>0</v>
      </c>
    </row>
    <row r="17" spans="1:7" x14ac:dyDescent="0.25">
      <c r="A17" s="257">
        <v>44814</v>
      </c>
      <c r="B17" s="258" t="s">
        <v>488</v>
      </c>
      <c r="C17" s="127">
        <v>2880</v>
      </c>
      <c r="D17" s="300">
        <v>44819</v>
      </c>
      <c r="E17" s="301">
        <v>2880</v>
      </c>
      <c r="F17" s="188">
        <f t="shared" si="0"/>
        <v>0</v>
      </c>
    </row>
    <row r="18" spans="1:7" x14ac:dyDescent="0.25">
      <c r="A18" s="257">
        <v>44815</v>
      </c>
      <c r="B18" s="258" t="s">
        <v>489</v>
      </c>
      <c r="C18" s="127">
        <v>43875.1</v>
      </c>
      <c r="D18" s="300">
        <v>44819</v>
      </c>
      <c r="E18" s="301">
        <v>43875.1</v>
      </c>
      <c r="F18" s="188">
        <f t="shared" si="0"/>
        <v>0</v>
      </c>
    </row>
    <row r="19" spans="1:7" x14ac:dyDescent="0.25">
      <c r="A19" s="257">
        <v>44816</v>
      </c>
      <c r="B19" s="258" t="s">
        <v>490</v>
      </c>
      <c r="C19" s="127">
        <v>130202.7</v>
      </c>
      <c r="D19" s="300">
        <v>44819</v>
      </c>
      <c r="E19" s="301">
        <v>130202.7</v>
      </c>
      <c r="F19" s="188">
        <f t="shared" si="0"/>
        <v>0</v>
      </c>
    </row>
    <row r="20" spans="1:7" x14ac:dyDescent="0.25">
      <c r="A20" s="257">
        <v>44817</v>
      </c>
      <c r="B20" s="258" t="s">
        <v>491</v>
      </c>
      <c r="C20" s="127">
        <v>143921.60000000001</v>
      </c>
      <c r="D20" s="300">
        <v>44819</v>
      </c>
      <c r="E20" s="301">
        <v>143921.60000000001</v>
      </c>
      <c r="F20" s="188">
        <f t="shared" si="0"/>
        <v>0</v>
      </c>
    </row>
    <row r="21" spans="1:7" x14ac:dyDescent="0.25">
      <c r="A21" s="257">
        <v>44818</v>
      </c>
      <c r="B21" s="258" t="s">
        <v>492</v>
      </c>
      <c r="C21" s="127">
        <v>134490</v>
      </c>
      <c r="D21" s="300">
        <v>44819</v>
      </c>
      <c r="E21" s="301">
        <v>134490</v>
      </c>
      <c r="F21" s="188">
        <f t="shared" si="0"/>
        <v>0</v>
      </c>
    </row>
    <row r="22" spans="1:7" x14ac:dyDescent="0.25">
      <c r="A22" s="257">
        <v>44819</v>
      </c>
      <c r="B22" s="258" t="s">
        <v>493</v>
      </c>
      <c r="C22" s="127">
        <v>15710.72</v>
      </c>
      <c r="D22" s="300">
        <v>44819</v>
      </c>
      <c r="E22" s="301">
        <v>15710.72</v>
      </c>
      <c r="F22" s="188">
        <f t="shared" si="0"/>
        <v>0</v>
      </c>
    </row>
    <row r="23" spans="1:7" x14ac:dyDescent="0.25">
      <c r="A23" s="257">
        <v>44820</v>
      </c>
      <c r="B23" s="258" t="s">
        <v>494</v>
      </c>
      <c r="C23" s="127">
        <v>145559.48000000001</v>
      </c>
      <c r="D23" s="300">
        <v>44819</v>
      </c>
      <c r="E23" s="301">
        <v>145559.48000000001</v>
      </c>
      <c r="F23" s="188">
        <f t="shared" si="0"/>
        <v>0</v>
      </c>
    </row>
    <row r="24" spans="1:7" ht="18.75" x14ac:dyDescent="0.3">
      <c r="A24" s="257">
        <v>44821</v>
      </c>
      <c r="B24" s="258" t="s">
        <v>495</v>
      </c>
      <c r="C24" s="127">
        <v>43231.199999999997</v>
      </c>
      <c r="D24" s="300">
        <v>44819</v>
      </c>
      <c r="E24" s="301">
        <v>43231.199999999997</v>
      </c>
      <c r="F24" s="188">
        <f t="shared" si="0"/>
        <v>0</v>
      </c>
      <c r="G24" s="156"/>
    </row>
    <row r="25" spans="1:7" ht="31.5" x14ac:dyDescent="0.25">
      <c r="A25" s="257">
        <v>44821</v>
      </c>
      <c r="B25" s="258" t="s">
        <v>496</v>
      </c>
      <c r="C25" s="127">
        <v>74093.38</v>
      </c>
      <c r="D25" s="390" t="s">
        <v>557</v>
      </c>
      <c r="E25" s="274">
        <f>35520.66+38572.72</f>
        <v>74093.38</v>
      </c>
      <c r="F25" s="188">
        <f t="shared" si="0"/>
        <v>0</v>
      </c>
    </row>
    <row r="26" spans="1:7" x14ac:dyDescent="0.25">
      <c r="A26" s="257">
        <v>44821</v>
      </c>
      <c r="B26" s="258" t="s">
        <v>497</v>
      </c>
      <c r="C26" s="127">
        <v>1852.32</v>
      </c>
      <c r="D26" s="304">
        <v>44827</v>
      </c>
      <c r="E26" s="274">
        <v>1852.32</v>
      </c>
      <c r="F26" s="188">
        <f t="shared" si="0"/>
        <v>0</v>
      </c>
    </row>
    <row r="27" spans="1:7" ht="18.75" customHeight="1" x14ac:dyDescent="0.25">
      <c r="A27" s="257">
        <v>44821</v>
      </c>
      <c r="B27" s="258" t="s">
        <v>498</v>
      </c>
      <c r="C27" s="127">
        <v>15179.4</v>
      </c>
      <c r="D27" s="304">
        <v>44827</v>
      </c>
      <c r="E27" s="274">
        <v>15179.4</v>
      </c>
      <c r="F27" s="188">
        <f t="shared" si="0"/>
        <v>0</v>
      </c>
    </row>
    <row r="28" spans="1:7" ht="18.75" customHeight="1" x14ac:dyDescent="0.25">
      <c r="A28" s="257">
        <v>44822</v>
      </c>
      <c r="B28" s="258" t="s">
        <v>499</v>
      </c>
      <c r="C28" s="127">
        <v>78457.2</v>
      </c>
      <c r="D28" s="304">
        <v>44827</v>
      </c>
      <c r="E28" s="274">
        <v>78457.2</v>
      </c>
      <c r="F28" s="188">
        <f t="shared" si="0"/>
        <v>0</v>
      </c>
    </row>
    <row r="29" spans="1:7" ht="18.75" customHeight="1" x14ac:dyDescent="0.25">
      <c r="A29" s="257">
        <v>44823</v>
      </c>
      <c r="B29" s="258" t="s">
        <v>500</v>
      </c>
      <c r="C29" s="127">
        <v>72034.820000000007</v>
      </c>
      <c r="D29" s="304">
        <v>44827</v>
      </c>
      <c r="E29" s="274">
        <v>72034.820000000007</v>
      </c>
      <c r="F29" s="188">
        <f t="shared" si="0"/>
        <v>0</v>
      </c>
    </row>
    <row r="30" spans="1:7" ht="18.75" customHeight="1" x14ac:dyDescent="0.25">
      <c r="A30" s="257">
        <v>44824</v>
      </c>
      <c r="B30" s="258" t="s">
        <v>501</v>
      </c>
      <c r="C30" s="127">
        <v>150680.32000000001</v>
      </c>
      <c r="D30" s="304">
        <v>44827</v>
      </c>
      <c r="E30" s="274">
        <v>150680.32000000001</v>
      </c>
      <c r="F30" s="188">
        <f t="shared" si="0"/>
        <v>0</v>
      </c>
    </row>
    <row r="31" spans="1:7" ht="18.75" customHeight="1" x14ac:dyDescent="0.25">
      <c r="A31" s="257">
        <v>44825</v>
      </c>
      <c r="B31" s="258" t="s">
        <v>502</v>
      </c>
      <c r="C31" s="127">
        <v>168795.67</v>
      </c>
      <c r="D31" s="304">
        <v>44827</v>
      </c>
      <c r="E31" s="274">
        <v>168795.67</v>
      </c>
      <c r="F31" s="188">
        <f t="shared" si="0"/>
        <v>0</v>
      </c>
    </row>
    <row r="32" spans="1:7" ht="18.75" customHeight="1" x14ac:dyDescent="0.3">
      <c r="A32" s="257">
        <v>44827</v>
      </c>
      <c r="B32" s="258" t="s">
        <v>503</v>
      </c>
      <c r="C32" s="127">
        <v>167099.1</v>
      </c>
      <c r="D32" s="304">
        <v>44827</v>
      </c>
      <c r="E32" s="274">
        <v>167099.1</v>
      </c>
      <c r="F32" s="188">
        <f t="shared" si="0"/>
        <v>0</v>
      </c>
      <c r="G32" s="156"/>
    </row>
    <row r="33" spans="1:6" ht="18.75" customHeight="1" x14ac:dyDescent="0.25">
      <c r="A33" s="257">
        <v>44827</v>
      </c>
      <c r="B33" s="258" t="s">
        <v>504</v>
      </c>
      <c r="C33" s="127">
        <v>10374.799999999999</v>
      </c>
      <c r="D33" s="297">
        <v>44834</v>
      </c>
      <c r="E33" s="296">
        <v>10374.799999999999</v>
      </c>
      <c r="F33" s="188">
        <f t="shared" si="0"/>
        <v>0</v>
      </c>
    </row>
    <row r="34" spans="1:6" ht="18.75" customHeight="1" x14ac:dyDescent="0.25">
      <c r="A34" s="257">
        <v>44828</v>
      </c>
      <c r="B34" s="258" t="s">
        <v>505</v>
      </c>
      <c r="C34" s="127">
        <v>99260.84</v>
      </c>
      <c r="D34" s="297">
        <v>44834</v>
      </c>
      <c r="E34" s="296">
        <v>99260.84</v>
      </c>
      <c r="F34" s="188">
        <f t="shared" si="0"/>
        <v>0</v>
      </c>
    </row>
    <row r="35" spans="1:6" ht="18.75" customHeight="1" x14ac:dyDescent="0.25">
      <c r="A35" s="257">
        <v>44830</v>
      </c>
      <c r="B35" s="258" t="s">
        <v>506</v>
      </c>
      <c r="C35" s="127">
        <v>104477.42</v>
      </c>
      <c r="D35" s="297">
        <v>44834</v>
      </c>
      <c r="E35" s="296">
        <v>104477.42</v>
      </c>
      <c r="F35" s="188">
        <f t="shared" si="0"/>
        <v>0</v>
      </c>
    </row>
    <row r="36" spans="1:6" ht="18.75" customHeight="1" x14ac:dyDescent="0.25">
      <c r="A36" s="257">
        <v>44831</v>
      </c>
      <c r="B36" s="258" t="s">
        <v>507</v>
      </c>
      <c r="C36" s="127">
        <v>74115.039999999994</v>
      </c>
      <c r="D36" s="297">
        <v>44834</v>
      </c>
      <c r="E36" s="296">
        <v>74115.039999999994</v>
      </c>
      <c r="F36" s="188">
        <f t="shared" si="0"/>
        <v>0</v>
      </c>
    </row>
    <row r="37" spans="1:6" ht="18.75" customHeight="1" x14ac:dyDescent="0.25">
      <c r="A37" s="257">
        <v>44832</v>
      </c>
      <c r="B37" s="258" t="s">
        <v>508</v>
      </c>
      <c r="C37" s="127">
        <v>120675.35</v>
      </c>
      <c r="D37" s="297">
        <v>44834</v>
      </c>
      <c r="E37" s="296">
        <v>120675.35</v>
      </c>
      <c r="F37" s="188">
        <f t="shared" si="0"/>
        <v>0</v>
      </c>
    </row>
    <row r="38" spans="1:6" ht="18.75" customHeight="1" x14ac:dyDescent="0.25">
      <c r="A38" s="257">
        <v>44833</v>
      </c>
      <c r="B38" s="258" t="s">
        <v>509</v>
      </c>
      <c r="C38" s="127">
        <v>36344.76</v>
      </c>
      <c r="D38" s="297">
        <v>44834</v>
      </c>
      <c r="E38" s="296">
        <v>36344.76</v>
      </c>
      <c r="F38" s="188">
        <f t="shared" si="0"/>
        <v>0</v>
      </c>
    </row>
    <row r="39" spans="1:6" ht="18.75" customHeight="1" x14ac:dyDescent="0.25">
      <c r="A39" s="257">
        <v>44834</v>
      </c>
      <c r="B39" s="258" t="s">
        <v>510</v>
      </c>
      <c r="C39" s="127">
        <v>171098.38</v>
      </c>
      <c r="D39" s="297">
        <v>44834</v>
      </c>
      <c r="E39" s="296">
        <v>171098.38</v>
      </c>
      <c r="F39" s="188">
        <f t="shared" si="0"/>
        <v>0</v>
      </c>
    </row>
    <row r="40" spans="1:6" ht="18.75" customHeight="1" x14ac:dyDescent="0.25">
      <c r="A40" s="257">
        <v>44835</v>
      </c>
      <c r="B40" s="258" t="s">
        <v>511</v>
      </c>
      <c r="C40" s="127">
        <v>120954.27</v>
      </c>
      <c r="D40" s="257">
        <v>44841</v>
      </c>
      <c r="E40" s="84">
        <v>120954.27</v>
      </c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3171951.2099999995</v>
      </c>
      <c r="D79" s="191"/>
      <c r="E79" s="170">
        <f>SUM(E3:E78)</f>
        <v>3171951.2099999995</v>
      </c>
      <c r="F79" s="171">
        <f>F78</f>
        <v>0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</sheetPr>
  <dimension ref="A1:U81"/>
  <sheetViews>
    <sheetView workbookViewId="0">
      <pane xSplit="3" ySplit="4" topLeftCell="M5" activePane="bottomRight" state="frozen"/>
      <selection pane="topRight" activeCell="D1" sqref="D1"/>
      <selection pane="bottomLeft" activeCell="A5" sqref="A5"/>
      <selection pane="bottomRight" activeCell="V5" sqref="V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396"/>
      <c r="C1" s="398" t="s">
        <v>512</v>
      </c>
      <c r="D1" s="399"/>
      <c r="E1" s="399"/>
      <c r="F1" s="399"/>
      <c r="G1" s="399"/>
      <c r="H1" s="399"/>
      <c r="I1" s="399"/>
      <c r="J1" s="399"/>
      <c r="K1" s="399"/>
      <c r="L1" s="399"/>
      <c r="M1" s="399"/>
    </row>
    <row r="2" spans="1:21" ht="16.5" thickBot="1" x14ac:dyDescent="0.3">
      <c r="B2" s="397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0" t="s">
        <v>0</v>
      </c>
      <c r="C3" s="401"/>
      <c r="D3" s="9"/>
      <c r="E3" s="10"/>
      <c r="F3" s="10"/>
      <c r="H3" s="402" t="s">
        <v>1</v>
      </c>
      <c r="I3" s="402"/>
      <c r="K3" s="12"/>
      <c r="L3" s="12"/>
      <c r="M3" s="4"/>
      <c r="R3" s="407" t="s">
        <v>38</v>
      </c>
    </row>
    <row r="4" spans="1:21" ht="20.25" thickTop="1" thickBot="1" x14ac:dyDescent="0.35">
      <c r="A4" s="13" t="s">
        <v>2</v>
      </c>
      <c r="B4" s="14"/>
      <c r="C4" s="15">
        <v>242354.21</v>
      </c>
      <c r="D4" s="16">
        <v>44836</v>
      </c>
      <c r="E4" s="403" t="s">
        <v>3</v>
      </c>
      <c r="F4" s="404"/>
      <c r="H4" s="405" t="s">
        <v>4</v>
      </c>
      <c r="I4" s="406"/>
      <c r="J4" s="17"/>
      <c r="K4" s="18"/>
      <c r="L4" s="19"/>
      <c r="M4" s="20" t="s">
        <v>5</v>
      </c>
      <c r="N4" s="21" t="s">
        <v>6</v>
      </c>
      <c r="P4" s="414" t="s">
        <v>7</v>
      </c>
      <c r="Q4" s="415"/>
      <c r="R4" s="408"/>
    </row>
    <row r="5" spans="1:21" ht="18" thickBot="1" x14ac:dyDescent="0.35">
      <c r="A5" s="22" t="s">
        <v>8</v>
      </c>
      <c r="B5" s="320">
        <v>44837</v>
      </c>
      <c r="C5" s="24"/>
      <c r="D5" s="321"/>
      <c r="E5" s="322">
        <v>44837</v>
      </c>
      <c r="F5" s="27">
        <v>65048</v>
      </c>
      <c r="G5" s="323"/>
      <c r="H5" s="324">
        <v>44837</v>
      </c>
      <c r="I5" s="29">
        <v>41</v>
      </c>
      <c r="J5" s="6"/>
      <c r="K5" s="325"/>
      <c r="L5" s="8"/>
      <c r="M5" s="30">
        <f>14700+50307</f>
        <v>65007</v>
      </c>
      <c r="N5" s="31">
        <v>0</v>
      </c>
      <c r="O5" s="314"/>
      <c r="P5" s="32">
        <f>N5+M5+L5+I5+C5</f>
        <v>65048</v>
      </c>
      <c r="Q5" s="12">
        <f t="shared" ref="Q5:Q39" si="0"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44838</v>
      </c>
      <c r="C6" s="24">
        <v>3900</v>
      </c>
      <c r="D6" s="326" t="s">
        <v>47</v>
      </c>
      <c r="E6" s="322">
        <v>44838</v>
      </c>
      <c r="F6" s="27">
        <v>50129</v>
      </c>
      <c r="G6" s="323"/>
      <c r="H6" s="324">
        <v>44838</v>
      </c>
      <c r="I6" s="29">
        <v>33</v>
      </c>
      <c r="J6" s="36"/>
      <c r="K6" s="327"/>
      <c r="L6" s="38"/>
      <c r="M6" s="30">
        <f>49399+20000</f>
        <v>69399</v>
      </c>
      <c r="N6" s="31">
        <v>3000</v>
      </c>
      <c r="O6" s="314"/>
      <c r="P6" s="32">
        <f>N6+M6+L6+I6+C6</f>
        <v>76332</v>
      </c>
      <c r="Q6" s="371">
        <v>0</v>
      </c>
      <c r="R6" s="283">
        <v>26258</v>
      </c>
      <c r="S6" s="369">
        <v>44838</v>
      </c>
      <c r="T6" s="370">
        <v>55</v>
      </c>
    </row>
    <row r="7" spans="1:21" ht="18" thickBot="1" x14ac:dyDescent="0.35">
      <c r="A7" s="22"/>
      <c r="B7" s="320">
        <v>44839</v>
      </c>
      <c r="C7" s="24">
        <v>1920</v>
      </c>
      <c r="D7" s="328" t="s">
        <v>195</v>
      </c>
      <c r="E7" s="322">
        <v>44839</v>
      </c>
      <c r="F7" s="8">
        <v>53115</v>
      </c>
      <c r="G7" s="323"/>
      <c r="H7" s="324">
        <v>44839</v>
      </c>
      <c r="I7" s="29">
        <v>71</v>
      </c>
      <c r="J7" s="36"/>
      <c r="K7" s="329"/>
      <c r="L7" s="38"/>
      <c r="M7" s="30">
        <f>1776+34844+20000</f>
        <v>56620</v>
      </c>
      <c r="N7" s="31">
        <v>0</v>
      </c>
      <c r="O7" s="314"/>
      <c r="P7" s="32">
        <f>N7+M7+L7+I7+C7</f>
        <v>58611</v>
      </c>
      <c r="Q7" s="12">
        <v>0</v>
      </c>
      <c r="R7" s="283">
        <v>5496</v>
      </c>
      <c r="S7" s="369">
        <v>44839</v>
      </c>
      <c r="T7" s="2" t="s">
        <v>131</v>
      </c>
    </row>
    <row r="8" spans="1:21" ht="18" thickBot="1" x14ac:dyDescent="0.35">
      <c r="A8" s="22"/>
      <c r="B8" s="320">
        <v>44840</v>
      </c>
      <c r="C8" s="24">
        <v>4835</v>
      </c>
      <c r="D8" s="328" t="s">
        <v>49</v>
      </c>
      <c r="E8" s="322">
        <v>44840</v>
      </c>
      <c r="F8" s="27">
        <v>100814</v>
      </c>
      <c r="G8" s="323"/>
      <c r="H8" s="324">
        <v>44840</v>
      </c>
      <c r="I8" s="29">
        <v>95</v>
      </c>
      <c r="J8" s="42"/>
      <c r="K8" s="330"/>
      <c r="L8" s="38"/>
      <c r="M8" s="30">
        <f>40000+59334</f>
        <v>99334</v>
      </c>
      <c r="N8" s="31">
        <v>200</v>
      </c>
      <c r="O8" s="314"/>
      <c r="P8" s="32">
        <f t="shared" ref="P8:P40" si="1">N8+M8+L8+I8+C8</f>
        <v>104464</v>
      </c>
      <c r="Q8" s="12">
        <v>0</v>
      </c>
      <c r="R8" s="283">
        <v>3650</v>
      </c>
      <c r="S8" s="369">
        <v>44840</v>
      </c>
    </row>
    <row r="9" spans="1:21" ht="18" thickBot="1" x14ac:dyDescent="0.35">
      <c r="A9" s="22"/>
      <c r="B9" s="320">
        <v>44841</v>
      </c>
      <c r="C9" s="24">
        <v>17118</v>
      </c>
      <c r="D9" s="328" t="s">
        <v>49</v>
      </c>
      <c r="E9" s="322">
        <v>44841</v>
      </c>
      <c r="F9" s="27">
        <v>89113</v>
      </c>
      <c r="G9" s="323"/>
      <c r="H9" s="324">
        <v>44841</v>
      </c>
      <c r="I9" s="29">
        <v>220</v>
      </c>
      <c r="J9" s="36"/>
      <c r="K9" s="331"/>
      <c r="L9" s="38"/>
      <c r="M9" s="30">
        <f>15000+57620</f>
        <v>72620</v>
      </c>
      <c r="N9" s="31">
        <v>4526</v>
      </c>
      <c r="O9" s="314"/>
      <c r="P9" s="32">
        <f t="shared" si="1"/>
        <v>94484</v>
      </c>
      <c r="Q9" s="12">
        <v>0</v>
      </c>
      <c r="R9" s="283">
        <v>5371</v>
      </c>
      <c r="S9" s="369">
        <v>44841</v>
      </c>
    </row>
    <row r="10" spans="1:21" ht="18" thickBot="1" x14ac:dyDescent="0.35">
      <c r="A10" s="22"/>
      <c r="B10" s="320">
        <v>44842</v>
      </c>
      <c r="C10" s="24">
        <v>0</v>
      </c>
      <c r="D10" s="326"/>
      <c r="E10" s="322">
        <v>44842</v>
      </c>
      <c r="F10" s="27">
        <v>95493</v>
      </c>
      <c r="G10" s="323"/>
      <c r="H10" s="324">
        <v>44842</v>
      </c>
      <c r="I10" s="29">
        <v>140</v>
      </c>
      <c r="J10" s="36">
        <v>44842</v>
      </c>
      <c r="K10" s="332" t="s">
        <v>513</v>
      </c>
      <c r="L10" s="46">
        <v>9841</v>
      </c>
      <c r="M10" s="30">
        <f>25000+52868</f>
        <v>77868</v>
      </c>
      <c r="N10" s="31">
        <v>11645</v>
      </c>
      <c r="O10" s="314"/>
      <c r="P10" s="32">
        <f>N10+M10+L10+I10+C10</f>
        <v>99494</v>
      </c>
      <c r="Q10" s="12">
        <v>0</v>
      </c>
      <c r="R10" s="283">
        <v>4000</v>
      </c>
      <c r="S10" s="369">
        <v>44842</v>
      </c>
      <c r="U10" t="s">
        <v>8</v>
      </c>
    </row>
    <row r="11" spans="1:21" ht="18" thickBot="1" x14ac:dyDescent="0.35">
      <c r="A11" s="22"/>
      <c r="B11" s="320">
        <v>44843</v>
      </c>
      <c r="C11" s="24">
        <v>0</v>
      </c>
      <c r="D11" s="326"/>
      <c r="E11" s="322">
        <v>44843</v>
      </c>
      <c r="F11" s="27">
        <v>120586</v>
      </c>
      <c r="G11" s="323"/>
      <c r="H11" s="324">
        <v>44843</v>
      </c>
      <c r="I11" s="29">
        <v>96</v>
      </c>
      <c r="J11" s="42"/>
      <c r="K11" s="333"/>
      <c r="L11" s="38"/>
      <c r="M11" s="30">
        <f>75000+50000+13500</f>
        <v>138500</v>
      </c>
      <c r="N11" s="31">
        <v>990</v>
      </c>
      <c r="O11" s="314"/>
      <c r="P11" s="32">
        <f>N11+M11+L11+I11+C11</f>
        <v>139586</v>
      </c>
      <c r="Q11" s="12">
        <v>0</v>
      </c>
      <c r="R11" s="283">
        <v>19000</v>
      </c>
      <c r="S11" s="369">
        <v>44843</v>
      </c>
    </row>
    <row r="12" spans="1:21" ht="18" thickBot="1" x14ac:dyDescent="0.35">
      <c r="A12" s="22"/>
      <c r="B12" s="320">
        <v>44844</v>
      </c>
      <c r="C12" s="24">
        <v>0</v>
      </c>
      <c r="D12" s="326"/>
      <c r="E12" s="322">
        <v>44844</v>
      </c>
      <c r="F12" s="27">
        <v>80401</v>
      </c>
      <c r="G12" s="323"/>
      <c r="H12" s="324">
        <v>44844</v>
      </c>
      <c r="I12" s="29">
        <v>143</v>
      </c>
      <c r="J12" s="36"/>
      <c r="K12" s="334"/>
      <c r="L12" s="38"/>
      <c r="M12" s="30">
        <f>10000+70258</f>
        <v>80258</v>
      </c>
      <c r="N12" s="31">
        <v>0</v>
      </c>
      <c r="O12" s="314"/>
      <c r="P12" s="32">
        <f t="shared" si="1"/>
        <v>80401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44845</v>
      </c>
      <c r="C13" s="24">
        <v>0</v>
      </c>
      <c r="D13" s="328"/>
      <c r="E13" s="322">
        <v>44845</v>
      </c>
      <c r="F13" s="27">
        <v>97391</v>
      </c>
      <c r="G13" s="323"/>
      <c r="H13" s="324">
        <v>44845</v>
      </c>
      <c r="I13" s="29">
        <v>68</v>
      </c>
      <c r="J13" s="36"/>
      <c r="K13" s="327"/>
      <c r="L13" s="38"/>
      <c r="M13" s="30">
        <f>15000+60000+22090</f>
        <v>97090</v>
      </c>
      <c r="N13" s="31">
        <v>233</v>
      </c>
      <c r="O13" s="314"/>
      <c r="P13" s="32">
        <f t="shared" si="1"/>
        <v>97391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44846</v>
      </c>
      <c r="C14" s="24">
        <v>0</v>
      </c>
      <c r="D14" s="335"/>
      <c r="E14" s="322">
        <v>44846</v>
      </c>
      <c r="F14" s="27">
        <v>57382</v>
      </c>
      <c r="G14" s="323"/>
      <c r="H14" s="324">
        <v>44846</v>
      </c>
      <c r="I14" s="29">
        <v>166</v>
      </c>
      <c r="J14" s="36"/>
      <c r="K14" s="330"/>
      <c r="L14" s="38"/>
      <c r="M14" s="30">
        <v>56283</v>
      </c>
      <c r="N14" s="31">
        <v>933</v>
      </c>
      <c r="O14" s="314"/>
      <c r="P14" s="32">
        <f t="shared" si="1"/>
        <v>57382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44847</v>
      </c>
      <c r="C15" s="24">
        <v>20305.2</v>
      </c>
      <c r="D15" s="335" t="s">
        <v>49</v>
      </c>
      <c r="E15" s="322">
        <v>44847</v>
      </c>
      <c r="F15" s="27">
        <v>98367</v>
      </c>
      <c r="G15" s="323"/>
      <c r="H15" s="324">
        <v>44847</v>
      </c>
      <c r="I15" s="29">
        <v>125</v>
      </c>
      <c r="J15" s="36"/>
      <c r="K15" s="330"/>
      <c r="L15" s="38"/>
      <c r="M15" s="30">
        <f>20000+57937</f>
        <v>77937</v>
      </c>
      <c r="N15" s="31">
        <v>0</v>
      </c>
      <c r="O15" s="314"/>
      <c r="P15" s="32">
        <f t="shared" si="1"/>
        <v>98367.2</v>
      </c>
      <c r="Q15" s="12">
        <f t="shared" si="0"/>
        <v>0.19999999999708962</v>
      </c>
      <c r="R15" s="12">
        <v>0</v>
      </c>
      <c r="S15" s="369">
        <v>44847</v>
      </c>
    </row>
    <row r="16" spans="1:21" ht="18" thickBot="1" x14ac:dyDescent="0.35">
      <c r="A16" s="22"/>
      <c r="B16" s="320">
        <v>44848</v>
      </c>
      <c r="C16" s="24">
        <v>4395</v>
      </c>
      <c r="D16" s="326" t="s">
        <v>279</v>
      </c>
      <c r="E16" s="322">
        <v>44848</v>
      </c>
      <c r="F16" s="27">
        <v>124865</v>
      </c>
      <c r="G16" s="323"/>
      <c r="H16" s="324">
        <v>44848</v>
      </c>
      <c r="I16" s="29">
        <v>334</v>
      </c>
      <c r="J16" s="36"/>
      <c r="K16" s="330"/>
      <c r="L16" s="8"/>
      <c r="M16" s="30">
        <f>70136+50000</f>
        <v>120136</v>
      </c>
      <c r="N16" s="31">
        <v>0</v>
      </c>
      <c r="O16" s="314"/>
      <c r="P16" s="32">
        <f t="shared" si="1"/>
        <v>124865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44849</v>
      </c>
      <c r="C17" s="24">
        <v>0</v>
      </c>
      <c r="D17" s="328"/>
      <c r="E17" s="322">
        <v>44849</v>
      </c>
      <c r="F17" s="27">
        <v>126961</v>
      </c>
      <c r="G17" s="323"/>
      <c r="H17" s="324">
        <v>44849</v>
      </c>
      <c r="I17" s="29">
        <v>155</v>
      </c>
      <c r="J17" s="36">
        <v>44849</v>
      </c>
      <c r="K17" s="336" t="s">
        <v>514</v>
      </c>
      <c r="L17" s="46">
        <v>9500</v>
      </c>
      <c r="M17" s="30">
        <f>60000+49530</f>
        <v>109530</v>
      </c>
      <c r="N17" s="31">
        <v>8836</v>
      </c>
      <c r="O17" s="314"/>
      <c r="P17" s="32">
        <f t="shared" si="1"/>
        <v>128021</v>
      </c>
      <c r="Q17" s="12">
        <v>0</v>
      </c>
      <c r="R17" s="176">
        <v>1060</v>
      </c>
      <c r="S17" s="369">
        <v>44849</v>
      </c>
    </row>
    <row r="18" spans="1:20" ht="18" thickBot="1" x14ac:dyDescent="0.35">
      <c r="A18" s="22"/>
      <c r="B18" s="320">
        <v>44850</v>
      </c>
      <c r="C18" s="24">
        <v>480</v>
      </c>
      <c r="D18" s="326" t="s">
        <v>47</v>
      </c>
      <c r="E18" s="322">
        <v>44850</v>
      </c>
      <c r="F18" s="27">
        <v>132540</v>
      </c>
      <c r="G18" s="323"/>
      <c r="H18" s="324">
        <v>44850</v>
      </c>
      <c r="I18" s="29">
        <v>80</v>
      </c>
      <c r="J18" s="36"/>
      <c r="K18" s="337"/>
      <c r="L18" s="38"/>
      <c r="M18" s="30">
        <f>75000+52964</f>
        <v>127964</v>
      </c>
      <c r="N18" s="31">
        <v>4016</v>
      </c>
      <c r="O18" s="314"/>
      <c r="P18" s="32">
        <f t="shared" si="1"/>
        <v>132540</v>
      </c>
      <c r="Q18" s="12">
        <f t="shared" si="0"/>
        <v>0</v>
      </c>
      <c r="R18" s="8">
        <v>0</v>
      </c>
      <c r="S18" s="369">
        <v>44850</v>
      </c>
    </row>
    <row r="19" spans="1:20" ht="18" thickBot="1" x14ac:dyDescent="0.35">
      <c r="A19" s="22"/>
      <c r="B19" s="320">
        <v>44851</v>
      </c>
      <c r="C19" s="24">
        <v>0</v>
      </c>
      <c r="D19" s="326"/>
      <c r="E19" s="322">
        <v>44851</v>
      </c>
      <c r="F19" s="27">
        <v>113789</v>
      </c>
      <c r="G19" s="323"/>
      <c r="H19" s="324">
        <v>44851</v>
      </c>
      <c r="I19" s="29">
        <v>504</v>
      </c>
      <c r="J19" s="36"/>
      <c r="K19" s="338"/>
      <c r="L19" s="53"/>
      <c r="M19" s="30">
        <f>24000+89285</f>
        <v>113285</v>
      </c>
      <c r="N19" s="31">
        <v>0</v>
      </c>
      <c r="O19" s="314"/>
      <c r="P19" s="32">
        <f t="shared" si="1"/>
        <v>113789</v>
      </c>
      <c r="Q19" s="12">
        <f t="shared" si="0"/>
        <v>0</v>
      </c>
      <c r="R19" s="8">
        <v>0</v>
      </c>
      <c r="S19" s="369">
        <v>44851</v>
      </c>
    </row>
    <row r="20" spans="1:20" ht="18" thickBot="1" x14ac:dyDescent="0.35">
      <c r="A20" s="22"/>
      <c r="B20" s="320">
        <v>44852</v>
      </c>
      <c r="C20" s="24">
        <v>0</v>
      </c>
      <c r="D20" s="326"/>
      <c r="E20" s="322">
        <v>44852</v>
      </c>
      <c r="F20" s="27">
        <v>107134</v>
      </c>
      <c r="G20" s="323"/>
      <c r="H20" s="324">
        <v>44852</v>
      </c>
      <c r="I20" s="29">
        <v>900</v>
      </c>
      <c r="J20" s="36"/>
      <c r="K20" s="339"/>
      <c r="L20" s="46"/>
      <c r="M20" s="30">
        <f>10000+65000+30625</f>
        <v>105625</v>
      </c>
      <c r="N20" s="31">
        <v>609</v>
      </c>
      <c r="O20" s="314"/>
      <c r="P20" s="32">
        <f t="shared" si="1"/>
        <v>107134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44853</v>
      </c>
      <c r="C21" s="24">
        <v>0</v>
      </c>
      <c r="D21" s="326"/>
      <c r="E21" s="322">
        <v>44853</v>
      </c>
      <c r="F21" s="27">
        <v>61027</v>
      </c>
      <c r="G21" s="323"/>
      <c r="H21" s="324">
        <v>44853</v>
      </c>
      <c r="I21" s="29">
        <v>134</v>
      </c>
      <c r="J21" s="36"/>
      <c r="K21" s="340"/>
      <c r="L21" s="46"/>
      <c r="M21" s="30">
        <v>60516</v>
      </c>
      <c r="N21" s="31">
        <v>377</v>
      </c>
      <c r="O21" s="314"/>
      <c r="P21" s="32">
        <f t="shared" si="1"/>
        <v>61027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44854</v>
      </c>
      <c r="C22" s="24">
        <v>18620</v>
      </c>
      <c r="D22" s="326" t="s">
        <v>49</v>
      </c>
      <c r="E22" s="322">
        <v>44854</v>
      </c>
      <c r="F22" s="27">
        <v>118154</v>
      </c>
      <c r="G22" s="323"/>
      <c r="H22" s="324">
        <v>44854</v>
      </c>
      <c r="I22" s="29">
        <v>58</v>
      </c>
      <c r="J22" s="36"/>
      <c r="K22" s="330"/>
      <c r="L22" s="56"/>
      <c r="M22" s="30">
        <f>25000+72192</f>
        <v>97192</v>
      </c>
      <c r="N22" s="31">
        <v>2284</v>
      </c>
      <c r="O22" s="314"/>
      <c r="P22" s="32">
        <f t="shared" si="1"/>
        <v>118154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44855</v>
      </c>
      <c r="C23" s="24">
        <v>0</v>
      </c>
      <c r="D23" s="326"/>
      <c r="E23" s="322">
        <v>44855</v>
      </c>
      <c r="F23" s="27">
        <v>115126</v>
      </c>
      <c r="G23" s="323"/>
      <c r="H23" s="324">
        <v>44855</v>
      </c>
      <c r="I23" s="29">
        <v>206</v>
      </c>
      <c r="J23" s="57"/>
      <c r="K23" s="341"/>
      <c r="L23" s="46"/>
      <c r="M23" s="30">
        <f>21410+70000+20000</f>
        <v>111410</v>
      </c>
      <c r="N23" s="31">
        <v>3510</v>
      </c>
      <c r="O23" s="314"/>
      <c r="P23" s="32">
        <f t="shared" si="1"/>
        <v>115126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44856</v>
      </c>
      <c r="C24" s="24">
        <v>4400</v>
      </c>
      <c r="D24" s="328" t="s">
        <v>47</v>
      </c>
      <c r="E24" s="322">
        <v>44856</v>
      </c>
      <c r="F24" s="27">
        <v>125613</v>
      </c>
      <c r="G24" s="323"/>
      <c r="H24" s="324">
        <v>44856</v>
      </c>
      <c r="I24" s="29">
        <v>334</v>
      </c>
      <c r="J24" s="342">
        <v>44856</v>
      </c>
      <c r="K24" s="343" t="s">
        <v>515</v>
      </c>
      <c r="L24" s="61">
        <v>9500</v>
      </c>
      <c r="M24" s="30">
        <f>40000+52999</f>
        <v>92999</v>
      </c>
      <c r="N24" s="31">
        <v>18380</v>
      </c>
      <c r="O24" s="314"/>
      <c r="P24" s="32">
        <f t="shared" si="1"/>
        <v>125613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44857</v>
      </c>
      <c r="C25" s="24">
        <v>505</v>
      </c>
      <c r="D25" s="326" t="s">
        <v>279</v>
      </c>
      <c r="E25" s="322">
        <v>44857</v>
      </c>
      <c r="F25" s="27">
        <v>145927</v>
      </c>
      <c r="G25" s="323"/>
      <c r="H25" s="324">
        <v>44857</v>
      </c>
      <c r="I25" s="29">
        <v>112</v>
      </c>
      <c r="J25" s="62"/>
      <c r="K25" s="344"/>
      <c r="L25" s="64"/>
      <c r="M25" s="30">
        <f>70000+60000+14488</f>
        <v>144488</v>
      </c>
      <c r="N25" s="31">
        <v>822</v>
      </c>
      <c r="O25" s="314"/>
      <c r="P25" s="32">
        <f t="shared" si="1"/>
        <v>145927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44858</v>
      </c>
      <c r="C26" s="24">
        <v>780</v>
      </c>
      <c r="D26" s="326" t="s">
        <v>516</v>
      </c>
      <c r="E26" s="322">
        <v>44858</v>
      </c>
      <c r="F26" s="27">
        <v>64479</v>
      </c>
      <c r="G26" s="323"/>
      <c r="H26" s="324">
        <v>44858</v>
      </c>
      <c r="I26" s="29">
        <v>97</v>
      </c>
      <c r="J26" s="36"/>
      <c r="K26" s="343"/>
      <c r="L26" s="46"/>
      <c r="M26" s="30">
        <f>12000+51602</f>
        <v>63602</v>
      </c>
      <c r="N26" s="31">
        <v>0</v>
      </c>
      <c r="O26" s="314"/>
      <c r="P26" s="32">
        <f t="shared" si="1"/>
        <v>64479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44859</v>
      </c>
      <c r="C27" s="24">
        <v>0</v>
      </c>
      <c r="D27" s="328"/>
      <c r="E27" s="322">
        <v>44859</v>
      </c>
      <c r="F27" s="27">
        <v>83491</v>
      </c>
      <c r="G27" s="323"/>
      <c r="H27" s="324">
        <v>44859</v>
      </c>
      <c r="I27" s="29">
        <v>58</v>
      </c>
      <c r="J27" s="65"/>
      <c r="K27" s="345"/>
      <c r="L27" s="64"/>
      <c r="M27" s="30">
        <f>35000+48433</f>
        <v>83433</v>
      </c>
      <c r="N27" s="31">
        <v>0</v>
      </c>
      <c r="O27" s="314"/>
      <c r="P27" s="32">
        <f t="shared" si="1"/>
        <v>83491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44860</v>
      </c>
      <c r="C28" s="24">
        <v>0</v>
      </c>
      <c r="D28" s="328"/>
      <c r="E28" s="322">
        <v>44860</v>
      </c>
      <c r="F28" s="27">
        <v>54947</v>
      </c>
      <c r="G28" s="323"/>
      <c r="H28" s="324">
        <v>44860</v>
      </c>
      <c r="I28" s="29">
        <v>96</v>
      </c>
      <c r="J28" s="67"/>
      <c r="K28" s="346"/>
      <c r="L28" s="64"/>
      <c r="M28" s="30">
        <f>5000+49811</f>
        <v>54811</v>
      </c>
      <c r="N28" s="31">
        <v>40</v>
      </c>
      <c r="O28" s="314"/>
      <c r="P28" s="32">
        <f t="shared" si="1"/>
        <v>54947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44861</v>
      </c>
      <c r="C29" s="24">
        <v>18299</v>
      </c>
      <c r="D29" s="347" t="s">
        <v>49</v>
      </c>
      <c r="E29" s="322">
        <v>44861</v>
      </c>
      <c r="F29" s="27">
        <v>90518</v>
      </c>
      <c r="G29" s="323"/>
      <c r="H29" s="324">
        <v>44861</v>
      </c>
      <c r="I29" s="29">
        <v>48</v>
      </c>
      <c r="J29" s="65"/>
      <c r="K29" s="348"/>
      <c r="L29" s="64"/>
      <c r="M29" s="30">
        <f>15000+52731+150</f>
        <v>67881</v>
      </c>
      <c r="N29" s="31">
        <v>4290</v>
      </c>
      <c r="O29" s="314"/>
      <c r="P29" s="32">
        <f t="shared" si="1"/>
        <v>90518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44862</v>
      </c>
      <c r="C30" s="24">
        <v>3189</v>
      </c>
      <c r="D30" s="347" t="s">
        <v>517</v>
      </c>
      <c r="E30" s="322">
        <v>44862</v>
      </c>
      <c r="F30" s="27">
        <v>126144</v>
      </c>
      <c r="G30" s="323"/>
      <c r="H30" s="324">
        <v>44862</v>
      </c>
      <c r="I30" s="29">
        <v>78</v>
      </c>
      <c r="J30" s="71"/>
      <c r="K30" s="349"/>
      <c r="L30" s="73"/>
      <c r="M30" s="30">
        <f>15000+70000+36397</f>
        <v>121397</v>
      </c>
      <c r="N30" s="31">
        <v>1480</v>
      </c>
      <c r="O30" s="314"/>
      <c r="P30" s="32">
        <f t="shared" si="1"/>
        <v>126144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44863</v>
      </c>
      <c r="C31" s="24">
        <v>0</v>
      </c>
      <c r="D31" s="350"/>
      <c r="E31" s="322">
        <v>44863</v>
      </c>
      <c r="F31" s="27">
        <v>95038</v>
      </c>
      <c r="G31" s="323"/>
      <c r="H31" s="324">
        <v>44863</v>
      </c>
      <c r="I31" s="29">
        <v>875</v>
      </c>
      <c r="J31" s="71">
        <v>44863</v>
      </c>
      <c r="K31" s="351" t="s">
        <v>518</v>
      </c>
      <c r="L31" s="75">
        <v>9300</v>
      </c>
      <c r="M31" s="30">
        <f>25000+50347</f>
        <v>75347</v>
      </c>
      <c r="N31" s="31">
        <v>9516</v>
      </c>
      <c r="O31" s="314"/>
      <c r="P31" s="32">
        <f t="shared" si="1"/>
        <v>95038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44864</v>
      </c>
      <c r="C32" s="24">
        <v>7380</v>
      </c>
      <c r="D32" s="352" t="s">
        <v>519</v>
      </c>
      <c r="E32" s="322">
        <v>44864</v>
      </c>
      <c r="F32" s="27">
        <v>132141</v>
      </c>
      <c r="G32" s="323"/>
      <c r="H32" s="324">
        <v>44864</v>
      </c>
      <c r="I32" s="29">
        <v>195</v>
      </c>
      <c r="J32" s="71"/>
      <c r="K32" s="349"/>
      <c r="L32" s="73"/>
      <c r="M32" s="30">
        <f>40000+70000+13018</f>
        <v>123018</v>
      </c>
      <c r="N32" s="31">
        <v>1548</v>
      </c>
      <c r="O32" s="314"/>
      <c r="P32" s="32">
        <f t="shared" si="1"/>
        <v>132141</v>
      </c>
      <c r="Q32" s="12">
        <f t="shared" si="0"/>
        <v>0</v>
      </c>
      <c r="R32" s="8">
        <v>0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>
        <v>44848</v>
      </c>
      <c r="K34" s="354" t="s">
        <v>547</v>
      </c>
      <c r="L34" s="80">
        <v>31059</v>
      </c>
      <c r="M34" s="30">
        <v>0</v>
      </c>
      <c r="N34" s="31">
        <v>0</v>
      </c>
      <c r="O34" s="314"/>
      <c r="P34" s="32">
        <f t="shared" si="1"/>
        <v>31059</v>
      </c>
      <c r="Q34" s="12">
        <f t="shared" si="0"/>
        <v>31059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>
        <v>44855</v>
      </c>
      <c r="K35" s="351" t="s">
        <v>205</v>
      </c>
      <c r="L35" s="78">
        <v>1392</v>
      </c>
      <c r="M35" s="30">
        <v>0</v>
      </c>
      <c r="N35" s="31">
        <v>0</v>
      </c>
      <c r="O35" s="314"/>
      <c r="P35" s="32">
        <f t="shared" si="1"/>
        <v>1392</v>
      </c>
      <c r="Q35" s="12">
        <f t="shared" si="0"/>
        <v>1392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289">
        <v>44859</v>
      </c>
      <c r="K36" s="356" t="s">
        <v>204</v>
      </c>
      <c r="L36" s="78">
        <v>979.68</v>
      </c>
      <c r="M36" s="30">
        <v>0</v>
      </c>
      <c r="N36" s="31">
        <v>0</v>
      </c>
      <c r="O36" s="314"/>
      <c r="P36" s="32">
        <f t="shared" si="1"/>
        <v>979.68</v>
      </c>
      <c r="Q36" s="12">
        <f t="shared" si="0"/>
        <v>979.68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>
        <v>44862</v>
      </c>
      <c r="K37" s="357" t="s">
        <v>548</v>
      </c>
      <c r="L37" s="78">
        <v>3210.56</v>
      </c>
      <c r="M37" s="30">
        <v>0</v>
      </c>
      <c r="N37" s="31">
        <v>0</v>
      </c>
      <c r="O37" s="314"/>
      <c r="P37" s="32">
        <f t="shared" si="1"/>
        <v>3210.56</v>
      </c>
      <c r="Q37" s="12">
        <f t="shared" si="0"/>
        <v>3210.56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71">
        <v>44848</v>
      </c>
      <c r="K38" s="376" t="s">
        <v>549</v>
      </c>
      <c r="L38" s="78">
        <v>71514</v>
      </c>
      <c r="M38" s="30">
        <v>0</v>
      </c>
      <c r="N38" s="31">
        <v>0</v>
      </c>
      <c r="O38" s="314"/>
      <c r="P38" s="32">
        <f t="shared" si="1"/>
        <v>71514</v>
      </c>
      <c r="Q38" s="12">
        <f t="shared" si="0"/>
        <v>71514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/>
      <c r="K39" s="358"/>
      <c r="L39" s="73"/>
      <c r="M39" s="30">
        <v>0</v>
      </c>
      <c r="N39" s="31">
        <v>0</v>
      </c>
      <c r="O39" s="314"/>
      <c r="P39" s="32">
        <f t="shared" si="1"/>
        <v>0</v>
      </c>
      <c r="Q39" s="12">
        <f t="shared" si="0"/>
        <v>0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416">
        <f>SUM(M5:M39)</f>
        <v>2563550</v>
      </c>
      <c r="N40" s="418">
        <f>SUM(N5:N39)</f>
        <v>77235</v>
      </c>
      <c r="P40" s="32">
        <f t="shared" si="1"/>
        <v>2640785</v>
      </c>
      <c r="Q40" s="284">
        <f>SUM(Q5:Q39)</f>
        <v>108155.44</v>
      </c>
      <c r="R40" s="316">
        <f>SUM(R5:R39)</f>
        <v>64835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417"/>
      <c r="N41" s="419"/>
      <c r="P41" s="32"/>
      <c r="Q41" s="8"/>
    </row>
    <row r="42" spans="1:19" ht="17.25" hidden="1" customHeight="1" thickBot="1" x14ac:dyDescent="0.35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106126.2</v>
      </c>
      <c r="D51" s="103"/>
      <c r="E51" s="104" t="s">
        <v>9</v>
      </c>
      <c r="F51" s="105">
        <f>SUM(F5:F50)</f>
        <v>2725733</v>
      </c>
      <c r="G51" s="103"/>
      <c r="H51" s="106" t="s">
        <v>10</v>
      </c>
      <c r="I51" s="107">
        <f>SUM(I5:I50)</f>
        <v>5462</v>
      </c>
      <c r="J51" s="108"/>
      <c r="K51" s="109" t="s">
        <v>11</v>
      </c>
      <c r="L51" s="110">
        <f>SUM(L5:L50)</f>
        <v>146296.24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20" t="s">
        <v>12</v>
      </c>
      <c r="I53" s="421"/>
      <c r="J53" s="114"/>
      <c r="K53" s="422">
        <f>I51+L51</f>
        <v>151758.24</v>
      </c>
      <c r="L53" s="423"/>
      <c r="M53" s="424">
        <f>N40+M40</f>
        <v>2640785</v>
      </c>
      <c r="N53" s="425"/>
      <c r="P53" s="32"/>
      <c r="Q53" s="8"/>
    </row>
    <row r="54" spans="1:17" ht="15.75" x14ac:dyDescent="0.25">
      <c r="D54" s="426" t="s">
        <v>13</v>
      </c>
      <c r="E54" s="426"/>
      <c r="F54" s="115">
        <f>F51-K53-C51</f>
        <v>2467848.5599999996</v>
      </c>
      <c r="I54" s="116"/>
      <c r="J54" s="117"/>
      <c r="P54" s="32"/>
      <c r="Q54" s="8"/>
    </row>
    <row r="55" spans="1:17" ht="18.75" x14ac:dyDescent="0.3">
      <c r="D55" s="427" t="s">
        <v>14</v>
      </c>
      <c r="E55" s="427"/>
      <c r="F55" s="111">
        <v>-2793202.57</v>
      </c>
      <c r="I55" s="428" t="s">
        <v>15</v>
      </c>
      <c r="J55" s="429"/>
      <c r="K55" s="430">
        <f>F57+F58+F59</f>
        <v>149596.74999999977</v>
      </c>
      <c r="L55" s="431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-325354.01000000024</v>
      </c>
      <c r="H57" s="22"/>
      <c r="I57" s="124" t="s">
        <v>17</v>
      </c>
      <c r="J57" s="125"/>
      <c r="K57" s="432">
        <f>-C4</f>
        <v>-242354.21</v>
      </c>
      <c r="L57" s="433"/>
    </row>
    <row r="58" spans="1:17" ht="16.5" thickBot="1" x14ac:dyDescent="0.3">
      <c r="D58" s="126" t="s">
        <v>18</v>
      </c>
      <c r="E58" s="33" t="s">
        <v>19</v>
      </c>
      <c r="F58" s="127">
        <v>55526</v>
      </c>
    </row>
    <row r="59" spans="1:17" ht="20.25" thickTop="1" thickBot="1" x14ac:dyDescent="0.35">
      <c r="C59" s="128">
        <v>44864</v>
      </c>
      <c r="D59" s="409" t="s">
        <v>20</v>
      </c>
      <c r="E59" s="410"/>
      <c r="F59" s="129">
        <v>419424.76</v>
      </c>
      <c r="I59" s="435" t="s">
        <v>325</v>
      </c>
      <c r="J59" s="436"/>
      <c r="K59" s="437">
        <f>K55+K57</f>
        <v>-92757.460000000225</v>
      </c>
      <c r="L59" s="43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3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146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148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185" t="s">
        <v>50</v>
      </c>
      <c r="B3" s="186" t="s">
        <v>51</v>
      </c>
      <c r="C3" s="187">
        <v>4720</v>
      </c>
      <c r="D3" s="192">
        <v>44568</v>
      </c>
      <c r="E3" s="183">
        <v>4720</v>
      </c>
      <c r="F3" s="152">
        <f>C3-E3</f>
        <v>0</v>
      </c>
    </row>
    <row r="4" spans="1:7" ht="15.75" x14ac:dyDescent="0.25">
      <c r="A4" s="185" t="s">
        <v>50</v>
      </c>
      <c r="B4" s="186" t="s">
        <v>53</v>
      </c>
      <c r="C4" s="187">
        <v>15065.6</v>
      </c>
      <c r="D4" s="192">
        <v>44568</v>
      </c>
      <c r="E4" s="183">
        <v>15065.6</v>
      </c>
      <c r="F4" s="188">
        <f>C4-E4+F3</f>
        <v>0</v>
      </c>
    </row>
    <row r="5" spans="1:7" ht="15.75" x14ac:dyDescent="0.25">
      <c r="A5" s="185" t="s">
        <v>50</v>
      </c>
      <c r="B5" s="186" t="s">
        <v>54</v>
      </c>
      <c r="C5" s="187">
        <v>6166.9</v>
      </c>
      <c r="D5" s="192">
        <v>44568</v>
      </c>
      <c r="E5" s="183">
        <v>6166.9</v>
      </c>
      <c r="F5" s="155">
        <f>C5-E5+F4</f>
        <v>0</v>
      </c>
    </row>
    <row r="6" spans="1:7" ht="18.75" x14ac:dyDescent="0.3">
      <c r="A6" s="185" t="s">
        <v>55</v>
      </c>
      <c r="B6" s="186" t="s">
        <v>56</v>
      </c>
      <c r="C6" s="187">
        <v>94565.5</v>
      </c>
      <c r="D6" s="192">
        <v>44568</v>
      </c>
      <c r="E6" s="183">
        <v>94565.5</v>
      </c>
      <c r="F6" s="155">
        <f>F5+C6-E6</f>
        <v>0</v>
      </c>
      <c r="G6" s="156"/>
    </row>
    <row r="7" spans="1:7" ht="15.75" x14ac:dyDescent="0.25">
      <c r="A7" s="185" t="s">
        <v>55</v>
      </c>
      <c r="B7" s="186" t="s">
        <v>57</v>
      </c>
      <c r="C7" s="187">
        <v>5455.5</v>
      </c>
      <c r="D7" s="192">
        <v>44568</v>
      </c>
      <c r="E7" s="183">
        <v>5455.5</v>
      </c>
      <c r="F7" s="155">
        <f t="shared" ref="F7" si="0">F6+C7-E7</f>
        <v>0</v>
      </c>
    </row>
    <row r="8" spans="1:7" ht="15.75" x14ac:dyDescent="0.25">
      <c r="A8" s="185" t="s">
        <v>55</v>
      </c>
      <c r="B8" s="186" t="s">
        <v>58</v>
      </c>
      <c r="C8" s="187">
        <v>10495</v>
      </c>
      <c r="D8" s="192">
        <v>44568</v>
      </c>
      <c r="E8" s="183">
        <v>10495</v>
      </c>
      <c r="F8" s="155">
        <f>F7+C8-E8</f>
        <v>0</v>
      </c>
    </row>
    <row r="9" spans="1:7" ht="15.75" x14ac:dyDescent="0.25">
      <c r="A9" s="185" t="s">
        <v>59</v>
      </c>
      <c r="B9" s="186" t="s">
        <v>60</v>
      </c>
      <c r="C9" s="187">
        <v>12376.64</v>
      </c>
      <c r="D9" s="192">
        <v>44568</v>
      </c>
      <c r="E9" s="183">
        <v>12376.64</v>
      </c>
      <c r="F9" s="155">
        <f>F8+C9-E9</f>
        <v>0</v>
      </c>
    </row>
    <row r="10" spans="1:7" ht="15.75" x14ac:dyDescent="0.25">
      <c r="A10" s="185" t="s">
        <v>61</v>
      </c>
      <c r="B10" s="186" t="s">
        <v>62</v>
      </c>
      <c r="C10" s="187">
        <v>24073.5</v>
      </c>
      <c r="D10" s="192">
        <v>44568</v>
      </c>
      <c r="E10" s="183">
        <v>24073.5</v>
      </c>
      <c r="F10" s="155">
        <f>F9+C10-E10</f>
        <v>0</v>
      </c>
    </row>
    <row r="11" spans="1:7" ht="15.75" x14ac:dyDescent="0.25">
      <c r="A11" s="185" t="s">
        <v>61</v>
      </c>
      <c r="B11" s="186" t="s">
        <v>63</v>
      </c>
      <c r="C11" s="187">
        <v>15490</v>
      </c>
      <c r="D11" s="192">
        <v>44568</v>
      </c>
      <c r="E11" s="183">
        <v>15490</v>
      </c>
      <c r="F11" s="155">
        <f t="shared" ref="F11:F74" si="1">F10+C11-E11</f>
        <v>0</v>
      </c>
    </row>
    <row r="12" spans="1:7" ht="18.75" x14ac:dyDescent="0.3">
      <c r="A12" s="185" t="s">
        <v>52</v>
      </c>
      <c r="B12" s="186" t="s">
        <v>64</v>
      </c>
      <c r="C12" s="187">
        <v>19125.400000000001</v>
      </c>
      <c r="D12" s="192">
        <v>44575</v>
      </c>
      <c r="E12" s="189">
        <v>19125.400000000001</v>
      </c>
      <c r="F12" s="155">
        <f t="shared" si="1"/>
        <v>0</v>
      </c>
      <c r="G12" s="156"/>
    </row>
    <row r="13" spans="1:7" ht="15.75" x14ac:dyDescent="0.25">
      <c r="A13" s="185" t="s">
        <v>52</v>
      </c>
      <c r="B13" s="186" t="s">
        <v>66</v>
      </c>
      <c r="C13" s="187">
        <v>1916.6</v>
      </c>
      <c r="D13" s="192">
        <v>44575</v>
      </c>
      <c r="E13" s="189">
        <v>1916.6</v>
      </c>
      <c r="F13" s="155">
        <f t="shared" si="1"/>
        <v>0</v>
      </c>
    </row>
    <row r="14" spans="1:7" ht="15.75" x14ac:dyDescent="0.25">
      <c r="A14" s="185" t="s">
        <v>52</v>
      </c>
      <c r="B14" s="186" t="s">
        <v>67</v>
      </c>
      <c r="C14" s="187">
        <v>33608.75</v>
      </c>
      <c r="D14" s="192">
        <v>44575</v>
      </c>
      <c r="E14" s="189">
        <v>33608.75</v>
      </c>
      <c r="F14" s="155">
        <f t="shared" si="1"/>
        <v>0</v>
      </c>
    </row>
    <row r="15" spans="1:7" ht="15.75" x14ac:dyDescent="0.25">
      <c r="A15" s="185" t="s">
        <v>52</v>
      </c>
      <c r="B15" s="186" t="s">
        <v>68</v>
      </c>
      <c r="C15" s="187">
        <v>36639.949999999997</v>
      </c>
      <c r="D15" s="192">
        <v>44575</v>
      </c>
      <c r="E15" s="189">
        <v>36639.949999999997</v>
      </c>
      <c r="F15" s="155">
        <f t="shared" si="1"/>
        <v>0</v>
      </c>
    </row>
    <row r="16" spans="1:7" ht="15.75" x14ac:dyDescent="0.25">
      <c r="A16" s="185" t="s">
        <v>69</v>
      </c>
      <c r="B16" s="186" t="s">
        <v>70</v>
      </c>
      <c r="C16" s="187">
        <v>11449.6</v>
      </c>
      <c r="D16" s="192">
        <v>44575</v>
      </c>
      <c r="E16" s="189">
        <v>11449.6</v>
      </c>
      <c r="F16" s="155">
        <f t="shared" si="1"/>
        <v>0</v>
      </c>
    </row>
    <row r="17" spans="1:7" ht="15.75" x14ac:dyDescent="0.25">
      <c r="A17" s="185" t="s">
        <v>69</v>
      </c>
      <c r="B17" s="186" t="s">
        <v>71</v>
      </c>
      <c r="C17" s="187">
        <v>54857.7</v>
      </c>
      <c r="D17" s="192">
        <v>44575</v>
      </c>
      <c r="E17" s="189">
        <v>54857.7</v>
      </c>
      <c r="F17" s="155">
        <f t="shared" si="1"/>
        <v>0</v>
      </c>
    </row>
    <row r="18" spans="1:7" ht="15.75" x14ac:dyDescent="0.25">
      <c r="A18" s="185" t="s">
        <v>69</v>
      </c>
      <c r="B18" s="186" t="s">
        <v>72</v>
      </c>
      <c r="C18" s="187">
        <v>8076.8</v>
      </c>
      <c r="D18" s="192">
        <v>44575</v>
      </c>
      <c r="E18" s="189">
        <v>8076.8</v>
      </c>
      <c r="F18" s="155">
        <f t="shared" si="1"/>
        <v>0</v>
      </c>
    </row>
    <row r="19" spans="1:7" ht="15.75" x14ac:dyDescent="0.25">
      <c r="A19" s="185" t="s">
        <v>73</v>
      </c>
      <c r="B19" s="186" t="s">
        <v>74</v>
      </c>
      <c r="C19" s="187">
        <v>65864.160000000003</v>
      </c>
      <c r="D19" s="192">
        <v>44575</v>
      </c>
      <c r="E19" s="189">
        <v>65864.160000000003</v>
      </c>
      <c r="F19" s="155">
        <f t="shared" si="1"/>
        <v>0</v>
      </c>
    </row>
    <row r="20" spans="1:7" ht="15.75" x14ac:dyDescent="0.25">
      <c r="A20" s="185" t="s">
        <v>73</v>
      </c>
      <c r="B20" s="186" t="s">
        <v>75</v>
      </c>
      <c r="C20" s="187">
        <v>30221.4</v>
      </c>
      <c r="D20" s="192">
        <v>44575</v>
      </c>
      <c r="E20" s="189">
        <v>30221.4</v>
      </c>
      <c r="F20" s="155">
        <f t="shared" si="1"/>
        <v>0</v>
      </c>
    </row>
    <row r="21" spans="1:7" ht="15.75" x14ac:dyDescent="0.25">
      <c r="A21" s="185" t="s">
        <v>73</v>
      </c>
      <c r="B21" s="186" t="s">
        <v>76</v>
      </c>
      <c r="C21" s="187">
        <v>2528</v>
      </c>
      <c r="D21" s="192">
        <v>44575</v>
      </c>
      <c r="E21" s="189">
        <v>2528</v>
      </c>
      <c r="F21" s="155">
        <f t="shared" si="1"/>
        <v>0</v>
      </c>
    </row>
    <row r="22" spans="1:7" ht="15.75" x14ac:dyDescent="0.25">
      <c r="A22" s="185" t="s">
        <v>77</v>
      </c>
      <c r="B22" s="186" t="s">
        <v>78</v>
      </c>
      <c r="C22" s="187">
        <v>0</v>
      </c>
      <c r="D22" s="194" t="s">
        <v>122</v>
      </c>
      <c r="E22" s="189">
        <v>0</v>
      </c>
      <c r="F22" s="155">
        <f t="shared" si="1"/>
        <v>0</v>
      </c>
    </row>
    <row r="23" spans="1:7" ht="15.75" x14ac:dyDescent="0.25">
      <c r="A23" s="185" t="s">
        <v>77</v>
      </c>
      <c r="B23" s="186" t="s">
        <v>79</v>
      </c>
      <c r="C23" s="187">
        <v>52417.4</v>
      </c>
      <c r="D23" s="192">
        <v>44575</v>
      </c>
      <c r="E23" s="189">
        <v>52417.4</v>
      </c>
      <c r="F23" s="155">
        <f t="shared" si="1"/>
        <v>0</v>
      </c>
    </row>
    <row r="24" spans="1:7" ht="18.75" x14ac:dyDescent="0.3">
      <c r="A24" s="185" t="s">
        <v>77</v>
      </c>
      <c r="B24" s="186" t="s">
        <v>80</v>
      </c>
      <c r="C24" s="187">
        <v>13493.8</v>
      </c>
      <c r="D24" s="192">
        <v>44575</v>
      </c>
      <c r="E24" s="189">
        <v>13493.8</v>
      </c>
      <c r="F24" s="155">
        <f t="shared" si="1"/>
        <v>0</v>
      </c>
      <c r="G24" s="156"/>
    </row>
    <row r="25" spans="1:7" ht="15.75" x14ac:dyDescent="0.25">
      <c r="A25" s="185" t="s">
        <v>81</v>
      </c>
      <c r="B25" s="186" t="s">
        <v>82</v>
      </c>
      <c r="C25" s="187">
        <v>47877.760000000002</v>
      </c>
      <c r="D25" s="192">
        <v>44575</v>
      </c>
      <c r="E25" s="189">
        <v>47877.760000000002</v>
      </c>
      <c r="F25" s="155">
        <f t="shared" si="1"/>
        <v>0</v>
      </c>
    </row>
    <row r="26" spans="1:7" ht="15.75" x14ac:dyDescent="0.25">
      <c r="A26" s="185" t="s">
        <v>65</v>
      </c>
      <c r="B26" s="186" t="s">
        <v>83</v>
      </c>
      <c r="C26" s="187">
        <v>700</v>
      </c>
      <c r="D26" s="192">
        <v>44575</v>
      </c>
      <c r="E26" s="189">
        <v>700</v>
      </c>
      <c r="F26" s="155">
        <f t="shared" si="1"/>
        <v>0</v>
      </c>
    </row>
    <row r="27" spans="1:7" ht="15.75" x14ac:dyDescent="0.25">
      <c r="A27" s="185" t="s">
        <v>65</v>
      </c>
      <c r="B27" s="186" t="s">
        <v>84</v>
      </c>
      <c r="C27" s="187">
        <v>29321.599999999999</v>
      </c>
      <c r="D27" s="192">
        <v>44582</v>
      </c>
      <c r="E27" s="184">
        <v>29321.599999999999</v>
      </c>
      <c r="F27" s="155">
        <f t="shared" si="1"/>
        <v>0</v>
      </c>
    </row>
    <row r="28" spans="1:7" ht="15.75" x14ac:dyDescent="0.25">
      <c r="A28" s="185" t="s">
        <v>86</v>
      </c>
      <c r="B28" s="186" t="s">
        <v>87</v>
      </c>
      <c r="C28" s="187">
        <v>76289.399999999994</v>
      </c>
      <c r="D28" s="192">
        <v>44582</v>
      </c>
      <c r="E28" s="184">
        <v>76289.399999999994</v>
      </c>
      <c r="F28" s="155">
        <f t="shared" si="1"/>
        <v>0</v>
      </c>
    </row>
    <row r="29" spans="1:7" ht="15.75" x14ac:dyDescent="0.25">
      <c r="A29" s="185" t="s">
        <v>86</v>
      </c>
      <c r="B29" s="186" t="s">
        <v>88</v>
      </c>
      <c r="C29" s="187">
        <v>20931.8</v>
      </c>
      <c r="D29" s="192">
        <v>44582</v>
      </c>
      <c r="E29" s="184">
        <v>20931.8</v>
      </c>
      <c r="F29" s="155">
        <f t="shared" si="1"/>
        <v>0</v>
      </c>
    </row>
    <row r="30" spans="1:7" ht="15.75" x14ac:dyDescent="0.25">
      <c r="A30" s="185" t="s">
        <v>89</v>
      </c>
      <c r="B30" s="186" t="s">
        <v>90</v>
      </c>
      <c r="C30" s="187">
        <v>39513.49</v>
      </c>
      <c r="D30" s="192">
        <v>44582</v>
      </c>
      <c r="E30" s="184">
        <v>39513.49</v>
      </c>
      <c r="F30" s="155">
        <f t="shared" si="1"/>
        <v>0</v>
      </c>
    </row>
    <row r="31" spans="1:7" ht="15.75" x14ac:dyDescent="0.25">
      <c r="A31" s="185" t="s">
        <v>91</v>
      </c>
      <c r="B31" s="186" t="s">
        <v>92</v>
      </c>
      <c r="C31" s="187">
        <v>38406.839999999997</v>
      </c>
      <c r="D31" s="192">
        <v>44582</v>
      </c>
      <c r="E31" s="184">
        <v>38406.839999999997</v>
      </c>
      <c r="F31" s="155">
        <f t="shared" si="1"/>
        <v>0</v>
      </c>
    </row>
    <row r="32" spans="1:7" ht="18.75" x14ac:dyDescent="0.3">
      <c r="A32" s="185" t="s">
        <v>91</v>
      </c>
      <c r="B32" s="186" t="s">
        <v>93</v>
      </c>
      <c r="C32" s="187">
        <v>1462</v>
      </c>
      <c r="D32" s="195" t="s">
        <v>91</v>
      </c>
      <c r="E32" s="196">
        <v>1462</v>
      </c>
      <c r="F32" s="155">
        <f t="shared" si="1"/>
        <v>0</v>
      </c>
      <c r="G32" s="156"/>
    </row>
    <row r="33" spans="1:6" ht="15.75" x14ac:dyDescent="0.25">
      <c r="A33" s="185" t="s">
        <v>91</v>
      </c>
      <c r="B33" s="186" t="s">
        <v>94</v>
      </c>
      <c r="C33" s="187">
        <v>6217.6</v>
      </c>
      <c r="D33" s="192">
        <v>44582</v>
      </c>
      <c r="E33" s="184">
        <v>6217.6</v>
      </c>
      <c r="F33" s="155">
        <f t="shared" si="1"/>
        <v>0</v>
      </c>
    </row>
    <row r="34" spans="1:6" ht="15.75" x14ac:dyDescent="0.25">
      <c r="A34" s="185" t="s">
        <v>95</v>
      </c>
      <c r="B34" s="186" t="s">
        <v>96</v>
      </c>
      <c r="C34" s="187">
        <v>46665.9</v>
      </c>
      <c r="D34" s="192">
        <v>44582</v>
      </c>
      <c r="E34" s="184">
        <v>46665.9</v>
      </c>
      <c r="F34" s="155">
        <f t="shared" si="1"/>
        <v>0</v>
      </c>
    </row>
    <row r="35" spans="1:6" ht="15.75" x14ac:dyDescent="0.25">
      <c r="A35" s="185" t="s">
        <v>95</v>
      </c>
      <c r="B35" s="186" t="s">
        <v>97</v>
      </c>
      <c r="C35" s="187">
        <v>8897.7999999999993</v>
      </c>
      <c r="D35" s="192">
        <v>44582</v>
      </c>
      <c r="E35" s="184">
        <v>8897.7999999999993</v>
      </c>
      <c r="F35" s="155">
        <f t="shared" si="1"/>
        <v>0</v>
      </c>
    </row>
    <row r="36" spans="1:6" ht="15.75" x14ac:dyDescent="0.25">
      <c r="A36" s="185" t="s">
        <v>98</v>
      </c>
      <c r="B36" s="186" t="s">
        <v>99</v>
      </c>
      <c r="C36" s="187">
        <v>7616.4</v>
      </c>
      <c r="D36" s="192">
        <v>44582</v>
      </c>
      <c r="E36" s="184">
        <v>7616.4</v>
      </c>
      <c r="F36" s="155">
        <f t="shared" si="1"/>
        <v>0</v>
      </c>
    </row>
    <row r="37" spans="1:6" ht="15.75" x14ac:dyDescent="0.25">
      <c r="A37" s="185" t="s">
        <v>85</v>
      </c>
      <c r="B37" s="186" t="s">
        <v>100</v>
      </c>
      <c r="C37" s="187">
        <v>100870.28</v>
      </c>
      <c r="D37" s="192">
        <v>44582</v>
      </c>
      <c r="E37" s="184">
        <v>100870.28</v>
      </c>
      <c r="F37" s="155">
        <f t="shared" si="1"/>
        <v>0</v>
      </c>
    </row>
    <row r="38" spans="1:6" ht="15.75" x14ac:dyDescent="0.25">
      <c r="A38" s="185" t="s">
        <v>85</v>
      </c>
      <c r="B38" s="186" t="s">
        <v>101</v>
      </c>
      <c r="C38" s="187">
        <v>5418.8</v>
      </c>
      <c r="D38" s="192">
        <v>44589</v>
      </c>
      <c r="E38" s="197">
        <v>5418.8</v>
      </c>
      <c r="F38" s="155">
        <f t="shared" si="1"/>
        <v>0</v>
      </c>
    </row>
    <row r="39" spans="1:6" ht="15.75" x14ac:dyDescent="0.25">
      <c r="A39" s="185" t="s">
        <v>103</v>
      </c>
      <c r="B39" s="186" t="s">
        <v>104</v>
      </c>
      <c r="C39" s="187">
        <v>100279.24</v>
      </c>
      <c r="D39" s="192">
        <v>44589</v>
      </c>
      <c r="E39" s="197">
        <v>100279.24</v>
      </c>
      <c r="F39" s="155">
        <f t="shared" si="1"/>
        <v>0</v>
      </c>
    </row>
    <row r="40" spans="1:6" ht="15.75" x14ac:dyDescent="0.25">
      <c r="A40" s="185" t="s">
        <v>103</v>
      </c>
      <c r="B40" s="186" t="s">
        <v>105</v>
      </c>
      <c r="C40" s="187">
        <v>6011.8</v>
      </c>
      <c r="D40" s="192">
        <v>44589</v>
      </c>
      <c r="E40" s="197">
        <v>6011.8</v>
      </c>
      <c r="F40" s="155">
        <f t="shared" si="1"/>
        <v>0</v>
      </c>
    </row>
    <row r="41" spans="1:6" ht="15.75" x14ac:dyDescent="0.25">
      <c r="A41" s="185" t="s">
        <v>106</v>
      </c>
      <c r="B41" s="186" t="s">
        <v>107</v>
      </c>
      <c r="C41" s="187">
        <v>51496.14</v>
      </c>
      <c r="D41" s="192">
        <v>44589</v>
      </c>
      <c r="E41" s="197">
        <v>51496.14</v>
      </c>
      <c r="F41" s="155">
        <f t="shared" si="1"/>
        <v>0</v>
      </c>
    </row>
    <row r="42" spans="1:6" ht="15.75" x14ac:dyDescent="0.25">
      <c r="A42" s="185" t="s">
        <v>106</v>
      </c>
      <c r="B42" s="186" t="s">
        <v>108</v>
      </c>
      <c r="C42" s="187">
        <v>3248.8</v>
      </c>
      <c r="D42" s="192">
        <v>44589</v>
      </c>
      <c r="E42" s="197">
        <v>3248.8</v>
      </c>
      <c r="F42" s="155">
        <f t="shared" si="1"/>
        <v>0</v>
      </c>
    </row>
    <row r="43" spans="1:6" ht="15.75" x14ac:dyDescent="0.25">
      <c r="A43" s="185" t="s">
        <v>109</v>
      </c>
      <c r="B43" s="186" t="s">
        <v>110</v>
      </c>
      <c r="C43" s="187">
        <v>114946.5</v>
      </c>
      <c r="D43" s="192">
        <v>44589</v>
      </c>
      <c r="E43" s="197">
        <v>114946.5</v>
      </c>
      <c r="F43" s="155">
        <f t="shared" si="1"/>
        <v>0</v>
      </c>
    </row>
    <row r="44" spans="1:6" ht="15.75" x14ac:dyDescent="0.25">
      <c r="A44" s="185" t="s">
        <v>109</v>
      </c>
      <c r="B44" s="186" t="s">
        <v>111</v>
      </c>
      <c r="C44" s="187">
        <v>11723</v>
      </c>
      <c r="D44" s="192">
        <v>44589</v>
      </c>
      <c r="E44" s="197">
        <v>11723</v>
      </c>
      <c r="F44" s="155">
        <f t="shared" si="1"/>
        <v>0</v>
      </c>
    </row>
    <row r="45" spans="1:6" ht="15.75" x14ac:dyDescent="0.25">
      <c r="A45" s="185" t="s">
        <v>112</v>
      </c>
      <c r="B45" s="186" t="s">
        <v>113</v>
      </c>
      <c r="C45" s="187">
        <v>5262.6</v>
      </c>
      <c r="D45" s="192">
        <v>44589</v>
      </c>
      <c r="E45" s="197">
        <v>5262.6</v>
      </c>
      <c r="F45" s="155">
        <f t="shared" si="1"/>
        <v>0</v>
      </c>
    </row>
    <row r="46" spans="1:6" ht="15.75" x14ac:dyDescent="0.25">
      <c r="A46" s="185" t="s">
        <v>112</v>
      </c>
      <c r="B46" s="186" t="s">
        <v>114</v>
      </c>
      <c r="C46" s="187">
        <v>10932.6</v>
      </c>
      <c r="D46" s="192">
        <v>44589</v>
      </c>
      <c r="E46" s="197">
        <v>10932.6</v>
      </c>
      <c r="F46" s="155">
        <f t="shared" si="1"/>
        <v>0</v>
      </c>
    </row>
    <row r="47" spans="1:6" ht="15.75" x14ac:dyDescent="0.25">
      <c r="A47" s="185" t="s">
        <v>112</v>
      </c>
      <c r="B47" s="186" t="s">
        <v>115</v>
      </c>
      <c r="C47" s="187">
        <v>1306.5</v>
      </c>
      <c r="D47" s="192">
        <v>44589</v>
      </c>
      <c r="E47" s="197">
        <v>1306.5</v>
      </c>
      <c r="F47" s="155">
        <f t="shared" si="1"/>
        <v>0</v>
      </c>
    </row>
    <row r="48" spans="1:6" ht="15.75" x14ac:dyDescent="0.25">
      <c r="A48" s="185" t="s">
        <v>102</v>
      </c>
      <c r="B48" s="186" t="s">
        <v>116</v>
      </c>
      <c r="C48" s="187">
        <v>91103.16</v>
      </c>
      <c r="D48" s="192">
        <v>44589</v>
      </c>
      <c r="E48" s="197">
        <v>91103.16</v>
      </c>
      <c r="F48" s="155">
        <f t="shared" si="1"/>
        <v>0</v>
      </c>
    </row>
    <row r="49" spans="1:6" ht="15.75" x14ac:dyDescent="0.25">
      <c r="A49" s="185" t="s">
        <v>117</v>
      </c>
      <c r="B49" s="186" t="s">
        <v>118</v>
      </c>
      <c r="C49" s="187">
        <v>81224.759999999995</v>
      </c>
      <c r="D49" s="199">
        <v>44596</v>
      </c>
      <c r="E49" s="200">
        <v>81224.759999999995</v>
      </c>
      <c r="F49" s="155">
        <f t="shared" si="1"/>
        <v>0</v>
      </c>
    </row>
    <row r="50" spans="1:6" ht="15.75" x14ac:dyDescent="0.25">
      <c r="A50" s="185" t="s">
        <v>117</v>
      </c>
      <c r="B50" s="186" t="s">
        <v>119</v>
      </c>
      <c r="C50" s="187">
        <v>4089.6</v>
      </c>
      <c r="D50" s="199">
        <v>44596</v>
      </c>
      <c r="E50" s="200">
        <v>4089.6</v>
      </c>
      <c r="F50" s="155">
        <f t="shared" si="1"/>
        <v>0</v>
      </c>
    </row>
    <row r="51" spans="1:6" ht="15.75" x14ac:dyDescent="0.25">
      <c r="A51" s="185" t="s">
        <v>117</v>
      </c>
      <c r="B51" s="186" t="s">
        <v>120</v>
      </c>
      <c r="C51" s="187">
        <v>8445.7999999999993</v>
      </c>
      <c r="D51" s="199">
        <v>44596</v>
      </c>
      <c r="E51" s="200">
        <v>8445.7999999999993</v>
      </c>
      <c r="F51" s="155">
        <f t="shared" si="1"/>
        <v>0</v>
      </c>
    </row>
    <row r="52" spans="1:6" ht="15.75" x14ac:dyDescent="0.25">
      <c r="A52" s="185"/>
      <c r="B52" s="186"/>
      <c r="C52" s="187"/>
      <c r="D52" s="207"/>
      <c r="E52" s="208"/>
      <c r="F52" s="155">
        <f t="shared" si="1"/>
        <v>0</v>
      </c>
    </row>
    <row r="53" spans="1:6" ht="15.75" x14ac:dyDescent="0.25">
      <c r="A53" s="153"/>
      <c r="B53" s="154"/>
      <c r="C53" s="84"/>
      <c r="D53" s="153"/>
      <c r="E53" s="84"/>
      <c r="F53" s="155">
        <f t="shared" si="1"/>
        <v>0</v>
      </c>
    </row>
    <row r="54" spans="1:6" ht="15.75" x14ac:dyDescent="0.25">
      <c r="A54" s="153"/>
      <c r="B54" s="154"/>
      <c r="C54" s="84"/>
      <c r="D54" s="153"/>
      <c r="E54" s="84"/>
      <c r="F54" s="155">
        <f t="shared" si="1"/>
        <v>0</v>
      </c>
    </row>
    <row r="55" spans="1:6" ht="15.75" x14ac:dyDescent="0.25">
      <c r="A55" s="153"/>
      <c r="B55" s="154"/>
      <c r="C55" s="84"/>
      <c r="D55" s="153"/>
      <c r="E55" s="84"/>
      <c r="F55" s="155">
        <f t="shared" si="1"/>
        <v>0</v>
      </c>
    </row>
    <row r="56" spans="1:6" ht="15.75" x14ac:dyDescent="0.25">
      <c r="A56" s="157"/>
      <c r="B56" s="154"/>
      <c r="C56" s="84"/>
      <c r="D56" s="153"/>
      <c r="E56" s="84"/>
      <c r="F56" s="155">
        <f t="shared" si="1"/>
        <v>0</v>
      </c>
    </row>
    <row r="57" spans="1:6" ht="15.75" x14ac:dyDescent="0.25">
      <c r="A57" s="157"/>
      <c r="B57" s="154"/>
      <c r="C57" s="84"/>
      <c r="D57" s="153"/>
      <c r="E57" s="84"/>
      <c r="F57" s="155">
        <f t="shared" si="1"/>
        <v>0</v>
      </c>
    </row>
    <row r="58" spans="1:6" ht="15.75" x14ac:dyDescent="0.25">
      <c r="A58" s="157"/>
      <c r="B58" s="154"/>
      <c r="C58" s="84"/>
      <c r="D58" s="153"/>
      <c r="E58" s="84"/>
      <c r="F58" s="155">
        <f t="shared" si="1"/>
        <v>0</v>
      </c>
    </row>
    <row r="59" spans="1:6" ht="15.75" x14ac:dyDescent="0.25">
      <c r="A59" s="153"/>
      <c r="B59" s="154"/>
      <c r="C59" s="84"/>
      <c r="D59" s="153"/>
      <c r="E59" s="84"/>
      <c r="F59" s="155">
        <f t="shared" si="1"/>
        <v>0</v>
      </c>
    </row>
    <row r="60" spans="1:6" ht="15.75" x14ac:dyDescent="0.25">
      <c r="A60" s="153"/>
      <c r="B60" s="154"/>
      <c r="C60" s="84"/>
      <c r="D60" s="153"/>
      <c r="E60" s="84"/>
      <c r="F60" s="155">
        <f t="shared" si="1"/>
        <v>0</v>
      </c>
    </row>
    <row r="61" spans="1:6" ht="15.75" x14ac:dyDescent="0.25">
      <c r="A61" s="153"/>
      <c r="B61" s="154"/>
      <c r="C61" s="84"/>
      <c r="D61" s="153"/>
      <c r="E61" s="84"/>
      <c r="F61" s="155">
        <f t="shared" si="1"/>
        <v>0</v>
      </c>
    </row>
    <row r="62" spans="1:6" ht="15.75" x14ac:dyDescent="0.25">
      <c r="A62" s="157"/>
      <c r="B62" s="154"/>
      <c r="C62" s="84"/>
      <c r="D62" s="153"/>
      <c r="E62" s="84"/>
      <c r="F62" s="155">
        <f t="shared" si="1"/>
        <v>0</v>
      </c>
    </row>
    <row r="63" spans="1:6" ht="15.75" x14ac:dyDescent="0.25">
      <c r="A63" s="157"/>
      <c r="B63" s="154"/>
      <c r="C63" s="84"/>
      <c r="D63" s="153"/>
      <c r="E63" s="84"/>
      <c r="F63" s="155">
        <f t="shared" si="1"/>
        <v>0</v>
      </c>
    </row>
    <row r="64" spans="1:6" ht="16.5" thickBot="1" x14ac:dyDescent="0.3">
      <c r="A64" s="157"/>
      <c r="B64" s="154"/>
      <c r="C64" s="84"/>
      <c r="D64" s="153"/>
      <c r="E64" s="84"/>
      <c r="F64" s="155">
        <f t="shared" si="1"/>
        <v>0</v>
      </c>
    </row>
    <row r="65" spans="1:6" ht="15" hidden="1" customHeight="1" x14ac:dyDescent="0.25">
      <c r="A65" s="158"/>
      <c r="B65" s="159"/>
      <c r="C65" s="160"/>
      <c r="D65" s="153"/>
      <c r="E65" s="84"/>
      <c r="F65" s="155">
        <f t="shared" si="1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1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ref="F75:F99" si="2">F74+C75-E75</f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55">
        <f t="shared" si="2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55">
        <f t="shared" si="2"/>
        <v>0</v>
      </c>
    </row>
    <row r="78" spans="1:6" ht="16.5" hidden="1" thickBot="1" x14ac:dyDescent="0.3">
      <c r="A78" s="158"/>
      <c r="B78" s="159"/>
      <c r="C78" s="160"/>
      <c r="D78" s="153"/>
      <c r="E78" s="84"/>
      <c r="F78" s="155">
        <f t="shared" si="2"/>
        <v>0</v>
      </c>
    </row>
    <row r="79" spans="1:6" ht="16.5" hidden="1" thickBot="1" x14ac:dyDescent="0.3">
      <c r="A79" s="158"/>
      <c r="B79" s="159"/>
      <c r="C79" s="160"/>
      <c r="D79" s="153"/>
      <c r="E79" s="84"/>
      <c r="F79" s="155">
        <f t="shared" si="2"/>
        <v>0</v>
      </c>
    </row>
    <row r="80" spans="1:6" ht="16.5" hidden="1" thickBot="1" x14ac:dyDescent="0.3">
      <c r="A80" s="158"/>
      <c r="B80" s="159"/>
      <c r="C80" s="160"/>
      <c r="D80" s="153"/>
      <c r="E80" s="84"/>
      <c r="F80" s="155">
        <f t="shared" si="2"/>
        <v>0</v>
      </c>
    </row>
    <row r="81" spans="1:6" ht="16.5" hidden="1" thickBot="1" x14ac:dyDescent="0.3">
      <c r="A81" s="158"/>
      <c r="B81" s="159"/>
      <c r="C81" s="160"/>
      <c r="D81" s="153"/>
      <c r="E81" s="84"/>
      <c r="F81" s="155">
        <f t="shared" si="2"/>
        <v>0</v>
      </c>
    </row>
    <row r="82" spans="1:6" ht="16.5" hidden="1" thickBot="1" x14ac:dyDescent="0.3">
      <c r="A82" s="158"/>
      <c r="B82" s="159"/>
      <c r="C82" s="160"/>
      <c r="D82" s="153"/>
      <c r="E82" s="84"/>
      <c r="F82" s="155">
        <f t="shared" si="2"/>
        <v>0</v>
      </c>
    </row>
    <row r="83" spans="1:6" ht="16.5" hidden="1" thickBot="1" x14ac:dyDescent="0.3">
      <c r="A83" s="161"/>
      <c r="B83" s="162"/>
      <c r="C83" s="163"/>
      <c r="D83" s="164"/>
      <c r="E83" s="32"/>
      <c r="F83" s="155">
        <f t="shared" si="2"/>
        <v>0</v>
      </c>
    </row>
    <row r="84" spans="1:6" ht="16.5" hidden="1" thickBot="1" x14ac:dyDescent="0.3">
      <c r="A84" s="161"/>
      <c r="B84" s="162"/>
      <c r="C84" s="163"/>
      <c r="D84" s="164"/>
      <c r="E84" s="32"/>
      <c r="F84" s="155">
        <f t="shared" si="2"/>
        <v>0</v>
      </c>
    </row>
    <row r="85" spans="1:6" ht="16.5" hidden="1" thickBot="1" x14ac:dyDescent="0.3">
      <c r="A85" s="161"/>
      <c r="B85" s="162"/>
      <c r="C85" s="163"/>
      <c r="D85" s="164"/>
      <c r="E85" s="32"/>
      <c r="F85" s="155">
        <f t="shared" si="2"/>
        <v>0</v>
      </c>
    </row>
    <row r="86" spans="1:6" ht="16.5" hidden="1" thickBot="1" x14ac:dyDescent="0.3">
      <c r="A86" s="161"/>
      <c r="B86" s="162"/>
      <c r="C86" s="163"/>
      <c r="D86" s="164"/>
      <c r="E86" s="32"/>
      <c r="F86" s="155">
        <f t="shared" si="2"/>
        <v>0</v>
      </c>
    </row>
    <row r="87" spans="1:6" ht="16.5" hidden="1" thickBot="1" x14ac:dyDescent="0.3">
      <c r="A87" s="161"/>
      <c r="B87" s="162"/>
      <c r="C87" s="163"/>
      <c r="D87" s="164"/>
      <c r="E87" s="32"/>
      <c r="F87" s="155">
        <f t="shared" si="2"/>
        <v>0</v>
      </c>
    </row>
    <row r="88" spans="1:6" ht="16.5" hidden="1" thickBot="1" x14ac:dyDescent="0.3">
      <c r="A88" s="161"/>
      <c r="B88" s="162"/>
      <c r="C88" s="163"/>
      <c r="D88" s="164"/>
      <c r="E88" s="32"/>
      <c r="F88" s="155">
        <f t="shared" si="2"/>
        <v>0</v>
      </c>
    </row>
    <row r="89" spans="1:6" ht="16.5" hidden="1" thickBot="1" x14ac:dyDescent="0.3">
      <c r="A89" s="158"/>
      <c r="B89" s="159"/>
      <c r="C89" s="160"/>
      <c r="D89" s="153"/>
      <c r="E89" s="84"/>
      <c r="F89" s="155">
        <f t="shared" si="2"/>
        <v>0</v>
      </c>
    </row>
    <row r="90" spans="1:6" ht="16.5" hidden="1" thickBot="1" x14ac:dyDescent="0.3">
      <c r="A90" s="158"/>
      <c r="B90" s="159"/>
      <c r="C90" s="160"/>
      <c r="D90" s="153"/>
      <c r="E90" s="84"/>
      <c r="F90" s="155">
        <f t="shared" si="2"/>
        <v>0</v>
      </c>
    </row>
    <row r="91" spans="1:6" ht="16.5" hidden="1" thickBot="1" x14ac:dyDescent="0.3">
      <c r="A91" s="158"/>
      <c r="B91" s="159"/>
      <c r="C91" s="160"/>
      <c r="D91" s="153"/>
      <c r="E91" s="84"/>
      <c r="F91" s="155">
        <f t="shared" si="2"/>
        <v>0</v>
      </c>
    </row>
    <row r="92" spans="1:6" ht="16.5" hidden="1" thickBot="1" x14ac:dyDescent="0.3">
      <c r="A92" s="158"/>
      <c r="B92" s="159"/>
      <c r="C92" s="160"/>
      <c r="D92" s="153"/>
      <c r="E92" s="84"/>
      <c r="F92" s="155">
        <f t="shared" si="2"/>
        <v>0</v>
      </c>
    </row>
    <row r="93" spans="1:6" ht="16.5" hidden="1" thickBot="1" x14ac:dyDescent="0.3">
      <c r="A93" s="158"/>
      <c r="B93" s="159"/>
      <c r="C93" s="160"/>
      <c r="D93" s="153"/>
      <c r="E93" s="84"/>
      <c r="F93" s="155">
        <f t="shared" si="2"/>
        <v>0</v>
      </c>
    </row>
    <row r="94" spans="1:6" ht="16.5" hidden="1" thickBot="1" x14ac:dyDescent="0.3">
      <c r="A94" s="158"/>
      <c r="B94" s="159"/>
      <c r="C94" s="160"/>
      <c r="D94" s="153"/>
      <c r="E94" s="84"/>
      <c r="F94" s="155">
        <f t="shared" si="2"/>
        <v>0</v>
      </c>
    </row>
    <row r="95" spans="1:6" ht="16.5" hidden="1" thickBot="1" x14ac:dyDescent="0.3">
      <c r="A95" s="158"/>
      <c r="B95" s="159"/>
      <c r="C95" s="160"/>
      <c r="D95" s="153"/>
      <c r="E95" s="84"/>
      <c r="F95" s="155">
        <f t="shared" si="2"/>
        <v>0</v>
      </c>
    </row>
    <row r="96" spans="1:6" ht="16.5" hidden="1" thickBot="1" x14ac:dyDescent="0.3">
      <c r="A96" s="158"/>
      <c r="B96" s="159"/>
      <c r="C96" s="160"/>
      <c r="D96" s="153"/>
      <c r="E96" s="84"/>
      <c r="F96" s="155">
        <f t="shared" si="2"/>
        <v>0</v>
      </c>
    </row>
    <row r="97" spans="1:6" ht="16.5" hidden="1" thickBot="1" x14ac:dyDescent="0.3">
      <c r="A97" s="158"/>
      <c r="B97" s="159"/>
      <c r="C97" s="160"/>
      <c r="D97" s="153"/>
      <c r="E97" s="84"/>
      <c r="F97" s="155">
        <f t="shared" si="2"/>
        <v>0</v>
      </c>
    </row>
    <row r="98" spans="1:6" ht="16.5" hidden="1" thickBot="1" x14ac:dyDescent="0.3">
      <c r="A98" s="158"/>
      <c r="B98" s="159"/>
      <c r="C98" s="160"/>
      <c r="D98" s="153"/>
      <c r="E98" s="84"/>
      <c r="F98" s="155">
        <f t="shared" si="2"/>
        <v>0</v>
      </c>
    </row>
    <row r="99" spans="1:6" ht="16.5" hidden="1" thickBot="1" x14ac:dyDescent="0.3">
      <c r="A99" s="165"/>
      <c r="B99" s="166"/>
      <c r="C99" s="32">
        <v>0</v>
      </c>
      <c r="D99" s="164"/>
      <c r="E99" s="32"/>
      <c r="F99" s="155">
        <f t="shared" si="2"/>
        <v>0</v>
      </c>
    </row>
    <row r="100" spans="1:6" ht="19.5" thickBot="1" x14ac:dyDescent="0.35">
      <c r="A100" s="167"/>
      <c r="B100" s="168"/>
      <c r="C100" s="169">
        <f>SUM(C5:C99)</f>
        <v>1419082.7700000005</v>
      </c>
      <c r="D100" s="181"/>
      <c r="E100" s="170">
        <f>SUM(E5:E99)</f>
        <v>1419082.7700000005</v>
      </c>
      <c r="F100" s="171">
        <f>F99</f>
        <v>0</v>
      </c>
    </row>
    <row r="101" spans="1:6" x14ac:dyDescent="0.25">
      <c r="D101" s="164"/>
    </row>
    <row r="102" spans="1:6" x14ac:dyDescent="0.25">
      <c r="D102" s="164"/>
    </row>
    <row r="103" spans="1:6" x14ac:dyDescent="0.25">
      <c r="B103" s="182"/>
    </row>
    <row r="104" spans="1:6" x14ac:dyDescent="0.25">
      <c r="B104" s="182"/>
    </row>
    <row r="105" spans="1:6" x14ac:dyDescent="0.25">
      <c r="B105" s="182"/>
    </row>
    <row r="106" spans="1:6" x14ac:dyDescent="0.25">
      <c r="B106" s="182"/>
      <c r="F106" s="33"/>
    </row>
    <row r="107" spans="1:6" x14ac:dyDescent="0.25">
      <c r="B107" s="182"/>
      <c r="F107" s="33"/>
    </row>
    <row r="108" spans="1:6" x14ac:dyDescent="0.25">
      <c r="B108" s="182"/>
      <c r="F108" s="33"/>
    </row>
    <row r="109" spans="1:6" x14ac:dyDescent="0.25">
      <c r="B109" s="182"/>
      <c r="F109" s="33"/>
    </row>
    <row r="110" spans="1:6" x14ac:dyDescent="0.25">
      <c r="B110" s="182"/>
      <c r="F110" s="33"/>
    </row>
    <row r="111" spans="1:6" x14ac:dyDescent="0.25">
      <c r="B111" s="182"/>
      <c r="F111" s="33"/>
    </row>
    <row r="112" spans="1:6" x14ac:dyDescent="0.25">
      <c r="B112" s="182"/>
      <c r="F112" s="33"/>
    </row>
    <row r="113" spans="2:6" x14ac:dyDescent="0.25">
      <c r="B113" s="182"/>
      <c r="F113" s="33"/>
    </row>
    <row r="114" spans="2:6" x14ac:dyDescent="0.25">
      <c r="B114" s="182"/>
      <c r="F114" s="33"/>
    </row>
    <row r="115" spans="2:6" x14ac:dyDescent="0.25">
      <c r="B115" s="182"/>
      <c r="E115" s="33"/>
      <c r="F115" s="33"/>
    </row>
    <row r="116" spans="2:6" x14ac:dyDescent="0.25">
      <c r="B116" s="182"/>
      <c r="E116" s="33"/>
      <c r="F116" s="33"/>
    </row>
    <row r="117" spans="2:6" x14ac:dyDescent="0.25">
      <c r="B117" s="182"/>
      <c r="E117" s="33"/>
      <c r="F117" s="33"/>
    </row>
    <row r="118" spans="2:6" x14ac:dyDescent="0.25">
      <c r="B118" s="182"/>
      <c r="E118" s="33"/>
      <c r="F118" s="33"/>
    </row>
    <row r="119" spans="2:6" x14ac:dyDescent="0.25">
      <c r="B119" s="182"/>
      <c r="E119" s="33"/>
      <c r="F119" s="33"/>
    </row>
    <row r="120" spans="2:6" x14ac:dyDescent="0.25">
      <c r="B120" s="182"/>
      <c r="E120" s="33"/>
      <c r="F120" s="33"/>
    </row>
    <row r="121" spans="2:6" x14ac:dyDescent="0.25">
      <c r="B121" s="182"/>
      <c r="E121" s="33"/>
    </row>
    <row r="122" spans="2:6" x14ac:dyDescent="0.25">
      <c r="B122" s="182"/>
      <c r="E122" s="33"/>
    </row>
    <row r="123" spans="2:6" x14ac:dyDescent="0.25">
      <c r="B123" s="182"/>
      <c r="E123" s="33"/>
    </row>
    <row r="124" spans="2:6" x14ac:dyDescent="0.25">
      <c r="B124" s="182"/>
      <c r="E124" s="33"/>
    </row>
    <row r="125" spans="2:6" x14ac:dyDescent="0.25">
      <c r="B125" s="182"/>
      <c r="E125" s="33"/>
    </row>
    <row r="126" spans="2:6" x14ac:dyDescent="0.25">
      <c r="B126" s="182"/>
      <c r="E126" s="33"/>
    </row>
    <row r="127" spans="2:6" x14ac:dyDescent="0.25">
      <c r="B127" s="182"/>
      <c r="E127" s="33"/>
    </row>
    <row r="128" spans="2:6" x14ac:dyDescent="0.25">
      <c r="B128" s="182"/>
      <c r="E128" s="33"/>
    </row>
    <row r="129" spans="2:5" x14ac:dyDescent="0.25">
      <c r="B129" s="182"/>
      <c r="E129" s="33"/>
    </row>
    <row r="130" spans="2:5" x14ac:dyDescent="0.25">
      <c r="B130" s="182"/>
    </row>
    <row r="131" spans="2:5" x14ac:dyDescent="0.25">
      <c r="B131" s="182"/>
    </row>
    <row r="132" spans="2:5" x14ac:dyDescent="0.25">
      <c r="B132" s="182"/>
    </row>
    <row r="133" spans="2:5" x14ac:dyDescent="0.25">
      <c r="B133" s="182"/>
    </row>
    <row r="134" spans="2:5" x14ac:dyDescent="0.25">
      <c r="B134" s="182"/>
    </row>
    <row r="135" spans="2:5" x14ac:dyDescent="0.25">
      <c r="B135" s="182"/>
    </row>
    <row r="136" spans="2:5" ht="18.75" x14ac:dyDescent="0.3">
      <c r="C136" s="172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J115"/>
  <sheetViews>
    <sheetView workbookViewId="0">
      <pane ySplit="2" topLeftCell="A27" activePane="bottomLeft" state="frozen"/>
      <selection pane="bottomLeft" activeCell="D30" sqref="D30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5.85546875" style="1" bestFit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31.5" x14ac:dyDescent="0.25">
      <c r="A3" s="254">
        <v>44837</v>
      </c>
      <c r="B3" s="372" t="s">
        <v>520</v>
      </c>
      <c r="C3" s="256">
        <v>151687.98000000001</v>
      </c>
      <c r="D3" s="391">
        <v>44841</v>
      </c>
      <c r="E3" s="256">
        <v>151687.98000000001</v>
      </c>
      <c r="F3" s="152">
        <f>C3-E3</f>
        <v>0</v>
      </c>
      <c r="J3" s="127"/>
    </row>
    <row r="4" spans="1:10" ht="22.5" customHeight="1" x14ac:dyDescent="0.25">
      <c r="A4" s="257">
        <v>44838</v>
      </c>
      <c r="B4" s="258" t="s">
        <v>521</v>
      </c>
      <c r="C4" s="127">
        <v>49293.599999999999</v>
      </c>
      <c r="D4" s="391">
        <v>44841</v>
      </c>
      <c r="E4" s="127">
        <v>49293.599999999999</v>
      </c>
      <c r="F4" s="188">
        <f>C4-E4+F3</f>
        <v>0</v>
      </c>
      <c r="J4" s="256"/>
    </row>
    <row r="5" spans="1:10" ht="21" customHeight="1" x14ac:dyDescent="0.25">
      <c r="A5" s="257">
        <v>44839</v>
      </c>
      <c r="B5" s="258" t="s">
        <v>522</v>
      </c>
      <c r="C5" s="127">
        <v>13143.34</v>
      </c>
      <c r="D5" s="391">
        <v>44841</v>
      </c>
      <c r="E5" s="127">
        <v>13143.34</v>
      </c>
      <c r="F5" s="188">
        <f t="shared" ref="F5:F68" si="0">C5-E5+F4</f>
        <v>0</v>
      </c>
      <c r="J5" s="127"/>
    </row>
    <row r="6" spans="1:10" ht="21" customHeight="1" x14ac:dyDescent="0.3">
      <c r="A6" s="257">
        <v>44840</v>
      </c>
      <c r="B6" s="258" t="s">
        <v>523</v>
      </c>
      <c r="C6" s="127">
        <v>166585.60000000001</v>
      </c>
      <c r="D6" s="391">
        <v>44841</v>
      </c>
      <c r="E6" s="127">
        <v>166585.60000000001</v>
      </c>
      <c r="F6" s="188">
        <f t="shared" si="0"/>
        <v>0</v>
      </c>
      <c r="G6" s="156"/>
      <c r="J6" s="127"/>
    </row>
    <row r="7" spans="1:10" ht="21" customHeight="1" x14ac:dyDescent="0.25">
      <c r="A7" s="257">
        <v>44841</v>
      </c>
      <c r="B7" s="258" t="s">
        <v>524</v>
      </c>
      <c r="C7" s="127">
        <v>76166.539999999994</v>
      </c>
      <c r="D7" s="391">
        <v>44841</v>
      </c>
      <c r="E7" s="127">
        <v>76166.539999999994</v>
      </c>
      <c r="F7" s="188">
        <f t="shared" si="0"/>
        <v>0</v>
      </c>
      <c r="J7" s="127"/>
    </row>
    <row r="8" spans="1:10" ht="21" customHeight="1" x14ac:dyDescent="0.25">
      <c r="A8" s="257">
        <v>44842</v>
      </c>
      <c r="B8" s="258" t="s">
        <v>525</v>
      </c>
      <c r="C8" s="127">
        <v>132125.56</v>
      </c>
      <c r="D8" s="392">
        <v>44848</v>
      </c>
      <c r="E8" s="270">
        <v>132125.56</v>
      </c>
      <c r="F8" s="188">
        <f t="shared" si="0"/>
        <v>0</v>
      </c>
      <c r="J8" s="127"/>
    </row>
    <row r="9" spans="1:10" ht="21" customHeight="1" x14ac:dyDescent="0.25">
      <c r="A9" s="257">
        <v>44844</v>
      </c>
      <c r="B9" s="258" t="s">
        <v>526</v>
      </c>
      <c r="C9" s="127">
        <v>74545.56</v>
      </c>
      <c r="D9" s="392">
        <v>44848</v>
      </c>
      <c r="E9" s="270">
        <v>74545.56</v>
      </c>
      <c r="F9" s="188">
        <f t="shared" si="0"/>
        <v>0</v>
      </c>
      <c r="J9" s="127"/>
    </row>
    <row r="10" spans="1:10" ht="21" customHeight="1" x14ac:dyDescent="0.25">
      <c r="A10" s="257">
        <v>44844</v>
      </c>
      <c r="B10" s="258" t="s">
        <v>527</v>
      </c>
      <c r="C10" s="127">
        <v>49280</v>
      </c>
      <c r="D10" s="392">
        <v>44848</v>
      </c>
      <c r="E10" s="270">
        <v>49280</v>
      </c>
      <c r="F10" s="188">
        <f t="shared" si="0"/>
        <v>0</v>
      </c>
      <c r="J10" s="33">
        <v>0</v>
      </c>
    </row>
    <row r="11" spans="1:10" ht="21" customHeight="1" x14ac:dyDescent="0.25">
      <c r="A11" s="257">
        <v>44844</v>
      </c>
      <c r="B11" s="258" t="s">
        <v>528</v>
      </c>
      <c r="C11" s="127">
        <v>2773.4</v>
      </c>
      <c r="D11" s="392">
        <v>44848</v>
      </c>
      <c r="E11" s="270">
        <v>2773.4</v>
      </c>
      <c r="F11" s="188">
        <f t="shared" si="0"/>
        <v>0</v>
      </c>
      <c r="J11" s="267">
        <f>SUM(J3:J10)</f>
        <v>0</v>
      </c>
    </row>
    <row r="12" spans="1:10" ht="21" customHeight="1" x14ac:dyDescent="0.3">
      <c r="A12" s="257">
        <v>44845</v>
      </c>
      <c r="B12" s="258" t="s">
        <v>529</v>
      </c>
      <c r="C12" s="127">
        <v>134724.47</v>
      </c>
      <c r="D12" s="392">
        <v>44848</v>
      </c>
      <c r="E12" s="270">
        <v>134724.47</v>
      </c>
      <c r="F12" s="188">
        <f t="shared" si="0"/>
        <v>0</v>
      </c>
      <c r="G12" s="156"/>
    </row>
    <row r="13" spans="1:10" ht="21" customHeight="1" x14ac:dyDescent="0.25">
      <c r="A13" s="257">
        <v>44846</v>
      </c>
      <c r="B13" s="258" t="s">
        <v>530</v>
      </c>
      <c r="C13" s="127">
        <v>17827.759999999998</v>
      </c>
      <c r="D13" s="392">
        <v>44848</v>
      </c>
      <c r="E13" s="270">
        <v>17827.759999999998</v>
      </c>
      <c r="F13" s="188">
        <f t="shared" si="0"/>
        <v>0</v>
      </c>
    </row>
    <row r="14" spans="1:10" ht="21" customHeight="1" x14ac:dyDescent="0.25">
      <c r="A14" s="257">
        <v>44847</v>
      </c>
      <c r="B14" s="258" t="s">
        <v>531</v>
      </c>
      <c r="C14" s="127">
        <v>187517.07</v>
      </c>
      <c r="D14" s="392">
        <v>44848</v>
      </c>
      <c r="E14" s="270">
        <v>187517.07</v>
      </c>
      <c r="F14" s="188">
        <f t="shared" si="0"/>
        <v>0</v>
      </c>
    </row>
    <row r="15" spans="1:10" ht="21" customHeight="1" x14ac:dyDescent="0.25">
      <c r="A15" s="257">
        <v>44848</v>
      </c>
      <c r="B15" s="258" t="s">
        <v>532</v>
      </c>
      <c r="C15" s="127">
        <v>136073.34</v>
      </c>
      <c r="D15" s="392">
        <v>44848</v>
      </c>
      <c r="E15" s="270">
        <v>136073.34</v>
      </c>
      <c r="F15" s="188">
        <f t="shared" si="0"/>
        <v>0</v>
      </c>
    </row>
    <row r="16" spans="1:10" ht="21" customHeight="1" x14ac:dyDescent="0.25">
      <c r="A16" s="257">
        <v>44849</v>
      </c>
      <c r="B16" s="258" t="s">
        <v>533</v>
      </c>
      <c r="C16" s="127">
        <v>190601.06</v>
      </c>
      <c r="D16" s="300">
        <v>44855</v>
      </c>
      <c r="E16" s="301">
        <v>190601.06</v>
      </c>
      <c r="F16" s="188">
        <f t="shared" si="0"/>
        <v>0</v>
      </c>
    </row>
    <row r="17" spans="1:7" ht="21" customHeight="1" x14ac:dyDescent="0.25">
      <c r="A17" s="257">
        <v>44849</v>
      </c>
      <c r="B17" s="258" t="s">
        <v>534</v>
      </c>
      <c r="C17" s="127">
        <v>9590.4</v>
      </c>
      <c r="D17" s="300">
        <v>44855</v>
      </c>
      <c r="E17" s="301">
        <v>9590.4</v>
      </c>
      <c r="F17" s="188">
        <f t="shared" si="0"/>
        <v>0</v>
      </c>
    </row>
    <row r="18" spans="1:7" ht="21" customHeight="1" x14ac:dyDescent="0.25">
      <c r="A18" s="257">
        <v>44851</v>
      </c>
      <c r="B18" s="258" t="s">
        <v>535</v>
      </c>
      <c r="C18" s="127">
        <v>63549.9</v>
      </c>
      <c r="D18" s="300">
        <v>44855</v>
      </c>
      <c r="E18" s="301">
        <v>63549.9</v>
      </c>
      <c r="F18" s="188">
        <f t="shared" si="0"/>
        <v>0</v>
      </c>
    </row>
    <row r="19" spans="1:7" ht="21" customHeight="1" x14ac:dyDescent="0.25">
      <c r="A19" s="257">
        <v>44851</v>
      </c>
      <c r="B19" s="258" t="s">
        <v>536</v>
      </c>
      <c r="C19" s="127">
        <v>14731.2</v>
      </c>
      <c r="D19" s="300">
        <v>44855</v>
      </c>
      <c r="E19" s="301">
        <v>14731.2</v>
      </c>
      <c r="F19" s="188">
        <f t="shared" si="0"/>
        <v>0</v>
      </c>
    </row>
    <row r="20" spans="1:7" ht="21" customHeight="1" x14ac:dyDescent="0.25">
      <c r="A20" s="257">
        <v>44853</v>
      </c>
      <c r="B20" s="258" t="s">
        <v>537</v>
      </c>
      <c r="C20" s="127">
        <v>207613.18</v>
      </c>
      <c r="D20" s="300">
        <v>44855</v>
      </c>
      <c r="E20" s="301">
        <v>207613.18</v>
      </c>
      <c r="F20" s="188">
        <f t="shared" si="0"/>
        <v>0</v>
      </c>
    </row>
    <row r="21" spans="1:7" ht="21" customHeight="1" x14ac:dyDescent="0.25">
      <c r="A21" s="257">
        <v>44854</v>
      </c>
      <c r="B21" s="258" t="s">
        <v>538</v>
      </c>
      <c r="C21" s="127">
        <v>129760.71</v>
      </c>
      <c r="D21" s="300">
        <v>44855</v>
      </c>
      <c r="E21" s="301">
        <v>129760.71</v>
      </c>
      <c r="F21" s="188">
        <f t="shared" si="0"/>
        <v>0</v>
      </c>
    </row>
    <row r="22" spans="1:7" ht="21" customHeight="1" x14ac:dyDescent="0.25">
      <c r="A22" s="257">
        <v>44854</v>
      </c>
      <c r="B22" s="258" t="s">
        <v>539</v>
      </c>
      <c r="C22" s="127">
        <v>7815.5</v>
      </c>
      <c r="D22" s="300">
        <v>44855</v>
      </c>
      <c r="E22" s="301">
        <v>7815.5</v>
      </c>
      <c r="F22" s="188">
        <f t="shared" si="0"/>
        <v>0</v>
      </c>
    </row>
    <row r="23" spans="1:7" ht="21" customHeight="1" x14ac:dyDescent="0.25">
      <c r="A23" s="257">
        <v>44855</v>
      </c>
      <c r="B23" s="258" t="s">
        <v>540</v>
      </c>
      <c r="C23" s="127">
        <v>66286.039999999994</v>
      </c>
      <c r="D23" s="300">
        <v>44855</v>
      </c>
      <c r="E23" s="301">
        <v>66286.039999999994</v>
      </c>
      <c r="F23" s="188">
        <f t="shared" si="0"/>
        <v>0</v>
      </c>
    </row>
    <row r="24" spans="1:7" ht="21" customHeight="1" x14ac:dyDescent="0.3">
      <c r="A24" s="257">
        <v>44856</v>
      </c>
      <c r="B24" s="258" t="s">
        <v>541</v>
      </c>
      <c r="C24" s="127">
        <v>159753.01999999999</v>
      </c>
      <c r="D24" s="304">
        <v>44862</v>
      </c>
      <c r="E24" s="274">
        <v>159753.01999999999</v>
      </c>
      <c r="F24" s="188">
        <f t="shared" si="0"/>
        <v>0</v>
      </c>
      <c r="G24" s="156"/>
    </row>
    <row r="25" spans="1:7" ht="21" customHeight="1" x14ac:dyDescent="0.25">
      <c r="A25" s="257">
        <v>44858</v>
      </c>
      <c r="B25" s="258" t="s">
        <v>542</v>
      </c>
      <c r="C25" s="127">
        <v>136759.18</v>
      </c>
      <c r="D25" s="304">
        <v>44862</v>
      </c>
      <c r="E25" s="274">
        <v>136759.18</v>
      </c>
      <c r="F25" s="188">
        <f t="shared" si="0"/>
        <v>0</v>
      </c>
    </row>
    <row r="26" spans="1:7" ht="21" customHeight="1" x14ac:dyDescent="0.25">
      <c r="A26" s="257">
        <v>44860</v>
      </c>
      <c r="B26" s="258" t="s">
        <v>543</v>
      </c>
      <c r="C26" s="127">
        <v>123939.98</v>
      </c>
      <c r="D26" s="304">
        <v>44862</v>
      </c>
      <c r="E26" s="274">
        <v>123939.98</v>
      </c>
      <c r="F26" s="188">
        <f t="shared" si="0"/>
        <v>0</v>
      </c>
    </row>
    <row r="27" spans="1:7" ht="21" customHeight="1" x14ac:dyDescent="0.25">
      <c r="A27" s="257">
        <v>44861</v>
      </c>
      <c r="B27" s="258" t="s">
        <v>544</v>
      </c>
      <c r="C27" s="127">
        <v>162878.20000000001</v>
      </c>
      <c r="D27" s="304">
        <v>44862</v>
      </c>
      <c r="E27" s="274">
        <v>162878.20000000001</v>
      </c>
      <c r="F27" s="188">
        <f t="shared" si="0"/>
        <v>0</v>
      </c>
    </row>
    <row r="28" spans="1:7" ht="21" customHeight="1" x14ac:dyDescent="0.25">
      <c r="A28" s="257">
        <v>44863</v>
      </c>
      <c r="B28" s="373" t="s">
        <v>545</v>
      </c>
      <c r="C28" s="374">
        <v>174485.08</v>
      </c>
      <c r="D28" s="387">
        <v>44870</v>
      </c>
      <c r="E28" s="277">
        <v>174485.08</v>
      </c>
      <c r="F28" s="188">
        <f t="shared" si="0"/>
        <v>0</v>
      </c>
    </row>
    <row r="29" spans="1:7" ht="21" customHeight="1" x14ac:dyDescent="0.25">
      <c r="A29" s="257">
        <v>44864</v>
      </c>
      <c r="B29" s="373" t="s">
        <v>546</v>
      </c>
      <c r="C29" s="374">
        <v>153694.9</v>
      </c>
      <c r="D29" s="387">
        <v>44870</v>
      </c>
      <c r="E29" s="277">
        <v>153694.9</v>
      </c>
      <c r="F29" s="188">
        <f t="shared" si="0"/>
        <v>0</v>
      </c>
    </row>
    <row r="30" spans="1:7" ht="21" customHeight="1" x14ac:dyDescent="0.25">
      <c r="A30" s="257"/>
      <c r="B30" s="258"/>
      <c r="C30" s="127"/>
      <c r="D30" s="257"/>
      <c r="E30" s="127"/>
      <c r="F30" s="188">
        <f t="shared" si="0"/>
        <v>0</v>
      </c>
    </row>
    <row r="31" spans="1:7" ht="21" customHeight="1" x14ac:dyDescent="0.25">
      <c r="A31" s="257"/>
      <c r="B31" s="258"/>
      <c r="C31" s="127"/>
      <c r="D31" s="257"/>
      <c r="E31" s="127"/>
      <c r="F31" s="188">
        <f t="shared" si="0"/>
        <v>0</v>
      </c>
    </row>
    <row r="32" spans="1:7" ht="21" customHeight="1" x14ac:dyDescent="0.3">
      <c r="A32" s="257"/>
      <c r="B32" s="258"/>
      <c r="C32" s="127"/>
      <c r="D32" s="257"/>
      <c r="E32" s="127"/>
      <c r="F32" s="188">
        <f t="shared" si="0"/>
        <v>0</v>
      </c>
      <c r="G32" s="156"/>
    </row>
    <row r="33" spans="1:6" ht="21" customHeight="1" x14ac:dyDescent="0.25">
      <c r="A33" s="257"/>
      <c r="B33" s="258" t="s">
        <v>8</v>
      </c>
      <c r="C33" s="127"/>
      <c r="D33" s="257"/>
      <c r="E33" s="127"/>
      <c r="F33" s="188">
        <f t="shared" si="0"/>
        <v>0</v>
      </c>
    </row>
    <row r="34" spans="1:6" ht="21" customHeight="1" x14ac:dyDescent="0.25">
      <c r="A34" s="257"/>
      <c r="B34" s="258"/>
      <c r="C34" s="127"/>
      <c r="D34" s="257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7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7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7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7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7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7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2793202.57</v>
      </c>
      <c r="D79" s="191"/>
      <c r="E79" s="170">
        <f>SUM(E3:E78)</f>
        <v>2793202.57</v>
      </c>
      <c r="F79" s="171">
        <f>F78</f>
        <v>0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abSelected="1" topLeftCell="B3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7"/>
  </cols>
  <sheetData>
    <row r="1" spans="1:21" ht="23.25" x14ac:dyDescent="0.35">
      <c r="B1" s="396"/>
      <c r="C1" s="398" t="s">
        <v>550</v>
      </c>
      <c r="D1" s="399"/>
      <c r="E1" s="399"/>
      <c r="F1" s="399"/>
      <c r="G1" s="399"/>
      <c r="H1" s="399"/>
      <c r="I1" s="399"/>
      <c r="J1" s="399"/>
      <c r="K1" s="399"/>
      <c r="L1" s="399"/>
      <c r="M1" s="399"/>
    </row>
    <row r="2" spans="1:21" ht="16.5" thickBot="1" x14ac:dyDescent="0.3">
      <c r="B2" s="397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0" t="s">
        <v>0</v>
      </c>
      <c r="C3" s="401"/>
      <c r="D3" s="9"/>
      <c r="E3" s="10"/>
      <c r="F3" s="10"/>
      <c r="H3" s="402" t="s">
        <v>1</v>
      </c>
      <c r="I3" s="402"/>
      <c r="K3" s="12"/>
      <c r="L3" s="12"/>
      <c r="M3" s="4"/>
      <c r="R3" s="407" t="s">
        <v>38</v>
      </c>
    </row>
    <row r="4" spans="1:21" ht="20.25" thickTop="1" thickBot="1" x14ac:dyDescent="0.35">
      <c r="A4" s="13" t="s">
        <v>2</v>
      </c>
      <c r="B4" s="14"/>
      <c r="C4" s="15">
        <v>419424.76</v>
      </c>
      <c r="D4" s="16">
        <v>44864</v>
      </c>
      <c r="E4" s="403" t="s">
        <v>3</v>
      </c>
      <c r="F4" s="404"/>
      <c r="H4" s="405" t="s">
        <v>4</v>
      </c>
      <c r="I4" s="406"/>
      <c r="J4" s="17"/>
      <c r="K4" s="18"/>
      <c r="L4" s="19"/>
      <c r="M4" s="20" t="s">
        <v>5</v>
      </c>
      <c r="N4" s="21" t="s">
        <v>6</v>
      </c>
      <c r="P4" s="414" t="s">
        <v>7</v>
      </c>
      <c r="Q4" s="415"/>
      <c r="R4" s="408"/>
    </row>
    <row r="5" spans="1:21" ht="18" thickBot="1" x14ac:dyDescent="0.35">
      <c r="A5" s="22" t="s">
        <v>8</v>
      </c>
      <c r="B5" s="320">
        <v>44865</v>
      </c>
      <c r="C5" s="24">
        <v>0</v>
      </c>
      <c r="D5" s="321"/>
      <c r="E5" s="322">
        <v>44865</v>
      </c>
      <c r="F5" s="27">
        <v>136405</v>
      </c>
      <c r="G5" s="323"/>
      <c r="H5" s="324">
        <v>44865</v>
      </c>
      <c r="I5" s="29">
        <v>156</v>
      </c>
      <c r="J5" s="6"/>
      <c r="K5" s="325"/>
      <c r="L5" s="8"/>
      <c r="M5" s="30">
        <f>116634+18000</f>
        <v>134634</v>
      </c>
      <c r="N5" s="31">
        <v>1615</v>
      </c>
      <c r="O5" s="314"/>
      <c r="P5" s="32">
        <f>N5+M5+L5+I5+C5</f>
        <v>136405</v>
      </c>
      <c r="Q5" s="12">
        <f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44866</v>
      </c>
      <c r="C6" s="24">
        <v>3840</v>
      </c>
      <c r="D6" s="326" t="s">
        <v>47</v>
      </c>
      <c r="E6" s="322">
        <v>44866</v>
      </c>
      <c r="F6" s="27">
        <v>63472</v>
      </c>
      <c r="G6" s="323"/>
      <c r="H6" s="324">
        <v>44866</v>
      </c>
      <c r="I6" s="29">
        <v>78</v>
      </c>
      <c r="J6" s="36"/>
      <c r="K6" s="327"/>
      <c r="L6" s="38"/>
      <c r="M6" s="30">
        <f>52767+25000</f>
        <v>77767</v>
      </c>
      <c r="N6" s="31">
        <v>303</v>
      </c>
      <c r="O6" s="314"/>
      <c r="P6" s="32">
        <f>N6+M6+L6+I6+C6</f>
        <v>81988</v>
      </c>
      <c r="Q6" s="12">
        <v>0</v>
      </c>
      <c r="R6" s="283">
        <v>18516</v>
      </c>
      <c r="S6" s="369">
        <v>44838</v>
      </c>
      <c r="T6" s="8"/>
    </row>
    <row r="7" spans="1:21" ht="18" thickBot="1" x14ac:dyDescent="0.35">
      <c r="A7" s="22"/>
      <c r="B7" s="320">
        <v>44867</v>
      </c>
      <c r="C7" s="24">
        <v>0</v>
      </c>
      <c r="D7" s="328"/>
      <c r="E7" s="322">
        <v>44867</v>
      </c>
      <c r="F7" s="8">
        <v>37429</v>
      </c>
      <c r="G7" s="323"/>
      <c r="H7" s="324">
        <v>44867</v>
      </c>
      <c r="I7" s="29">
        <v>464</v>
      </c>
      <c r="J7" s="36"/>
      <c r="K7" s="329"/>
      <c r="L7" s="38"/>
      <c r="M7" s="30">
        <v>36915</v>
      </c>
      <c r="N7" s="31">
        <v>50</v>
      </c>
      <c r="O7" s="314"/>
      <c r="P7" s="32">
        <f>N7+M7+L7+I7+C7</f>
        <v>37429</v>
      </c>
      <c r="Q7" s="12">
        <f t="shared" ref="Q7:Q39" si="0">P7-F7</f>
        <v>0</v>
      </c>
      <c r="R7" s="12">
        <v>0</v>
      </c>
      <c r="S7" s="369">
        <v>44839</v>
      </c>
    </row>
    <row r="8" spans="1:21" ht="18" thickBot="1" x14ac:dyDescent="0.35">
      <c r="A8" s="22"/>
      <c r="B8" s="320">
        <v>44868</v>
      </c>
      <c r="C8" s="24">
        <v>0</v>
      </c>
      <c r="D8" s="328"/>
      <c r="E8" s="322">
        <v>44868</v>
      </c>
      <c r="F8" s="27">
        <v>89547</v>
      </c>
      <c r="G8" s="323"/>
      <c r="H8" s="324">
        <v>44868</v>
      </c>
      <c r="I8" s="29">
        <v>103</v>
      </c>
      <c r="J8" s="42"/>
      <c r="K8" s="330"/>
      <c r="L8" s="38"/>
      <c r="M8" s="30">
        <f>71144+35000</f>
        <v>106144</v>
      </c>
      <c r="N8" s="31">
        <v>3340</v>
      </c>
      <c r="O8" s="314"/>
      <c r="P8" s="32">
        <f t="shared" ref="P8:P40" si="1">N8+M8+L8+I8+C8</f>
        <v>109587</v>
      </c>
      <c r="Q8" s="12">
        <v>0</v>
      </c>
      <c r="R8" s="283">
        <v>20040</v>
      </c>
      <c r="S8" s="369">
        <v>44840</v>
      </c>
    </row>
    <row r="9" spans="1:21" ht="18" thickBot="1" x14ac:dyDescent="0.35">
      <c r="A9" s="22"/>
      <c r="B9" s="320">
        <v>44869</v>
      </c>
      <c r="C9" s="24">
        <v>12724</v>
      </c>
      <c r="D9" s="328" t="s">
        <v>49</v>
      </c>
      <c r="E9" s="322">
        <v>44869</v>
      </c>
      <c r="F9" s="27">
        <v>130261</v>
      </c>
      <c r="G9" s="323"/>
      <c r="H9" s="324">
        <v>44869</v>
      </c>
      <c r="I9" s="29">
        <v>115</v>
      </c>
      <c r="J9" s="36"/>
      <c r="K9" s="331"/>
      <c r="L9" s="38"/>
      <c r="M9" s="30">
        <f>45000+70292</f>
        <v>115292</v>
      </c>
      <c r="N9" s="31">
        <v>2130</v>
      </c>
      <c r="O9" s="314"/>
      <c r="P9" s="32">
        <f t="shared" si="1"/>
        <v>130261</v>
      </c>
      <c r="Q9" s="12">
        <f t="shared" si="0"/>
        <v>0</v>
      </c>
      <c r="R9" s="12">
        <v>0</v>
      </c>
      <c r="S9" s="369">
        <v>44841</v>
      </c>
    </row>
    <row r="10" spans="1:21" ht="18" thickBot="1" x14ac:dyDescent="0.35">
      <c r="A10" s="22"/>
      <c r="B10" s="320">
        <v>44870</v>
      </c>
      <c r="C10" s="24">
        <v>0</v>
      </c>
      <c r="D10" s="326"/>
      <c r="E10" s="322">
        <v>44870</v>
      </c>
      <c r="F10" s="27">
        <v>76363</v>
      </c>
      <c r="G10" s="323"/>
      <c r="H10" s="324">
        <v>44870</v>
      </c>
      <c r="I10" s="29">
        <v>184</v>
      </c>
      <c r="J10" s="36">
        <v>44870</v>
      </c>
      <c r="K10" s="332" t="s">
        <v>551</v>
      </c>
      <c r="L10" s="46">
        <v>9367</v>
      </c>
      <c r="M10" s="30">
        <f>38076+787+15000</f>
        <v>53863</v>
      </c>
      <c r="N10" s="31">
        <v>12949</v>
      </c>
      <c r="O10" s="314"/>
      <c r="P10" s="32">
        <f>N10+M10+L10+I10+C10</f>
        <v>76363</v>
      </c>
      <c r="Q10" s="12">
        <f t="shared" si="0"/>
        <v>0</v>
      </c>
      <c r="R10" s="12">
        <v>0</v>
      </c>
      <c r="S10" s="369">
        <v>44842</v>
      </c>
      <c r="U10" t="s">
        <v>8</v>
      </c>
    </row>
    <row r="11" spans="1:21" ht="18" thickBot="1" x14ac:dyDescent="0.35">
      <c r="A11" s="22"/>
      <c r="B11" s="320">
        <v>44871</v>
      </c>
      <c r="C11" s="24">
        <v>0</v>
      </c>
      <c r="D11" s="326"/>
      <c r="E11" s="322">
        <v>44871</v>
      </c>
      <c r="F11" s="27">
        <v>128268</v>
      </c>
      <c r="G11" s="323"/>
      <c r="H11" s="324">
        <v>44871</v>
      </c>
      <c r="I11" s="29">
        <v>107</v>
      </c>
      <c r="J11" s="42"/>
      <c r="K11" s="333"/>
      <c r="L11" s="38"/>
      <c r="M11" s="30">
        <f>90000+30000+21689</f>
        <v>141689</v>
      </c>
      <c r="N11" s="31">
        <v>1472</v>
      </c>
      <c r="O11" s="314"/>
      <c r="P11" s="32">
        <f>N11+M11+L11+I11+C11</f>
        <v>143268</v>
      </c>
      <c r="Q11" s="12">
        <v>0</v>
      </c>
      <c r="R11" s="283">
        <v>15000</v>
      </c>
      <c r="S11" s="369">
        <v>44843</v>
      </c>
    </row>
    <row r="12" spans="1:21" ht="18" thickBot="1" x14ac:dyDescent="0.35">
      <c r="A12" s="22"/>
      <c r="B12" s="320">
        <v>44872</v>
      </c>
      <c r="C12" s="24">
        <v>0</v>
      </c>
      <c r="D12" s="326"/>
      <c r="E12" s="322">
        <v>44872</v>
      </c>
      <c r="F12" s="27">
        <v>175898</v>
      </c>
      <c r="G12" s="323"/>
      <c r="H12" s="324">
        <v>44872</v>
      </c>
      <c r="I12" s="29">
        <v>137</v>
      </c>
      <c r="J12" s="36"/>
      <c r="K12" s="334"/>
      <c r="L12" s="38"/>
      <c r="M12" s="30">
        <f>40000+33312+100000</f>
        <v>173312</v>
      </c>
      <c r="N12" s="31">
        <v>2449</v>
      </c>
      <c r="O12" s="314"/>
      <c r="P12" s="32">
        <f t="shared" si="1"/>
        <v>175898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44873</v>
      </c>
      <c r="C13" s="24">
        <v>3130</v>
      </c>
      <c r="D13" s="328" t="s">
        <v>44</v>
      </c>
      <c r="E13" s="322">
        <v>44873</v>
      </c>
      <c r="F13" s="27">
        <v>92504</v>
      </c>
      <c r="G13" s="323"/>
      <c r="H13" s="324">
        <v>44873</v>
      </c>
      <c r="I13" s="29">
        <v>82</v>
      </c>
      <c r="J13" s="36"/>
      <c r="K13" s="327"/>
      <c r="L13" s="38"/>
      <c r="M13" s="30">
        <f>63377+25000</f>
        <v>88377</v>
      </c>
      <c r="N13" s="31">
        <v>915</v>
      </c>
      <c r="O13" s="314"/>
      <c r="P13" s="32">
        <f t="shared" si="1"/>
        <v>92504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44874</v>
      </c>
      <c r="C14" s="24">
        <v>0</v>
      </c>
      <c r="D14" s="335"/>
      <c r="E14" s="322">
        <v>44874</v>
      </c>
      <c r="F14" s="27">
        <v>53903</v>
      </c>
      <c r="G14" s="323"/>
      <c r="H14" s="324">
        <v>44874</v>
      </c>
      <c r="I14" s="29">
        <v>183</v>
      </c>
      <c r="J14" s="36"/>
      <c r="K14" s="330"/>
      <c r="L14" s="38"/>
      <c r="M14" s="30">
        <f>10000+38234+4873</f>
        <v>53107</v>
      </c>
      <c r="N14" s="31">
        <v>613</v>
      </c>
      <c r="O14" s="314"/>
      <c r="P14" s="32">
        <f t="shared" si="1"/>
        <v>53903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44875</v>
      </c>
      <c r="C15" s="24">
        <v>22185</v>
      </c>
      <c r="D15" s="335" t="s">
        <v>552</v>
      </c>
      <c r="E15" s="322">
        <v>44875</v>
      </c>
      <c r="F15" s="27">
        <v>116136</v>
      </c>
      <c r="G15" s="323"/>
      <c r="H15" s="324">
        <v>44875</v>
      </c>
      <c r="I15" s="29">
        <v>183</v>
      </c>
      <c r="J15" s="36"/>
      <c r="K15" s="330"/>
      <c r="L15" s="38"/>
      <c r="M15" s="30">
        <f>48803+40000</f>
        <v>88803</v>
      </c>
      <c r="N15" s="31">
        <v>6935</v>
      </c>
      <c r="O15" s="314"/>
      <c r="P15" s="32">
        <f t="shared" si="1"/>
        <v>118106</v>
      </c>
      <c r="Q15" s="12">
        <v>0</v>
      </c>
      <c r="R15" s="283">
        <v>1970</v>
      </c>
      <c r="S15" s="369">
        <v>44847</v>
      </c>
    </row>
    <row r="16" spans="1:21" ht="18" thickBot="1" x14ac:dyDescent="0.35">
      <c r="A16" s="22"/>
      <c r="B16" s="320">
        <v>44876</v>
      </c>
      <c r="C16" s="24">
        <v>4199</v>
      </c>
      <c r="D16" s="326" t="s">
        <v>49</v>
      </c>
      <c r="E16" s="322">
        <v>44876</v>
      </c>
      <c r="F16" s="27">
        <v>133296</v>
      </c>
      <c r="G16" s="323"/>
      <c r="H16" s="324">
        <v>44876</v>
      </c>
      <c r="I16" s="29">
        <v>139</v>
      </c>
      <c r="J16" s="36"/>
      <c r="K16" s="330"/>
      <c r="L16" s="8"/>
      <c r="M16" s="30">
        <f>40000+50000+32841</f>
        <v>122841</v>
      </c>
      <c r="N16" s="31">
        <v>6117</v>
      </c>
      <c r="O16" s="314"/>
      <c r="P16" s="32">
        <f t="shared" si="1"/>
        <v>133296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44877</v>
      </c>
      <c r="C17" s="24">
        <v>0</v>
      </c>
      <c r="D17" s="328"/>
      <c r="E17" s="322">
        <v>44877</v>
      </c>
      <c r="F17" s="27">
        <v>109562</v>
      </c>
      <c r="G17" s="323"/>
      <c r="H17" s="324">
        <v>44877</v>
      </c>
      <c r="I17" s="29">
        <v>75</v>
      </c>
      <c r="J17" s="36">
        <v>44877</v>
      </c>
      <c r="K17" s="336" t="s">
        <v>553</v>
      </c>
      <c r="L17" s="46">
        <v>9786</v>
      </c>
      <c r="M17" s="30">
        <f>25000+59714+5021</f>
        <v>89735</v>
      </c>
      <c r="N17" s="31">
        <v>9966</v>
      </c>
      <c r="O17" s="314"/>
      <c r="P17" s="32">
        <f t="shared" si="1"/>
        <v>109562</v>
      </c>
      <c r="Q17" s="12">
        <f t="shared" si="0"/>
        <v>0</v>
      </c>
      <c r="R17" s="12">
        <v>0</v>
      </c>
      <c r="S17" s="369">
        <v>44849</v>
      </c>
    </row>
    <row r="18" spans="1:20" ht="18" thickBot="1" x14ac:dyDescent="0.35">
      <c r="A18" s="22"/>
      <c r="B18" s="320">
        <v>44878</v>
      </c>
      <c r="C18" s="24">
        <v>0</v>
      </c>
      <c r="D18" s="326"/>
      <c r="E18" s="322">
        <v>44878</v>
      </c>
      <c r="F18" s="27">
        <v>102119</v>
      </c>
      <c r="G18" s="323"/>
      <c r="H18" s="324">
        <v>44878</v>
      </c>
      <c r="I18" s="29">
        <v>310</v>
      </c>
      <c r="J18" s="36"/>
      <c r="K18" s="337"/>
      <c r="L18" s="38"/>
      <c r="M18" s="30">
        <f>75000+22840</f>
        <v>97840</v>
      </c>
      <c r="N18" s="31">
        <v>3969</v>
      </c>
      <c r="O18" s="314"/>
      <c r="P18" s="32">
        <f t="shared" si="1"/>
        <v>102119</v>
      </c>
      <c r="Q18" s="12">
        <f t="shared" si="0"/>
        <v>0</v>
      </c>
      <c r="R18" s="12">
        <v>0</v>
      </c>
      <c r="S18" s="369">
        <v>44850</v>
      </c>
    </row>
    <row r="19" spans="1:20" ht="18" thickBot="1" x14ac:dyDescent="0.35">
      <c r="A19" s="22"/>
      <c r="B19" s="320">
        <v>44879</v>
      </c>
      <c r="C19" s="24">
        <v>9880</v>
      </c>
      <c r="D19" s="326" t="s">
        <v>49</v>
      </c>
      <c r="E19" s="322">
        <v>44879</v>
      </c>
      <c r="F19" s="27">
        <v>201608</v>
      </c>
      <c r="G19" s="323"/>
      <c r="H19" s="324">
        <v>44879</v>
      </c>
      <c r="I19" s="29">
        <v>70</v>
      </c>
      <c r="J19" s="36"/>
      <c r="K19" s="338"/>
      <c r="L19" s="53"/>
      <c r="M19" s="30">
        <f>35000+90000+63508</f>
        <v>188508</v>
      </c>
      <c r="N19" s="31">
        <v>3150</v>
      </c>
      <c r="O19" s="314"/>
      <c r="P19" s="32">
        <f t="shared" si="1"/>
        <v>201608</v>
      </c>
      <c r="Q19" s="12">
        <f t="shared" si="0"/>
        <v>0</v>
      </c>
      <c r="R19" s="12">
        <v>0</v>
      </c>
      <c r="S19" s="369">
        <v>44851</v>
      </c>
    </row>
    <row r="20" spans="1:20" ht="18" thickBot="1" x14ac:dyDescent="0.35">
      <c r="A20" s="22"/>
      <c r="B20" s="320">
        <v>44880</v>
      </c>
      <c r="C20" s="24">
        <v>2850</v>
      </c>
      <c r="D20" s="326" t="s">
        <v>44</v>
      </c>
      <c r="E20" s="322">
        <v>44880</v>
      </c>
      <c r="F20" s="27">
        <v>97873</v>
      </c>
      <c r="G20" s="323"/>
      <c r="H20" s="324">
        <v>44880</v>
      </c>
      <c r="I20" s="29">
        <v>133</v>
      </c>
      <c r="J20" s="36"/>
      <c r="K20" s="339"/>
      <c r="L20" s="46"/>
      <c r="M20" s="30">
        <f>15000+76338</f>
        <v>91338</v>
      </c>
      <c r="N20" s="31">
        <v>3552</v>
      </c>
      <c r="O20" s="314"/>
      <c r="P20" s="32">
        <f t="shared" si="1"/>
        <v>97873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44881</v>
      </c>
      <c r="C21" s="24">
        <v>0</v>
      </c>
      <c r="D21" s="326"/>
      <c r="E21" s="322">
        <v>44881</v>
      </c>
      <c r="F21" s="27">
        <v>50485</v>
      </c>
      <c r="G21" s="323"/>
      <c r="H21" s="324">
        <v>44881</v>
      </c>
      <c r="I21" s="29">
        <v>174</v>
      </c>
      <c r="J21" s="36"/>
      <c r="K21" s="340"/>
      <c r="L21" s="46"/>
      <c r="M21" s="30">
        <v>49389</v>
      </c>
      <c r="N21" s="31">
        <v>922</v>
      </c>
      <c r="O21" s="314"/>
      <c r="P21" s="32">
        <f t="shared" si="1"/>
        <v>50485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44882</v>
      </c>
      <c r="C22" s="24">
        <v>0</v>
      </c>
      <c r="D22" s="326"/>
      <c r="E22" s="322">
        <v>44882</v>
      </c>
      <c r="F22" s="27">
        <v>77102</v>
      </c>
      <c r="G22" s="323"/>
      <c r="H22" s="324">
        <v>44882</v>
      </c>
      <c r="I22" s="29">
        <v>92</v>
      </c>
      <c r="J22" s="36"/>
      <c r="K22" s="330"/>
      <c r="L22" s="56"/>
      <c r="M22" s="30">
        <f>57010+20000</f>
        <v>77010</v>
      </c>
      <c r="N22" s="31">
        <v>0</v>
      </c>
      <c r="O22" s="314"/>
      <c r="P22" s="32">
        <f t="shared" si="1"/>
        <v>77102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44883</v>
      </c>
      <c r="C23" s="24">
        <v>27810</v>
      </c>
      <c r="D23" s="326" t="s">
        <v>49</v>
      </c>
      <c r="E23" s="322">
        <v>44883</v>
      </c>
      <c r="F23" s="27">
        <v>169685</v>
      </c>
      <c r="G23" s="323"/>
      <c r="H23" s="324">
        <v>44883</v>
      </c>
      <c r="I23" s="29">
        <v>155</v>
      </c>
      <c r="J23" s="57"/>
      <c r="K23" s="341"/>
      <c r="L23" s="46"/>
      <c r="M23" s="30">
        <f>85000+56001</f>
        <v>141001</v>
      </c>
      <c r="N23" s="31">
        <v>719</v>
      </c>
      <c r="O23" s="314"/>
      <c r="P23" s="32">
        <f t="shared" si="1"/>
        <v>169685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44884</v>
      </c>
      <c r="C24" s="24">
        <v>0</v>
      </c>
      <c r="D24" s="328"/>
      <c r="E24" s="322">
        <v>44884</v>
      </c>
      <c r="F24" s="27">
        <v>116524</v>
      </c>
      <c r="G24" s="323"/>
      <c r="H24" s="324">
        <v>44884</v>
      </c>
      <c r="I24" s="29">
        <v>106</v>
      </c>
      <c r="J24" s="342">
        <v>44884</v>
      </c>
      <c r="K24" s="343" t="s">
        <v>554</v>
      </c>
      <c r="L24" s="61">
        <v>10357</v>
      </c>
      <c r="M24" s="30">
        <f>45000+43200</f>
        <v>88200</v>
      </c>
      <c r="N24" s="31">
        <v>17861</v>
      </c>
      <c r="O24" s="314"/>
      <c r="P24" s="32">
        <f t="shared" si="1"/>
        <v>116524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44885</v>
      </c>
      <c r="C25" s="24">
        <v>0</v>
      </c>
      <c r="D25" s="326"/>
      <c r="E25" s="322">
        <v>44885</v>
      </c>
      <c r="F25" s="27">
        <v>140547</v>
      </c>
      <c r="G25" s="323"/>
      <c r="H25" s="324">
        <v>44885</v>
      </c>
      <c r="I25" s="29">
        <v>244</v>
      </c>
      <c r="J25" s="62"/>
      <c r="K25" s="344"/>
      <c r="L25" s="64"/>
      <c r="M25" s="30">
        <f>12103+55000+70000</f>
        <v>137103</v>
      </c>
      <c r="N25" s="31">
        <v>3200</v>
      </c>
      <c r="O25" s="314"/>
      <c r="P25" s="32">
        <f t="shared" si="1"/>
        <v>140547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44886</v>
      </c>
      <c r="C26" s="24">
        <v>4120</v>
      </c>
      <c r="D26" s="326" t="s">
        <v>47</v>
      </c>
      <c r="E26" s="322">
        <v>44886</v>
      </c>
      <c r="F26" s="27">
        <v>202372</v>
      </c>
      <c r="G26" s="323"/>
      <c r="H26" s="324">
        <v>44886</v>
      </c>
      <c r="I26" s="29">
        <v>142</v>
      </c>
      <c r="J26" s="36"/>
      <c r="K26" s="343"/>
      <c r="L26" s="46"/>
      <c r="M26" s="30">
        <f>56718+40000+100000</f>
        <v>196718</v>
      </c>
      <c r="N26" s="31">
        <v>1392</v>
      </c>
      <c r="O26" s="314"/>
      <c r="P26" s="32">
        <f t="shared" si="1"/>
        <v>202372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44887</v>
      </c>
      <c r="C27" s="24">
        <v>0</v>
      </c>
      <c r="D27" s="328"/>
      <c r="E27" s="322">
        <v>44887</v>
      </c>
      <c r="F27" s="27">
        <v>92506</v>
      </c>
      <c r="G27" s="323"/>
      <c r="H27" s="324">
        <v>44887</v>
      </c>
      <c r="I27" s="29">
        <v>39</v>
      </c>
      <c r="J27" s="65"/>
      <c r="K27" s="345"/>
      <c r="L27" s="64"/>
      <c r="M27" s="30">
        <f>16218+65000+10000</f>
        <v>91218</v>
      </c>
      <c r="N27" s="31">
        <v>1249</v>
      </c>
      <c r="O27" s="314"/>
      <c r="P27" s="32">
        <f t="shared" si="1"/>
        <v>92506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44888</v>
      </c>
      <c r="C28" s="24">
        <v>0</v>
      </c>
      <c r="D28" s="328"/>
      <c r="E28" s="322">
        <v>44888</v>
      </c>
      <c r="F28" s="27">
        <v>75362</v>
      </c>
      <c r="G28" s="323"/>
      <c r="H28" s="324">
        <v>44888</v>
      </c>
      <c r="I28" s="29">
        <v>121</v>
      </c>
      <c r="J28" s="67"/>
      <c r="K28" s="346"/>
      <c r="L28" s="64"/>
      <c r="M28" s="30">
        <f>20000+54522</f>
        <v>74522</v>
      </c>
      <c r="N28" s="31">
        <v>719</v>
      </c>
      <c r="O28" s="314"/>
      <c r="P28" s="32">
        <f t="shared" si="1"/>
        <v>75362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44889</v>
      </c>
      <c r="C29" s="24">
        <v>0</v>
      </c>
      <c r="D29" s="347"/>
      <c r="E29" s="322">
        <v>44889</v>
      </c>
      <c r="F29" s="27">
        <v>98167</v>
      </c>
      <c r="G29" s="323"/>
      <c r="H29" s="324">
        <v>44889</v>
      </c>
      <c r="I29" s="29">
        <v>53</v>
      </c>
      <c r="J29" s="65"/>
      <c r="K29" s="348"/>
      <c r="L29" s="64"/>
      <c r="M29" s="30">
        <f>25000+70085</f>
        <v>95085</v>
      </c>
      <c r="N29" s="31">
        <v>3029</v>
      </c>
      <c r="O29" s="314"/>
      <c r="P29" s="32">
        <f t="shared" si="1"/>
        <v>98167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44890</v>
      </c>
      <c r="C30" s="24">
        <v>15259</v>
      </c>
      <c r="D30" s="347" t="s">
        <v>49</v>
      </c>
      <c r="E30" s="322">
        <v>44890</v>
      </c>
      <c r="F30" s="27">
        <v>123489</v>
      </c>
      <c r="G30" s="323"/>
      <c r="H30" s="324">
        <v>44890</v>
      </c>
      <c r="I30" s="29">
        <v>85</v>
      </c>
      <c r="J30" s="71"/>
      <c r="K30" s="349"/>
      <c r="L30" s="73"/>
      <c r="M30" s="30">
        <f>25000+50000+30025</f>
        <v>105025</v>
      </c>
      <c r="N30" s="31">
        <v>3120</v>
      </c>
      <c r="O30" s="314"/>
      <c r="P30" s="32">
        <f t="shared" si="1"/>
        <v>123489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44891</v>
      </c>
      <c r="C31" s="24">
        <v>0</v>
      </c>
      <c r="D31" s="350"/>
      <c r="E31" s="322">
        <v>44891</v>
      </c>
      <c r="F31" s="27">
        <v>123323</v>
      </c>
      <c r="G31" s="323"/>
      <c r="H31" s="324">
        <v>44891</v>
      </c>
      <c r="I31" s="29">
        <v>96</v>
      </c>
      <c r="J31" s="71">
        <v>44891</v>
      </c>
      <c r="K31" s="351" t="s">
        <v>555</v>
      </c>
      <c r="L31" s="75">
        <v>12000</v>
      </c>
      <c r="M31" s="30">
        <f>50000+47627</f>
        <v>97627</v>
      </c>
      <c r="N31" s="31">
        <v>13600</v>
      </c>
      <c r="O31" s="314"/>
      <c r="P31" s="32">
        <f t="shared" si="1"/>
        <v>123323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44892</v>
      </c>
      <c r="C32" s="24">
        <v>0</v>
      </c>
      <c r="D32" s="352"/>
      <c r="E32" s="322">
        <v>44892</v>
      </c>
      <c r="F32" s="27">
        <v>163298</v>
      </c>
      <c r="G32" s="323"/>
      <c r="H32" s="324">
        <v>44892</v>
      </c>
      <c r="I32" s="29">
        <v>207</v>
      </c>
      <c r="J32" s="71"/>
      <c r="K32" s="349"/>
      <c r="L32" s="73"/>
      <c r="M32" s="30">
        <f>19492+40000+100000</f>
        <v>159492</v>
      </c>
      <c r="N32" s="31">
        <v>3599</v>
      </c>
      <c r="O32" s="314"/>
      <c r="P32" s="32">
        <f t="shared" si="1"/>
        <v>163298</v>
      </c>
      <c r="Q32" s="12">
        <f t="shared" si="0"/>
        <v>0</v>
      </c>
      <c r="R32" s="8" t="s">
        <v>556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/>
      <c r="K34" s="354"/>
      <c r="L34" s="80"/>
      <c r="M34" s="30">
        <v>0</v>
      </c>
      <c r="N34" s="31">
        <v>0</v>
      </c>
      <c r="O34" s="314"/>
      <c r="P34" s="32">
        <f t="shared" si="1"/>
        <v>0</v>
      </c>
      <c r="Q34" s="12">
        <f t="shared" si="0"/>
        <v>0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/>
      <c r="K35" s="351"/>
      <c r="L35" s="78"/>
      <c r="M35" s="30">
        <v>0</v>
      </c>
      <c r="N35" s="31">
        <v>0</v>
      </c>
      <c r="O35" s="314"/>
      <c r="P35" s="32">
        <f t="shared" si="1"/>
        <v>0</v>
      </c>
      <c r="Q35" s="12">
        <f t="shared" si="0"/>
        <v>0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289"/>
      <c r="K36" s="356"/>
      <c r="L36" s="78"/>
      <c r="M36" s="30">
        <v>0</v>
      </c>
      <c r="N36" s="31">
        <v>0</v>
      </c>
      <c r="O36" s="314"/>
      <c r="P36" s="32">
        <f t="shared" si="1"/>
        <v>0</v>
      </c>
      <c r="Q36" s="12">
        <f t="shared" si="0"/>
        <v>0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/>
      <c r="K37" s="357"/>
      <c r="L37" s="78"/>
      <c r="M37" s="30">
        <v>0</v>
      </c>
      <c r="N37" s="31">
        <v>0</v>
      </c>
      <c r="O37" s="314"/>
      <c r="P37" s="32">
        <f t="shared" si="1"/>
        <v>0</v>
      </c>
      <c r="Q37" s="12">
        <f t="shared" si="0"/>
        <v>0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71"/>
      <c r="K38" s="329"/>
      <c r="L38" s="78"/>
      <c r="M38" s="30">
        <v>0</v>
      </c>
      <c r="N38" s="31">
        <v>0</v>
      </c>
      <c r="O38" s="314"/>
      <c r="P38" s="32">
        <f t="shared" si="1"/>
        <v>0</v>
      </c>
      <c r="Q38" s="12">
        <f t="shared" si="0"/>
        <v>0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/>
      <c r="K39" s="358"/>
      <c r="L39" s="73"/>
      <c r="M39" s="30">
        <v>0</v>
      </c>
      <c r="N39" s="31">
        <v>0</v>
      </c>
      <c r="O39" s="314"/>
      <c r="P39" s="32">
        <f t="shared" si="1"/>
        <v>0</v>
      </c>
      <c r="Q39" s="12">
        <f t="shared" si="0"/>
        <v>0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416">
        <f>SUM(M5:M39)</f>
        <v>2972555</v>
      </c>
      <c r="N40" s="418">
        <f>SUM(N5:N39)</f>
        <v>108935</v>
      </c>
      <c r="P40" s="32">
        <f t="shared" si="1"/>
        <v>3081490</v>
      </c>
      <c r="Q40" s="284">
        <f>SUM(Q5:Q39)</f>
        <v>0</v>
      </c>
      <c r="R40" s="316">
        <f>SUM(R5:R39)</f>
        <v>55526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417"/>
      <c r="N41" s="419"/>
      <c r="P41" s="32"/>
      <c r="Q41" s="8"/>
    </row>
    <row r="42" spans="1:19" ht="17.25" hidden="1" customHeight="1" x14ac:dyDescent="0.3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105997</v>
      </c>
      <c r="D51" s="103"/>
      <c r="E51" s="104" t="s">
        <v>9</v>
      </c>
      <c r="F51" s="105">
        <f>SUM(F5:F50)</f>
        <v>3177504</v>
      </c>
      <c r="G51" s="103"/>
      <c r="H51" s="106" t="s">
        <v>10</v>
      </c>
      <c r="I51" s="107">
        <f>SUM(I5:I50)</f>
        <v>4033</v>
      </c>
      <c r="J51" s="108"/>
      <c r="K51" s="109" t="s">
        <v>11</v>
      </c>
      <c r="L51" s="110">
        <f>SUM(L5:L50)</f>
        <v>41510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20" t="s">
        <v>12</v>
      </c>
      <c r="I53" s="421"/>
      <c r="J53" s="114"/>
      <c r="K53" s="422">
        <f>I51+L51</f>
        <v>45543</v>
      </c>
      <c r="L53" s="423"/>
      <c r="M53" s="424">
        <f>N40+M40</f>
        <v>3081490</v>
      </c>
      <c r="N53" s="425"/>
      <c r="P53" s="32"/>
      <c r="Q53" s="8"/>
    </row>
    <row r="54" spans="1:17" ht="15.75" x14ac:dyDescent="0.25">
      <c r="D54" s="426" t="s">
        <v>13</v>
      </c>
      <c r="E54" s="426"/>
      <c r="F54" s="115">
        <f>F51-K53-C51</f>
        <v>3025964</v>
      </c>
      <c r="I54" s="116"/>
      <c r="J54" s="117"/>
      <c r="P54" s="32"/>
      <c r="Q54" s="8"/>
    </row>
    <row r="55" spans="1:17" ht="18.75" x14ac:dyDescent="0.3">
      <c r="D55" s="427" t="s">
        <v>14</v>
      </c>
      <c r="E55" s="427"/>
      <c r="F55" s="111">
        <v>-2936244.87</v>
      </c>
      <c r="I55" s="428" t="s">
        <v>15</v>
      </c>
      <c r="J55" s="429"/>
      <c r="K55" s="430">
        <f>F57+F58+F59</f>
        <v>476443.67999999988</v>
      </c>
      <c r="L55" s="431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89719.129999999888</v>
      </c>
      <c r="H57" s="22"/>
      <c r="I57" s="124" t="s">
        <v>17</v>
      </c>
      <c r="J57" s="125"/>
      <c r="K57" s="432">
        <f>-C4</f>
        <v>-419424.76</v>
      </c>
      <c r="L57" s="433"/>
    </row>
    <row r="58" spans="1:17" ht="16.5" thickBot="1" x14ac:dyDescent="0.3">
      <c r="D58" s="126" t="s">
        <v>18</v>
      </c>
      <c r="E58" s="33" t="s">
        <v>19</v>
      </c>
      <c r="F58" s="127">
        <v>71026</v>
      </c>
    </row>
    <row r="59" spans="1:17" ht="20.25" thickTop="1" thickBot="1" x14ac:dyDescent="0.35">
      <c r="C59" s="128">
        <v>44892</v>
      </c>
      <c r="D59" s="409" t="s">
        <v>20</v>
      </c>
      <c r="E59" s="410"/>
      <c r="F59" s="129">
        <v>315698.55</v>
      </c>
      <c r="I59" s="435"/>
      <c r="J59" s="436"/>
      <c r="K59" s="437">
        <f>K55+K57</f>
        <v>57018.919999999867</v>
      </c>
      <c r="L59" s="43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28" workbookViewId="0">
      <selection activeCell="C83" sqref="C83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7.5703125" style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2.5" customHeight="1" x14ac:dyDescent="0.25">
      <c r="A3" s="377">
        <v>44866</v>
      </c>
      <c r="B3" s="378" t="s">
        <v>559</v>
      </c>
      <c r="C3" s="256">
        <v>44181.2</v>
      </c>
      <c r="D3" s="393">
        <v>44870</v>
      </c>
      <c r="E3" s="299">
        <v>44181.2</v>
      </c>
      <c r="F3" s="152">
        <f>C3-E3</f>
        <v>0</v>
      </c>
      <c r="J3" s="127"/>
    </row>
    <row r="4" spans="1:10" ht="22.5" customHeight="1" x14ac:dyDescent="0.25">
      <c r="A4" s="379">
        <v>44866</v>
      </c>
      <c r="B4" s="380" t="s">
        <v>558</v>
      </c>
      <c r="C4" s="127">
        <v>52074.400000000001</v>
      </c>
      <c r="D4" s="393">
        <v>44870</v>
      </c>
      <c r="E4" s="277">
        <v>52074.400000000001</v>
      </c>
      <c r="F4" s="188">
        <f>C4-E4+F3</f>
        <v>0</v>
      </c>
      <c r="J4" s="256"/>
    </row>
    <row r="5" spans="1:10" ht="21" customHeight="1" x14ac:dyDescent="0.25">
      <c r="A5" s="379">
        <v>44867</v>
      </c>
      <c r="B5" s="380" t="s">
        <v>560</v>
      </c>
      <c r="C5" s="127">
        <v>5254</v>
      </c>
      <c r="D5" s="393">
        <v>44870</v>
      </c>
      <c r="E5" s="277">
        <v>5254</v>
      </c>
      <c r="F5" s="188">
        <f t="shared" ref="F5:F68" si="0">C5-E5+F4</f>
        <v>0</v>
      </c>
      <c r="J5" s="127"/>
    </row>
    <row r="6" spans="1:10" ht="21" customHeight="1" x14ac:dyDescent="0.3">
      <c r="A6" s="379">
        <v>44868</v>
      </c>
      <c r="B6" s="380" t="s">
        <v>561</v>
      </c>
      <c r="C6" s="127">
        <v>103458.88</v>
      </c>
      <c r="D6" s="393">
        <v>44870</v>
      </c>
      <c r="E6" s="277">
        <v>103458.88</v>
      </c>
      <c r="F6" s="188">
        <f t="shared" si="0"/>
        <v>0</v>
      </c>
      <c r="G6" s="156"/>
      <c r="J6" s="127"/>
    </row>
    <row r="7" spans="1:10" ht="21" customHeight="1" x14ac:dyDescent="0.25">
      <c r="A7" s="379">
        <v>44868</v>
      </c>
      <c r="B7" s="380" t="s">
        <v>562</v>
      </c>
      <c r="C7" s="127">
        <v>76672.5</v>
      </c>
      <c r="D7" s="393">
        <v>44870</v>
      </c>
      <c r="E7" s="277">
        <v>76672.5</v>
      </c>
      <c r="F7" s="188">
        <f t="shared" si="0"/>
        <v>0</v>
      </c>
      <c r="J7" s="127"/>
    </row>
    <row r="8" spans="1:10" ht="21" customHeight="1" x14ac:dyDescent="0.25">
      <c r="A8" s="379">
        <v>44869</v>
      </c>
      <c r="B8" s="380" t="s">
        <v>563</v>
      </c>
      <c r="C8" s="127">
        <v>113523.28</v>
      </c>
      <c r="D8" s="393">
        <v>44870</v>
      </c>
      <c r="E8" s="277">
        <v>113523.28</v>
      </c>
      <c r="F8" s="188">
        <f t="shared" si="0"/>
        <v>0</v>
      </c>
      <c r="J8" s="127"/>
    </row>
    <row r="9" spans="1:10" ht="21" customHeight="1" x14ac:dyDescent="0.25">
      <c r="A9" s="379">
        <v>44870</v>
      </c>
      <c r="B9" s="380" t="s">
        <v>564</v>
      </c>
      <c r="C9" s="127">
        <v>182125.94</v>
      </c>
      <c r="D9" s="304">
        <v>44877</v>
      </c>
      <c r="E9" s="274">
        <v>182125.94</v>
      </c>
      <c r="F9" s="188">
        <f t="shared" si="0"/>
        <v>0</v>
      </c>
      <c r="J9" s="127"/>
    </row>
    <row r="10" spans="1:10" ht="21" customHeight="1" x14ac:dyDescent="0.25">
      <c r="A10" s="379">
        <v>44872</v>
      </c>
      <c r="B10" s="380" t="s">
        <v>565</v>
      </c>
      <c r="C10" s="127">
        <v>155861.72</v>
      </c>
      <c r="D10" s="304">
        <v>44877</v>
      </c>
      <c r="E10" s="274">
        <v>155861.72</v>
      </c>
      <c r="F10" s="188">
        <f t="shared" si="0"/>
        <v>0</v>
      </c>
      <c r="J10" s="33">
        <v>0</v>
      </c>
    </row>
    <row r="11" spans="1:10" ht="21" customHeight="1" x14ac:dyDescent="0.25">
      <c r="A11" s="379">
        <v>44875</v>
      </c>
      <c r="B11" s="380" t="s">
        <v>566</v>
      </c>
      <c r="C11" s="127">
        <v>172319.6</v>
      </c>
      <c r="D11" s="304">
        <v>44877</v>
      </c>
      <c r="E11" s="274">
        <v>172319.6</v>
      </c>
      <c r="F11" s="188">
        <f t="shared" si="0"/>
        <v>0</v>
      </c>
      <c r="J11" s="267">
        <f>SUM(J3:J10)</f>
        <v>0</v>
      </c>
    </row>
    <row r="12" spans="1:10" ht="21" customHeight="1" x14ac:dyDescent="0.3">
      <c r="A12" s="379">
        <v>44875</v>
      </c>
      <c r="B12" s="380" t="s">
        <v>567</v>
      </c>
      <c r="C12" s="127">
        <v>25739.54</v>
      </c>
      <c r="D12" s="304">
        <v>44877</v>
      </c>
      <c r="E12" s="274">
        <v>25739.54</v>
      </c>
      <c r="F12" s="188">
        <f t="shared" si="0"/>
        <v>0</v>
      </c>
      <c r="G12" s="156"/>
    </row>
    <row r="13" spans="1:10" ht="21" customHeight="1" x14ac:dyDescent="0.25">
      <c r="A13" s="379">
        <v>44876</v>
      </c>
      <c r="B13" s="380" t="s">
        <v>568</v>
      </c>
      <c r="C13" s="127">
        <v>161041.70000000001</v>
      </c>
      <c r="D13" s="304">
        <v>44877</v>
      </c>
      <c r="E13" s="274">
        <v>161041.70000000001</v>
      </c>
      <c r="F13" s="188">
        <f t="shared" si="0"/>
        <v>0</v>
      </c>
    </row>
    <row r="14" spans="1:10" ht="21" customHeight="1" x14ac:dyDescent="0.25">
      <c r="A14" s="379">
        <v>44876</v>
      </c>
      <c r="B14" s="380" t="s">
        <v>569</v>
      </c>
      <c r="C14" s="127">
        <v>5213.6400000000003</v>
      </c>
      <c r="D14" s="304">
        <v>44877</v>
      </c>
      <c r="E14" s="274">
        <v>5213.6400000000003</v>
      </c>
      <c r="F14" s="188">
        <f t="shared" si="0"/>
        <v>0</v>
      </c>
    </row>
    <row r="15" spans="1:10" ht="21" customHeight="1" x14ac:dyDescent="0.25">
      <c r="A15" s="379">
        <v>44877</v>
      </c>
      <c r="B15" s="380" t="s">
        <v>570</v>
      </c>
      <c r="C15" s="127">
        <v>184631.6</v>
      </c>
      <c r="D15" s="257">
        <v>44884</v>
      </c>
      <c r="E15" s="127">
        <v>184631.6</v>
      </c>
      <c r="F15" s="188">
        <f t="shared" si="0"/>
        <v>0</v>
      </c>
    </row>
    <row r="16" spans="1:10" ht="21" customHeight="1" x14ac:dyDescent="0.25">
      <c r="A16" s="379">
        <v>44877</v>
      </c>
      <c r="B16" s="380" t="s">
        <v>571</v>
      </c>
      <c r="C16" s="127">
        <v>10281.76</v>
      </c>
      <c r="D16" s="257">
        <v>44884</v>
      </c>
      <c r="E16" s="127">
        <v>10281.76</v>
      </c>
      <c r="F16" s="188">
        <f t="shared" si="0"/>
        <v>0</v>
      </c>
    </row>
    <row r="17" spans="1:7" ht="21" customHeight="1" x14ac:dyDescent="0.25">
      <c r="A17" s="379">
        <v>44879</v>
      </c>
      <c r="B17" s="380" t="s">
        <v>572</v>
      </c>
      <c r="C17" s="127">
        <v>159496.46</v>
      </c>
      <c r="D17" s="257">
        <v>44884</v>
      </c>
      <c r="E17" s="127">
        <v>159496.46</v>
      </c>
      <c r="F17" s="188">
        <f t="shared" si="0"/>
        <v>0</v>
      </c>
    </row>
    <row r="18" spans="1:7" ht="21" customHeight="1" x14ac:dyDescent="0.25">
      <c r="A18" s="379">
        <v>44879</v>
      </c>
      <c r="B18" s="380" t="s">
        <v>573</v>
      </c>
      <c r="C18" s="127">
        <v>1076.4000000000001</v>
      </c>
      <c r="D18" s="257">
        <v>44884</v>
      </c>
      <c r="E18" s="127">
        <v>1076.4000000000001</v>
      </c>
      <c r="F18" s="188">
        <f t="shared" si="0"/>
        <v>0</v>
      </c>
    </row>
    <row r="19" spans="1:7" ht="21" customHeight="1" x14ac:dyDescent="0.25">
      <c r="A19" s="379">
        <v>44880</v>
      </c>
      <c r="B19" s="380" t="s">
        <v>574</v>
      </c>
      <c r="C19" s="127">
        <v>164517.22</v>
      </c>
      <c r="D19" s="257">
        <v>44884</v>
      </c>
      <c r="E19" s="127">
        <v>164517.22</v>
      </c>
      <c r="F19" s="188">
        <f t="shared" si="0"/>
        <v>0</v>
      </c>
    </row>
    <row r="20" spans="1:7" ht="21" customHeight="1" x14ac:dyDescent="0.25">
      <c r="A20" s="379">
        <v>44882</v>
      </c>
      <c r="B20" s="380" t="s">
        <v>575</v>
      </c>
      <c r="C20" s="127">
        <v>189776.71</v>
      </c>
      <c r="D20" s="257">
        <v>44884</v>
      </c>
      <c r="E20" s="127">
        <v>189776.71</v>
      </c>
      <c r="F20" s="188">
        <f t="shared" si="0"/>
        <v>0</v>
      </c>
    </row>
    <row r="21" spans="1:7" ht="31.5" x14ac:dyDescent="0.25">
      <c r="A21" s="379">
        <v>44883</v>
      </c>
      <c r="B21" s="380" t="s">
        <v>576</v>
      </c>
      <c r="C21" s="127">
        <v>167573.96</v>
      </c>
      <c r="D21" s="394" t="s">
        <v>585</v>
      </c>
      <c r="E21" s="296">
        <f>100000+67573.96</f>
        <v>167573.96000000002</v>
      </c>
      <c r="F21" s="188">
        <f t="shared" si="0"/>
        <v>-2.9103830456733704E-11</v>
      </c>
    </row>
    <row r="22" spans="1:7" ht="21" customHeight="1" x14ac:dyDescent="0.25">
      <c r="A22" s="379">
        <v>44883</v>
      </c>
      <c r="B22" s="380" t="s">
        <v>577</v>
      </c>
      <c r="C22" s="127">
        <v>6583.4</v>
      </c>
      <c r="D22" s="297">
        <v>44891</v>
      </c>
      <c r="E22" s="296">
        <v>6583.4</v>
      </c>
      <c r="F22" s="188">
        <f t="shared" si="0"/>
        <v>-2.9103830456733704E-11</v>
      </c>
    </row>
    <row r="23" spans="1:7" ht="21" customHeight="1" x14ac:dyDescent="0.25">
      <c r="A23" s="379">
        <v>44884</v>
      </c>
      <c r="B23" s="380" t="s">
        <v>578</v>
      </c>
      <c r="C23" s="127">
        <v>203511.5</v>
      </c>
      <c r="D23" s="297">
        <v>44891</v>
      </c>
      <c r="E23" s="296">
        <v>203511.5</v>
      </c>
      <c r="F23" s="188">
        <f t="shared" si="0"/>
        <v>-2.9103830456733704E-11</v>
      </c>
    </row>
    <row r="24" spans="1:7" ht="21" customHeight="1" x14ac:dyDescent="0.3">
      <c r="A24" s="379">
        <v>44887</v>
      </c>
      <c r="B24" s="380" t="s">
        <v>579</v>
      </c>
      <c r="C24" s="127">
        <v>165026.14000000001</v>
      </c>
      <c r="D24" s="297">
        <v>44891</v>
      </c>
      <c r="E24" s="296">
        <v>165026.14000000001</v>
      </c>
      <c r="F24" s="188">
        <f t="shared" si="0"/>
        <v>-2.9103830456733704E-11</v>
      </c>
      <c r="G24" s="156"/>
    </row>
    <row r="25" spans="1:7" ht="21" customHeight="1" x14ac:dyDescent="0.25">
      <c r="A25" s="379">
        <v>44888</v>
      </c>
      <c r="B25" s="380" t="s">
        <v>580</v>
      </c>
      <c r="C25" s="127">
        <v>18120.78</v>
      </c>
      <c r="D25" s="297">
        <v>44891</v>
      </c>
      <c r="E25" s="296">
        <v>18120.78</v>
      </c>
      <c r="F25" s="188">
        <f t="shared" si="0"/>
        <v>-2.9103830456733704E-11</v>
      </c>
    </row>
    <row r="26" spans="1:7" ht="21" customHeight="1" x14ac:dyDescent="0.25">
      <c r="A26" s="379">
        <v>44889</v>
      </c>
      <c r="B26" s="380" t="s">
        <v>581</v>
      </c>
      <c r="C26" s="127">
        <v>212875.58</v>
      </c>
      <c r="D26" s="297">
        <v>44891</v>
      </c>
      <c r="E26" s="296">
        <v>212875.58</v>
      </c>
      <c r="F26" s="188">
        <f t="shared" si="0"/>
        <v>-2.9103830456733704E-11</v>
      </c>
    </row>
    <row r="27" spans="1:7" ht="21" customHeight="1" x14ac:dyDescent="0.25">
      <c r="A27" s="379">
        <v>44889</v>
      </c>
      <c r="B27" s="380" t="s">
        <v>582</v>
      </c>
      <c r="C27" s="127">
        <v>20383</v>
      </c>
      <c r="D27" s="297">
        <v>44891</v>
      </c>
      <c r="E27" s="296">
        <v>20383</v>
      </c>
      <c r="F27" s="188">
        <f t="shared" si="0"/>
        <v>-2.9103830456733704E-11</v>
      </c>
    </row>
    <row r="28" spans="1:7" ht="21" customHeight="1" x14ac:dyDescent="0.25">
      <c r="A28" s="379">
        <v>44889</v>
      </c>
      <c r="B28" s="380" t="s">
        <v>583</v>
      </c>
      <c r="C28" s="127">
        <v>5998.5</v>
      </c>
      <c r="D28" s="297">
        <v>44891</v>
      </c>
      <c r="E28" s="296">
        <v>5998.5</v>
      </c>
      <c r="F28" s="188">
        <f t="shared" si="0"/>
        <v>-2.9103830456733704E-11</v>
      </c>
    </row>
    <row r="29" spans="1:7" ht="21" customHeight="1" x14ac:dyDescent="0.25">
      <c r="A29" s="379">
        <v>44890</v>
      </c>
      <c r="B29" s="380" t="s">
        <v>584</v>
      </c>
      <c r="C29" s="127">
        <v>168840.48</v>
      </c>
      <c r="D29" s="297">
        <v>44891</v>
      </c>
      <c r="E29" s="296">
        <v>168840.48</v>
      </c>
      <c r="F29" s="188">
        <f t="shared" si="0"/>
        <v>-2.9103830456733704E-11</v>
      </c>
    </row>
    <row r="30" spans="1:7" ht="21" customHeight="1" x14ac:dyDescent="0.25">
      <c r="A30" s="257">
        <v>44891</v>
      </c>
      <c r="B30" s="258" t="s">
        <v>586</v>
      </c>
      <c r="C30" s="127">
        <v>160084.98000000001</v>
      </c>
      <c r="D30" s="257"/>
      <c r="E30" s="127"/>
      <c r="F30" s="188">
        <f t="shared" si="0"/>
        <v>160084.97999999998</v>
      </c>
    </row>
    <row r="31" spans="1:7" ht="21" customHeight="1" x14ac:dyDescent="0.25">
      <c r="A31" s="257"/>
      <c r="B31" s="258"/>
      <c r="C31" s="127"/>
      <c r="D31" s="257"/>
      <c r="E31" s="127"/>
      <c r="F31" s="188">
        <f t="shared" si="0"/>
        <v>160084.97999999998</v>
      </c>
    </row>
    <row r="32" spans="1:7" ht="21" customHeight="1" x14ac:dyDescent="0.3">
      <c r="A32" s="257"/>
      <c r="B32" s="258"/>
      <c r="C32" s="127"/>
      <c r="D32" s="257"/>
      <c r="E32" s="127"/>
      <c r="F32" s="188">
        <f t="shared" si="0"/>
        <v>160084.97999999998</v>
      </c>
      <c r="G32" s="156"/>
    </row>
    <row r="33" spans="1:6" ht="21" customHeight="1" x14ac:dyDescent="0.25">
      <c r="A33" s="257"/>
      <c r="B33" s="258"/>
      <c r="C33" s="127"/>
      <c r="D33" s="257"/>
      <c r="E33" s="127"/>
      <c r="F33" s="188">
        <f t="shared" si="0"/>
        <v>160084.97999999998</v>
      </c>
    </row>
    <row r="34" spans="1:6" ht="21" customHeight="1" x14ac:dyDescent="0.25">
      <c r="A34" s="257"/>
      <c r="B34" s="258"/>
      <c r="C34" s="127"/>
      <c r="D34" s="257"/>
      <c r="E34" s="127"/>
      <c r="F34" s="188">
        <f t="shared" si="0"/>
        <v>160084.97999999998</v>
      </c>
    </row>
    <row r="35" spans="1:6" ht="18.75" customHeight="1" x14ac:dyDescent="0.25">
      <c r="A35" s="257"/>
      <c r="B35" s="258"/>
      <c r="C35" s="127"/>
      <c r="D35" s="257"/>
      <c r="E35" s="127"/>
      <c r="F35" s="188">
        <f t="shared" si="0"/>
        <v>160084.97999999998</v>
      </c>
    </row>
    <row r="36" spans="1:6" ht="18.75" customHeight="1" x14ac:dyDescent="0.25">
      <c r="A36" s="257"/>
      <c r="B36" s="258"/>
      <c r="C36" s="127"/>
      <c r="D36" s="257"/>
      <c r="E36" s="127"/>
      <c r="F36" s="188">
        <f t="shared" si="0"/>
        <v>160084.97999999998</v>
      </c>
    </row>
    <row r="37" spans="1:6" ht="18.75" customHeight="1" x14ac:dyDescent="0.25">
      <c r="A37" s="257"/>
      <c r="B37" s="258"/>
      <c r="C37" s="127"/>
      <c r="D37" s="257"/>
      <c r="E37" s="127"/>
      <c r="F37" s="188">
        <f t="shared" si="0"/>
        <v>160084.97999999998</v>
      </c>
    </row>
    <row r="38" spans="1:6" ht="18.75" customHeight="1" x14ac:dyDescent="0.25">
      <c r="A38" s="257"/>
      <c r="B38" s="258"/>
      <c r="C38" s="127"/>
      <c r="D38" s="257"/>
      <c r="E38" s="127"/>
      <c r="F38" s="188">
        <f t="shared" si="0"/>
        <v>160084.97999999998</v>
      </c>
    </row>
    <row r="39" spans="1:6" ht="18.75" customHeight="1" x14ac:dyDescent="0.25">
      <c r="A39" s="257"/>
      <c r="B39" s="258"/>
      <c r="C39" s="127"/>
      <c r="D39" s="257"/>
      <c r="E39" s="127"/>
      <c r="F39" s="188">
        <f t="shared" si="0"/>
        <v>160084.97999999998</v>
      </c>
    </row>
    <row r="40" spans="1:6" ht="18.75" customHeight="1" x14ac:dyDescent="0.25">
      <c r="A40" s="257"/>
      <c r="B40" s="258"/>
      <c r="C40" s="127"/>
      <c r="D40" s="257"/>
      <c r="E40" s="84"/>
      <c r="F40" s="188">
        <f t="shared" si="0"/>
        <v>160084.97999999998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160084.97999999998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160084.97999999998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160084.97999999998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160084.97999999998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160084.97999999998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160084.97999999998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160084.97999999998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160084.97999999998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160084.97999999998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160084.97999999998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160084.97999999998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160084.97999999998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160084.97999999998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160084.97999999998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160084.97999999998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160084.97999999998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160084.97999999998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160084.97999999998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160084.97999999998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160084.97999999998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160084.97999999998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160084.97999999998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160084.97999999998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160084.97999999998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160084.97999999998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160084.97999999998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160084.97999999998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160084.97999999998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160084.97999999998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160084.97999999998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160084.97999999998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160084.97999999998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160084.97999999998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160084.97999999998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160084.97999999998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160084.97999999998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160084.97999999998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160084.97999999998</v>
      </c>
    </row>
    <row r="79" spans="1:6" ht="19.5" thickBot="1" x14ac:dyDescent="0.35">
      <c r="A79" s="204"/>
      <c r="B79" s="223"/>
      <c r="C79" s="395">
        <f>SUM(C3:C78)</f>
        <v>2936244.8699999996</v>
      </c>
      <c r="D79" s="191"/>
      <c r="E79" s="170">
        <f>SUM(E3:E78)</f>
        <v>2776159.8899999997</v>
      </c>
      <c r="F79" s="171">
        <f>F78</f>
        <v>160084.97999999998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96"/>
      <c r="C1" s="398" t="s">
        <v>125</v>
      </c>
      <c r="D1" s="399"/>
      <c r="E1" s="399"/>
      <c r="F1" s="399"/>
      <c r="G1" s="399"/>
      <c r="H1" s="399"/>
      <c r="I1" s="399"/>
      <c r="J1" s="399"/>
      <c r="K1" s="399"/>
      <c r="L1" s="399"/>
      <c r="M1" s="399"/>
    </row>
    <row r="2" spans="1:21" ht="16.5" thickBot="1" x14ac:dyDescent="0.3">
      <c r="B2" s="397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0" t="s">
        <v>0</v>
      </c>
      <c r="C3" s="401"/>
      <c r="D3" s="9"/>
      <c r="E3" s="10"/>
      <c r="F3" s="10"/>
      <c r="H3" s="402" t="s">
        <v>1</v>
      </c>
      <c r="I3" s="402"/>
      <c r="K3" s="12"/>
      <c r="L3" s="12"/>
      <c r="M3" s="4"/>
      <c r="R3" s="407" t="s">
        <v>38</v>
      </c>
    </row>
    <row r="4" spans="1:21" ht="20.25" thickTop="1" thickBot="1" x14ac:dyDescent="0.35">
      <c r="A4" s="13" t="s">
        <v>2</v>
      </c>
      <c r="B4" s="14"/>
      <c r="C4" s="15">
        <v>154314.51999999999</v>
      </c>
      <c r="D4" s="16">
        <v>44591</v>
      </c>
      <c r="E4" s="403" t="s">
        <v>3</v>
      </c>
      <c r="F4" s="404"/>
      <c r="H4" s="405" t="s">
        <v>4</v>
      </c>
      <c r="I4" s="406"/>
      <c r="J4" s="17"/>
      <c r="K4" s="18"/>
      <c r="L4" s="19"/>
      <c r="M4" s="20" t="s">
        <v>5</v>
      </c>
      <c r="N4" s="21" t="s">
        <v>6</v>
      </c>
      <c r="P4" s="414" t="s">
        <v>7</v>
      </c>
      <c r="Q4" s="415"/>
      <c r="R4" s="408"/>
    </row>
    <row r="5" spans="1:21" ht="18" thickBot="1" x14ac:dyDescent="0.35">
      <c r="A5" s="22" t="s">
        <v>8</v>
      </c>
      <c r="B5" s="23">
        <v>44592</v>
      </c>
      <c r="C5" s="24">
        <v>4540</v>
      </c>
      <c r="D5" s="25" t="s">
        <v>47</v>
      </c>
      <c r="E5" s="26">
        <v>44592</v>
      </c>
      <c r="F5" s="27">
        <v>35119</v>
      </c>
      <c r="H5" s="28">
        <v>44592</v>
      </c>
      <c r="I5" s="29">
        <v>246</v>
      </c>
      <c r="J5" s="6"/>
      <c r="K5" s="175"/>
      <c r="L5" s="8"/>
      <c r="M5" s="30">
        <f>10743+19900</f>
        <v>30643</v>
      </c>
      <c r="N5" s="31">
        <v>0</v>
      </c>
      <c r="P5" s="32">
        <f>N5+M5+L5+I5+C5</f>
        <v>35429</v>
      </c>
      <c r="Q5" s="12">
        <v>0</v>
      </c>
      <c r="R5" s="176">
        <v>310</v>
      </c>
    </row>
    <row r="6" spans="1:21" ht="18" thickBot="1" x14ac:dyDescent="0.35">
      <c r="A6" s="22"/>
      <c r="B6" s="23">
        <v>44593</v>
      </c>
      <c r="C6" s="24">
        <v>0</v>
      </c>
      <c r="D6" s="34"/>
      <c r="E6" s="26">
        <v>44593</v>
      </c>
      <c r="F6" s="27">
        <v>42378</v>
      </c>
      <c r="H6" s="35">
        <v>44593</v>
      </c>
      <c r="I6" s="29">
        <v>41</v>
      </c>
      <c r="J6" s="36"/>
      <c r="K6" s="37"/>
      <c r="L6" s="38"/>
      <c r="M6" s="30">
        <f>9692+32500</f>
        <v>42192</v>
      </c>
      <c r="N6" s="31">
        <v>145</v>
      </c>
      <c r="P6" s="32">
        <f t="shared" ref="P6:P39" si="0">N6+M6+L6+I6+C6</f>
        <v>42378</v>
      </c>
      <c r="Q6" s="12">
        <v>0</v>
      </c>
      <c r="R6" s="7"/>
    </row>
    <row r="7" spans="1:21" ht="18" thickBot="1" x14ac:dyDescent="0.35">
      <c r="A7" s="22"/>
      <c r="B7" s="23">
        <v>44594</v>
      </c>
      <c r="C7" s="24">
        <v>0</v>
      </c>
      <c r="D7" s="39"/>
      <c r="E7" s="26">
        <v>44594</v>
      </c>
      <c r="F7" s="27">
        <v>47132</v>
      </c>
      <c r="H7" s="35">
        <v>44594</v>
      </c>
      <c r="I7" s="29">
        <v>186</v>
      </c>
      <c r="J7" s="36" t="s">
        <v>8</v>
      </c>
      <c r="K7" s="40"/>
      <c r="L7" s="38"/>
      <c r="M7" s="30">
        <f>34300+12646</f>
        <v>46946</v>
      </c>
      <c r="N7" s="31">
        <v>0</v>
      </c>
      <c r="P7" s="32">
        <f t="shared" si="0"/>
        <v>47132</v>
      </c>
      <c r="Q7" s="8">
        <v>0</v>
      </c>
      <c r="R7" s="8"/>
    </row>
    <row r="8" spans="1:21" ht="18" thickBot="1" x14ac:dyDescent="0.35">
      <c r="A8" s="22"/>
      <c r="B8" s="23">
        <v>44595</v>
      </c>
      <c r="C8" s="24">
        <v>0</v>
      </c>
      <c r="D8" s="39"/>
      <c r="E8" s="26">
        <v>44595</v>
      </c>
      <c r="F8" s="27">
        <v>65082</v>
      </c>
      <c r="H8" s="35">
        <v>44595</v>
      </c>
      <c r="I8" s="29">
        <v>0</v>
      </c>
      <c r="J8" s="42"/>
      <c r="K8" s="43"/>
      <c r="L8" s="38"/>
      <c r="M8" s="30">
        <f>30682+34400</f>
        <v>65082</v>
      </c>
      <c r="N8" s="31">
        <v>0</v>
      </c>
      <c r="P8" s="32">
        <f t="shared" si="0"/>
        <v>65082</v>
      </c>
      <c r="Q8" s="8">
        <f t="shared" ref="Q8:Q39" si="1">P8-F8</f>
        <v>0</v>
      </c>
      <c r="R8" s="8"/>
    </row>
    <row r="9" spans="1:21" ht="18" thickBot="1" x14ac:dyDescent="0.35">
      <c r="A9" s="22"/>
      <c r="B9" s="23">
        <v>44596</v>
      </c>
      <c r="C9" s="24">
        <v>12482</v>
      </c>
      <c r="D9" s="39" t="s">
        <v>126</v>
      </c>
      <c r="E9" s="26">
        <v>44596</v>
      </c>
      <c r="F9" s="27">
        <v>71591</v>
      </c>
      <c r="H9" s="35">
        <v>44596</v>
      </c>
      <c r="I9" s="29">
        <v>31</v>
      </c>
      <c r="J9" s="36"/>
      <c r="K9" s="44"/>
      <c r="L9" s="38"/>
      <c r="M9" s="30">
        <f>28100+24178</f>
        <v>52278</v>
      </c>
      <c r="N9" s="31">
        <v>6800</v>
      </c>
      <c r="P9" s="32">
        <f>N9+M9+L9+I9+C9</f>
        <v>71591</v>
      </c>
      <c r="Q9" s="8">
        <f>P9-F9</f>
        <v>0</v>
      </c>
      <c r="R9" s="7"/>
    </row>
    <row r="10" spans="1:21" ht="18" thickBot="1" x14ac:dyDescent="0.35">
      <c r="A10" s="22"/>
      <c r="B10" s="23">
        <v>44597</v>
      </c>
      <c r="C10" s="24">
        <v>0</v>
      </c>
      <c r="D10" s="34"/>
      <c r="E10" s="26">
        <v>44597</v>
      </c>
      <c r="F10" s="27">
        <v>73744</v>
      </c>
      <c r="H10" s="35">
        <v>44597</v>
      </c>
      <c r="I10" s="29">
        <v>77</v>
      </c>
      <c r="J10" s="36">
        <v>44597</v>
      </c>
      <c r="K10" s="45" t="s">
        <v>127</v>
      </c>
      <c r="L10" s="46">
        <v>7950</v>
      </c>
      <c r="M10" s="30">
        <f>26061+38200</f>
        <v>64261</v>
      </c>
      <c r="N10" s="31">
        <v>1456</v>
      </c>
      <c r="P10" s="32">
        <f t="shared" si="0"/>
        <v>73744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44598</v>
      </c>
      <c r="C11" s="24">
        <v>5501</v>
      </c>
      <c r="D11" s="34" t="s">
        <v>128</v>
      </c>
      <c r="E11" s="26">
        <v>44598</v>
      </c>
      <c r="F11" s="27">
        <v>79345</v>
      </c>
      <c r="H11" s="35">
        <v>44598</v>
      </c>
      <c r="I11" s="29">
        <v>0</v>
      </c>
      <c r="J11" s="42"/>
      <c r="K11" s="47"/>
      <c r="L11" s="38"/>
      <c r="M11" s="30">
        <f>64900+1644</f>
        <v>66544</v>
      </c>
      <c r="N11" s="31">
        <v>7300</v>
      </c>
      <c r="P11" s="32">
        <f>N11+M11+L11+I11+C11</f>
        <v>79345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44599</v>
      </c>
      <c r="C12" s="24">
        <v>0</v>
      </c>
      <c r="D12" s="34"/>
      <c r="E12" s="26">
        <v>44599</v>
      </c>
      <c r="F12" s="27">
        <v>67731</v>
      </c>
      <c r="H12" s="35">
        <v>44599</v>
      </c>
      <c r="I12" s="29">
        <v>67</v>
      </c>
      <c r="J12" s="36"/>
      <c r="K12" s="48"/>
      <c r="L12" s="38"/>
      <c r="M12" s="30">
        <f>13164+54500</f>
        <v>67664</v>
      </c>
      <c r="N12" s="31">
        <v>0</v>
      </c>
      <c r="P12" s="32">
        <f t="shared" si="0"/>
        <v>67731</v>
      </c>
      <c r="Q12" s="8">
        <f t="shared" si="1"/>
        <v>0</v>
      </c>
      <c r="R12" s="7"/>
    </row>
    <row r="13" spans="1:21" ht="18" thickBot="1" x14ac:dyDescent="0.35">
      <c r="A13" s="22"/>
      <c r="B13" s="23">
        <v>44600</v>
      </c>
      <c r="C13" s="24">
        <v>0</v>
      </c>
      <c r="D13" s="39"/>
      <c r="E13" s="26">
        <v>44600</v>
      </c>
      <c r="F13" s="27">
        <v>51979</v>
      </c>
      <c r="H13" s="35">
        <v>44600</v>
      </c>
      <c r="I13" s="29">
        <v>8</v>
      </c>
      <c r="J13" s="36"/>
      <c r="K13" s="37"/>
      <c r="L13" s="38"/>
      <c r="M13" s="30">
        <f>21751+29500</f>
        <v>51251</v>
      </c>
      <c r="N13" s="31">
        <v>720</v>
      </c>
      <c r="P13" s="32">
        <f t="shared" si="0"/>
        <v>51979</v>
      </c>
      <c r="Q13" s="12">
        <f t="shared" si="1"/>
        <v>0</v>
      </c>
      <c r="R13" s="177"/>
    </row>
    <row r="14" spans="1:21" ht="18" thickBot="1" x14ac:dyDescent="0.35">
      <c r="A14" s="22"/>
      <c r="B14" s="23">
        <v>44601</v>
      </c>
      <c r="C14" s="24">
        <v>6305</v>
      </c>
      <c r="D14" s="49" t="s">
        <v>129</v>
      </c>
      <c r="E14" s="26">
        <v>44601</v>
      </c>
      <c r="F14" s="27">
        <v>41680</v>
      </c>
      <c r="H14" s="35">
        <v>44601</v>
      </c>
      <c r="I14" s="29">
        <v>69</v>
      </c>
      <c r="J14" s="36"/>
      <c r="K14" s="43"/>
      <c r="L14" s="38"/>
      <c r="M14" s="30">
        <f>16400+18750</f>
        <v>35150</v>
      </c>
      <c r="N14" s="31">
        <v>159</v>
      </c>
      <c r="P14" s="32">
        <f t="shared" si="0"/>
        <v>41683</v>
      </c>
      <c r="Q14" s="12">
        <f t="shared" si="1"/>
        <v>3</v>
      </c>
      <c r="R14" s="177"/>
    </row>
    <row r="15" spans="1:21" ht="18" thickBot="1" x14ac:dyDescent="0.35">
      <c r="A15" s="22"/>
      <c r="B15" s="23">
        <v>44602</v>
      </c>
      <c r="C15" s="24">
        <v>0</v>
      </c>
      <c r="D15" s="49"/>
      <c r="E15" s="26">
        <v>44602</v>
      </c>
      <c r="F15" s="27">
        <v>63053</v>
      </c>
      <c r="H15" s="35">
        <v>44602</v>
      </c>
      <c r="I15" s="29">
        <v>0</v>
      </c>
      <c r="J15" s="36"/>
      <c r="K15" s="43"/>
      <c r="L15" s="38"/>
      <c r="M15" s="30">
        <f>38100+24952+1</f>
        <v>63053</v>
      </c>
      <c r="N15" s="31">
        <v>0</v>
      </c>
      <c r="P15" s="32">
        <f t="shared" si="0"/>
        <v>63053</v>
      </c>
      <c r="Q15" s="12">
        <f t="shared" si="1"/>
        <v>0</v>
      </c>
      <c r="R15" s="7"/>
    </row>
    <row r="16" spans="1:21" ht="18" thickBot="1" x14ac:dyDescent="0.35">
      <c r="A16" s="22"/>
      <c r="B16" s="23">
        <v>44603</v>
      </c>
      <c r="C16" s="24">
        <v>18244</v>
      </c>
      <c r="D16" s="34" t="s">
        <v>49</v>
      </c>
      <c r="E16" s="26">
        <v>44603</v>
      </c>
      <c r="F16" s="27">
        <v>76646</v>
      </c>
      <c r="H16" s="35">
        <v>44603</v>
      </c>
      <c r="I16" s="29">
        <v>33</v>
      </c>
      <c r="J16" s="36"/>
      <c r="K16" s="43"/>
      <c r="L16" s="8"/>
      <c r="M16" s="30">
        <f>32669+25700</f>
        <v>58369</v>
      </c>
      <c r="N16" s="31">
        <v>0</v>
      </c>
      <c r="P16" s="32">
        <f t="shared" si="0"/>
        <v>76646</v>
      </c>
      <c r="Q16" s="8">
        <f t="shared" si="1"/>
        <v>0</v>
      </c>
      <c r="R16" s="7" t="s">
        <v>8</v>
      </c>
    </row>
    <row r="17" spans="1:19" ht="18" thickBot="1" x14ac:dyDescent="0.35">
      <c r="A17" s="22"/>
      <c r="B17" s="23">
        <v>44604</v>
      </c>
      <c r="C17" s="24">
        <v>0</v>
      </c>
      <c r="D17" s="39"/>
      <c r="E17" s="26">
        <v>44604</v>
      </c>
      <c r="F17" s="27">
        <v>64635</v>
      </c>
      <c r="H17" s="35">
        <v>44604</v>
      </c>
      <c r="I17" s="29">
        <v>22</v>
      </c>
      <c r="J17" s="36">
        <v>44604</v>
      </c>
      <c r="K17" s="50" t="s">
        <v>130</v>
      </c>
      <c r="L17" s="46">
        <v>10085.709999999999</v>
      </c>
      <c r="M17" s="30">
        <f>18624+32500</f>
        <v>51124</v>
      </c>
      <c r="N17" s="31">
        <v>3403</v>
      </c>
      <c r="P17" s="32">
        <f t="shared" si="0"/>
        <v>64634.71</v>
      </c>
      <c r="Q17" s="59">
        <f t="shared" si="1"/>
        <v>-0.29000000000087311</v>
      </c>
      <c r="R17" s="7"/>
    </row>
    <row r="18" spans="1:19" ht="18" thickBot="1" x14ac:dyDescent="0.35">
      <c r="A18" s="22"/>
      <c r="B18" s="23">
        <v>44605</v>
      </c>
      <c r="C18" s="24">
        <v>0</v>
      </c>
      <c r="D18" s="34"/>
      <c r="E18" s="26">
        <v>44605</v>
      </c>
      <c r="F18" s="27">
        <v>108725</v>
      </c>
      <c r="H18" s="35">
        <v>44605</v>
      </c>
      <c r="I18" s="29">
        <v>43</v>
      </c>
      <c r="J18" s="36"/>
      <c r="K18" s="51"/>
      <c r="L18" s="38"/>
      <c r="M18" s="30">
        <f>18700+37100+47000+4577</f>
        <v>107377</v>
      </c>
      <c r="N18" s="31">
        <v>1305</v>
      </c>
      <c r="P18" s="32">
        <f t="shared" si="0"/>
        <v>108725</v>
      </c>
      <c r="Q18" s="8">
        <f t="shared" si="1"/>
        <v>0</v>
      </c>
      <c r="R18" s="7"/>
    </row>
    <row r="19" spans="1:19" ht="18" thickBot="1" x14ac:dyDescent="0.35">
      <c r="A19" s="22"/>
      <c r="B19" s="23">
        <v>44606</v>
      </c>
      <c r="C19" s="24">
        <v>0</v>
      </c>
      <c r="D19" s="34"/>
      <c r="E19" s="26">
        <v>44606</v>
      </c>
      <c r="F19" s="27">
        <v>47223</v>
      </c>
      <c r="H19" s="35">
        <v>44606</v>
      </c>
      <c r="I19" s="29">
        <v>52</v>
      </c>
      <c r="J19" s="36"/>
      <c r="K19" s="52"/>
      <c r="L19" s="53"/>
      <c r="M19" s="30">
        <f>30000+16311</f>
        <v>46311</v>
      </c>
      <c r="N19" s="31">
        <v>860</v>
      </c>
      <c r="P19" s="32">
        <f t="shared" si="0"/>
        <v>47223</v>
      </c>
      <c r="Q19" s="8">
        <f t="shared" si="1"/>
        <v>0</v>
      </c>
      <c r="R19" s="7"/>
    </row>
    <row r="20" spans="1:19" ht="18" thickBot="1" x14ac:dyDescent="0.35">
      <c r="A20" s="22"/>
      <c r="B20" s="23">
        <v>44607</v>
      </c>
      <c r="C20" s="24">
        <v>0</v>
      </c>
      <c r="D20" s="34"/>
      <c r="E20" s="26">
        <v>44607</v>
      </c>
      <c r="F20" s="27">
        <v>58969</v>
      </c>
      <c r="H20" s="35">
        <v>44607</v>
      </c>
      <c r="I20" s="29">
        <v>8</v>
      </c>
      <c r="J20" s="36"/>
      <c r="K20" s="54"/>
      <c r="L20" s="46"/>
      <c r="M20" s="30">
        <f>38200+17945</f>
        <v>56145</v>
      </c>
      <c r="N20" s="31">
        <v>2816</v>
      </c>
      <c r="P20" s="32">
        <f t="shared" si="0"/>
        <v>58969</v>
      </c>
      <c r="Q20" s="8">
        <f t="shared" si="1"/>
        <v>0</v>
      </c>
      <c r="R20" s="7"/>
    </row>
    <row r="21" spans="1:19" ht="18" thickBot="1" x14ac:dyDescent="0.35">
      <c r="A21" s="22"/>
      <c r="B21" s="23">
        <v>44608</v>
      </c>
      <c r="C21" s="24">
        <v>3691</v>
      </c>
      <c r="D21" s="34" t="s">
        <v>47</v>
      </c>
      <c r="E21" s="26">
        <v>44608</v>
      </c>
      <c r="F21" s="27">
        <v>37620</v>
      </c>
      <c r="H21" s="35">
        <v>44608</v>
      </c>
      <c r="I21" s="29">
        <v>46</v>
      </c>
      <c r="J21" s="36"/>
      <c r="K21" s="55" t="s">
        <v>131</v>
      </c>
      <c r="L21" s="46"/>
      <c r="M21" s="30">
        <f>18500+15000</f>
        <v>33500</v>
      </c>
      <c r="N21" s="31">
        <v>389</v>
      </c>
      <c r="P21" s="32">
        <f t="shared" si="0"/>
        <v>37626</v>
      </c>
      <c r="Q21" s="12">
        <f t="shared" si="1"/>
        <v>6</v>
      </c>
      <c r="R21" s="7"/>
    </row>
    <row r="22" spans="1:19" ht="18" thickBot="1" x14ac:dyDescent="0.35">
      <c r="A22" s="22"/>
      <c r="B22" s="23">
        <v>44609</v>
      </c>
      <c r="C22" s="24">
        <v>0</v>
      </c>
      <c r="D22" s="34"/>
      <c r="E22" s="26">
        <v>44609</v>
      </c>
      <c r="F22" s="27">
        <v>64651</v>
      </c>
      <c r="H22" s="35">
        <v>44609</v>
      </c>
      <c r="I22" s="29">
        <v>15</v>
      </c>
      <c r="J22" s="36"/>
      <c r="K22" s="33"/>
      <c r="L22" s="56"/>
      <c r="M22" s="30">
        <f>25000+39640</f>
        <v>64640</v>
      </c>
      <c r="N22" s="31">
        <v>0</v>
      </c>
      <c r="P22" s="32">
        <f t="shared" si="0"/>
        <v>64655</v>
      </c>
      <c r="Q22" s="12">
        <f t="shared" si="1"/>
        <v>4</v>
      </c>
      <c r="R22" s="7"/>
    </row>
    <row r="23" spans="1:19" ht="18" thickBot="1" x14ac:dyDescent="0.35">
      <c r="A23" s="22"/>
      <c r="B23" s="23">
        <v>44610</v>
      </c>
      <c r="C23" s="24">
        <v>16295</v>
      </c>
      <c r="D23" s="34" t="s">
        <v>49</v>
      </c>
      <c r="E23" s="26">
        <v>44610</v>
      </c>
      <c r="F23" s="27">
        <v>75549</v>
      </c>
      <c r="H23" s="35">
        <v>44610</v>
      </c>
      <c r="I23" s="29">
        <v>211</v>
      </c>
      <c r="J23" s="57"/>
      <c r="K23" s="58"/>
      <c r="L23" s="46"/>
      <c r="M23" s="30">
        <f>30000+29040</f>
        <v>59040</v>
      </c>
      <c r="N23" s="31">
        <v>0</v>
      </c>
      <c r="P23" s="32">
        <f t="shared" si="0"/>
        <v>75546</v>
      </c>
      <c r="Q23" s="59">
        <f t="shared" si="1"/>
        <v>-3</v>
      </c>
      <c r="R23" s="7"/>
    </row>
    <row r="24" spans="1:19" ht="18" thickBot="1" x14ac:dyDescent="0.35">
      <c r="A24" s="22"/>
      <c r="B24" s="23">
        <v>44611</v>
      </c>
      <c r="C24" s="24">
        <v>0</v>
      </c>
      <c r="D24" s="39"/>
      <c r="E24" s="26">
        <v>44611</v>
      </c>
      <c r="F24" s="27">
        <v>82958</v>
      </c>
      <c r="H24" s="35">
        <v>44611</v>
      </c>
      <c r="I24" s="29">
        <v>360</v>
      </c>
      <c r="J24" s="173">
        <v>44611</v>
      </c>
      <c r="K24" s="60" t="s">
        <v>132</v>
      </c>
      <c r="L24" s="61">
        <v>8850</v>
      </c>
      <c r="M24" s="30">
        <f>45000+20948</f>
        <v>65948</v>
      </c>
      <c r="N24" s="31">
        <v>7800</v>
      </c>
      <c r="P24" s="32">
        <f t="shared" si="0"/>
        <v>82958</v>
      </c>
      <c r="Q24" s="12">
        <f t="shared" si="1"/>
        <v>0</v>
      </c>
      <c r="R24" s="7"/>
    </row>
    <row r="25" spans="1:19" ht="18" thickBot="1" x14ac:dyDescent="0.35">
      <c r="A25" s="22"/>
      <c r="B25" s="23">
        <v>44612</v>
      </c>
      <c r="C25" s="24">
        <v>0</v>
      </c>
      <c r="D25" s="34"/>
      <c r="E25" s="26">
        <v>44612</v>
      </c>
      <c r="F25" s="27">
        <v>106586</v>
      </c>
      <c r="H25" s="35">
        <v>44612</v>
      </c>
      <c r="I25" s="29">
        <v>32</v>
      </c>
      <c r="J25" s="62"/>
      <c r="K25" s="63"/>
      <c r="L25" s="64"/>
      <c r="M25" s="30">
        <f>60000+30000+16000</f>
        <v>106000</v>
      </c>
      <c r="N25" s="31">
        <v>554</v>
      </c>
      <c r="O25" t="s">
        <v>8</v>
      </c>
      <c r="P25" s="32">
        <f t="shared" si="0"/>
        <v>106586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44613</v>
      </c>
      <c r="C26" s="24">
        <v>0</v>
      </c>
      <c r="D26" s="34"/>
      <c r="E26" s="26">
        <v>44613</v>
      </c>
      <c r="F26" s="27">
        <v>47495</v>
      </c>
      <c r="H26" s="35">
        <v>44613</v>
      </c>
      <c r="I26" s="93">
        <v>73</v>
      </c>
      <c r="J26" s="67"/>
      <c r="K26" s="226"/>
      <c r="L26" s="46"/>
      <c r="M26" s="30">
        <f>25440+20000</f>
        <v>45440</v>
      </c>
      <c r="N26" s="31">
        <v>1981</v>
      </c>
      <c r="P26" s="32">
        <f t="shared" si="0"/>
        <v>47494</v>
      </c>
      <c r="Q26" s="59">
        <f t="shared" si="1"/>
        <v>-1</v>
      </c>
      <c r="R26" s="8"/>
    </row>
    <row r="27" spans="1:19" ht="18" thickBot="1" x14ac:dyDescent="0.35">
      <c r="A27" s="22"/>
      <c r="B27" s="23">
        <v>44614</v>
      </c>
      <c r="C27" s="24">
        <v>2720</v>
      </c>
      <c r="D27" s="39" t="s">
        <v>47</v>
      </c>
      <c r="E27" s="26">
        <v>44614</v>
      </c>
      <c r="F27" s="27">
        <v>41772</v>
      </c>
      <c r="H27" s="35">
        <v>44614</v>
      </c>
      <c r="I27" s="29">
        <v>5</v>
      </c>
      <c r="J27" s="65"/>
      <c r="K27" s="66"/>
      <c r="L27" s="64"/>
      <c r="M27" s="30">
        <f>15000+20050</f>
        <v>35050</v>
      </c>
      <c r="N27" s="31">
        <v>4000</v>
      </c>
      <c r="P27" s="32">
        <f t="shared" si="0"/>
        <v>41775</v>
      </c>
      <c r="Q27" s="12">
        <f t="shared" si="1"/>
        <v>3</v>
      </c>
      <c r="R27" s="7"/>
    </row>
    <row r="28" spans="1:19" ht="18" thickBot="1" x14ac:dyDescent="0.35">
      <c r="A28" s="22"/>
      <c r="B28" s="23">
        <v>44615</v>
      </c>
      <c r="C28" s="24">
        <v>0</v>
      </c>
      <c r="D28" s="39"/>
      <c r="E28" s="26">
        <v>44615</v>
      </c>
      <c r="F28" s="27">
        <v>43438</v>
      </c>
      <c r="H28" s="35">
        <v>44615</v>
      </c>
      <c r="I28" s="29">
        <v>969</v>
      </c>
      <c r="J28" s="67"/>
      <c r="K28" s="68"/>
      <c r="L28" s="64"/>
      <c r="M28" s="30">
        <f>31470+10000</f>
        <v>41470</v>
      </c>
      <c r="N28" s="31">
        <v>1000</v>
      </c>
      <c r="P28" s="32">
        <f t="shared" si="0"/>
        <v>43439</v>
      </c>
      <c r="Q28" s="12">
        <f t="shared" si="1"/>
        <v>1</v>
      </c>
      <c r="R28" s="7"/>
    </row>
    <row r="29" spans="1:19" ht="18" thickBot="1" x14ac:dyDescent="0.35">
      <c r="A29" s="22"/>
      <c r="B29" s="23">
        <v>44616</v>
      </c>
      <c r="C29" s="24">
        <v>800</v>
      </c>
      <c r="D29" s="69" t="s">
        <v>133</v>
      </c>
      <c r="E29" s="26">
        <v>44616</v>
      </c>
      <c r="F29" s="27">
        <v>56873</v>
      </c>
      <c r="H29" s="35">
        <v>44616</v>
      </c>
      <c r="I29" s="29">
        <v>410</v>
      </c>
      <c r="J29" s="65"/>
      <c r="K29" s="70"/>
      <c r="L29" s="64"/>
      <c r="M29" s="30">
        <f>39620+15000</f>
        <v>54620</v>
      </c>
      <c r="N29" s="31">
        <v>1040</v>
      </c>
      <c r="P29" s="32">
        <f t="shared" si="0"/>
        <v>56870</v>
      </c>
      <c r="Q29" s="59">
        <f t="shared" si="1"/>
        <v>-3</v>
      </c>
      <c r="R29" s="7"/>
    </row>
    <row r="30" spans="1:19" ht="18" thickBot="1" x14ac:dyDescent="0.35">
      <c r="A30" s="22"/>
      <c r="B30" s="23">
        <v>44617</v>
      </c>
      <c r="C30" s="24">
        <v>0</v>
      </c>
      <c r="D30" s="69"/>
      <c r="E30" s="26">
        <v>44617</v>
      </c>
      <c r="F30" s="27">
        <v>86846</v>
      </c>
      <c r="H30" s="35">
        <v>44617</v>
      </c>
      <c r="I30" s="29">
        <v>180</v>
      </c>
      <c r="J30" s="71"/>
      <c r="K30" s="72"/>
      <c r="L30" s="73"/>
      <c r="M30" s="30">
        <f>40000+46670</f>
        <v>86670</v>
      </c>
      <c r="N30" s="31">
        <v>0</v>
      </c>
      <c r="P30" s="32">
        <f t="shared" si="0"/>
        <v>86850</v>
      </c>
      <c r="Q30" s="8">
        <f t="shared" si="1"/>
        <v>4</v>
      </c>
      <c r="R30" s="7"/>
    </row>
    <row r="31" spans="1:19" ht="18" thickBot="1" x14ac:dyDescent="0.35">
      <c r="A31" s="22"/>
      <c r="B31" s="23">
        <v>44618</v>
      </c>
      <c r="C31" s="24">
        <v>0</v>
      </c>
      <c r="D31" s="81"/>
      <c r="E31" s="26">
        <v>44618</v>
      </c>
      <c r="F31" s="27">
        <v>70043</v>
      </c>
      <c r="H31" s="35">
        <v>44618</v>
      </c>
      <c r="I31" s="29">
        <v>172.5</v>
      </c>
      <c r="J31" s="71">
        <v>44618</v>
      </c>
      <c r="K31" s="74" t="s">
        <v>134</v>
      </c>
      <c r="L31" s="75">
        <v>10371</v>
      </c>
      <c r="M31" s="30">
        <f>15220+35000</f>
        <v>50220</v>
      </c>
      <c r="N31" s="31">
        <v>9280</v>
      </c>
      <c r="P31" s="32">
        <f t="shared" si="0"/>
        <v>70043.5</v>
      </c>
      <c r="Q31" s="8">
        <f t="shared" si="1"/>
        <v>0.5</v>
      </c>
      <c r="R31" s="7"/>
    </row>
    <row r="32" spans="1:19" ht="18" thickBot="1" x14ac:dyDescent="0.35">
      <c r="A32" s="22"/>
      <c r="B32" s="23">
        <v>44619</v>
      </c>
      <c r="C32" s="24">
        <v>18265</v>
      </c>
      <c r="D32" s="76" t="s">
        <v>49</v>
      </c>
      <c r="E32" s="26">
        <v>44619</v>
      </c>
      <c r="F32" s="27">
        <v>112057</v>
      </c>
      <c r="H32" s="35">
        <v>44619</v>
      </c>
      <c r="I32" s="29">
        <v>0</v>
      </c>
      <c r="J32" s="71"/>
      <c r="K32" s="72"/>
      <c r="L32" s="73"/>
      <c r="M32" s="30">
        <f>45000+35000+9120</f>
        <v>89120</v>
      </c>
      <c r="N32" s="31">
        <v>4667</v>
      </c>
      <c r="P32" s="32">
        <f t="shared" si="0"/>
        <v>112052</v>
      </c>
      <c r="Q32" s="41">
        <f t="shared" si="1"/>
        <v>-5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/>
      <c r="K34" s="213"/>
      <c r="L34" s="78"/>
      <c r="M34" s="212">
        <v>0</v>
      </c>
      <c r="N34" s="31">
        <v>0</v>
      </c>
      <c r="P34" s="32">
        <f t="shared" si="0"/>
        <v>0</v>
      </c>
      <c r="Q34" s="8">
        <f t="shared" si="1"/>
        <v>0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 t="s">
        <v>124</v>
      </c>
      <c r="L35" s="78">
        <v>549</v>
      </c>
      <c r="M35" s="212">
        <v>0</v>
      </c>
      <c r="N35" s="31">
        <v>0</v>
      </c>
      <c r="P35" s="32">
        <f t="shared" si="0"/>
        <v>549</v>
      </c>
      <c r="Q35" s="8">
        <f t="shared" si="1"/>
        <v>549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/>
      <c r="K36" s="227" t="s">
        <v>206</v>
      </c>
      <c r="L36" s="78">
        <v>1195.68</v>
      </c>
      <c r="M36" s="212">
        <v>0</v>
      </c>
      <c r="N36" s="31">
        <v>0</v>
      </c>
      <c r="P36" s="32">
        <f t="shared" si="0"/>
        <v>1195.68</v>
      </c>
      <c r="Q36" s="8">
        <f t="shared" si="1"/>
        <v>1195.68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/>
      <c r="K37" s="213" t="s">
        <v>204</v>
      </c>
      <c r="L37" s="78">
        <v>1055.9100000000001</v>
      </c>
      <c r="M37" s="212">
        <v>0</v>
      </c>
      <c r="N37" s="31">
        <v>0</v>
      </c>
      <c r="P37" s="32">
        <f t="shared" si="0"/>
        <v>1055.9100000000001</v>
      </c>
      <c r="Q37" s="8">
        <f t="shared" si="1"/>
        <v>1055.9100000000001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205</v>
      </c>
      <c r="L38" s="78">
        <v>1392</v>
      </c>
      <c r="M38" s="212">
        <v>0</v>
      </c>
      <c r="N38" s="31">
        <v>0</v>
      </c>
      <c r="P38" s="32">
        <f t="shared" si="0"/>
        <v>1392</v>
      </c>
      <c r="Q38" s="8">
        <f t="shared" si="1"/>
        <v>1392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207</v>
      </c>
      <c r="L39" s="78">
        <v>828.48</v>
      </c>
      <c r="M39" s="212">
        <v>0</v>
      </c>
      <c r="N39" s="31">
        <v>0</v>
      </c>
      <c r="P39" s="32">
        <f t="shared" si="0"/>
        <v>828.48</v>
      </c>
      <c r="Q39" s="8">
        <f t="shared" si="1"/>
        <v>828.48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8"/>
      <c r="M40" s="434">
        <f>SUM(M5:M39)</f>
        <v>1636108</v>
      </c>
      <c r="N40" s="418">
        <f>SUM(N5:N39)</f>
        <v>55675</v>
      </c>
      <c r="P40" s="32">
        <f>SUM(P5:P39)</f>
        <v>1826260.2799999998</v>
      </c>
      <c r="Q40" s="8">
        <f>SUM(Q5:Q38)</f>
        <v>4201.7999999999993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417"/>
      <c r="N41" s="419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88843</v>
      </c>
      <c r="D51" s="103"/>
      <c r="E51" s="104" t="s">
        <v>9</v>
      </c>
      <c r="F51" s="105">
        <f>SUM(F5:F50)</f>
        <v>1820920</v>
      </c>
      <c r="G51" s="103"/>
      <c r="H51" s="106" t="s">
        <v>10</v>
      </c>
      <c r="I51" s="107">
        <f>SUM(I5:I50)</f>
        <v>3356.5</v>
      </c>
      <c r="J51" s="108"/>
      <c r="K51" s="109" t="s">
        <v>11</v>
      </c>
      <c r="L51" s="110">
        <f>SUM(L5:L50)</f>
        <v>42277.780000000006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20" t="s">
        <v>12</v>
      </c>
      <c r="I53" s="421"/>
      <c r="J53" s="114"/>
      <c r="K53" s="422">
        <f>I51+L51</f>
        <v>45634.280000000006</v>
      </c>
      <c r="L53" s="423"/>
      <c r="M53" s="424">
        <f>N40+M40</f>
        <v>1691783</v>
      </c>
      <c r="N53" s="425"/>
      <c r="P53" s="32"/>
      <c r="Q53" s="8"/>
    </row>
    <row r="54" spans="1:17" ht="15.75" x14ac:dyDescent="0.25">
      <c r="D54" s="426" t="s">
        <v>13</v>
      </c>
      <c r="E54" s="426"/>
      <c r="F54" s="115">
        <f>F51-K53-C51</f>
        <v>1686442.72</v>
      </c>
      <c r="I54" s="116"/>
      <c r="J54" s="117"/>
      <c r="P54" s="32"/>
      <c r="Q54" s="8"/>
    </row>
    <row r="55" spans="1:17" ht="18.75" x14ac:dyDescent="0.3">
      <c r="D55" s="427" t="s">
        <v>14</v>
      </c>
      <c r="E55" s="427"/>
      <c r="F55" s="111">
        <v>-1631962.77</v>
      </c>
      <c r="I55" s="428" t="s">
        <v>15</v>
      </c>
      <c r="J55" s="429"/>
      <c r="K55" s="430">
        <f>F57+F58+F59</f>
        <v>238822.13999999996</v>
      </c>
      <c r="L55" s="43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54479.949999999953</v>
      </c>
      <c r="H57" s="22"/>
      <c r="I57" s="124" t="s">
        <v>17</v>
      </c>
      <c r="J57" s="125"/>
      <c r="K57" s="432">
        <f>-C4</f>
        <v>-154314.51999999999</v>
      </c>
      <c r="L57" s="433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>
        <v>44619</v>
      </c>
      <c r="D59" s="409" t="s">
        <v>20</v>
      </c>
      <c r="E59" s="410"/>
      <c r="F59" s="129">
        <v>184342.19</v>
      </c>
      <c r="I59" s="411" t="s">
        <v>168</v>
      </c>
      <c r="J59" s="412"/>
      <c r="K59" s="413">
        <f>K55+K57</f>
        <v>84507.619999999966</v>
      </c>
      <c r="L59" s="41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19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01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03">
        <v>44592</v>
      </c>
      <c r="B3" s="186" t="s">
        <v>121</v>
      </c>
      <c r="C3" s="187">
        <v>121165.94</v>
      </c>
      <c r="D3" s="199">
        <v>44596</v>
      </c>
      <c r="E3" s="200">
        <v>121165.94</v>
      </c>
      <c r="F3" s="152">
        <f>C3-E3</f>
        <v>0</v>
      </c>
    </row>
    <row r="4" spans="1:7" ht="15.75" x14ac:dyDescent="0.25">
      <c r="A4" s="203">
        <v>44593</v>
      </c>
      <c r="B4" s="186" t="s">
        <v>136</v>
      </c>
      <c r="C4" s="187">
        <v>5368.44</v>
      </c>
      <c r="D4" s="198">
        <v>44596</v>
      </c>
      <c r="E4" s="183">
        <v>5368.44</v>
      </c>
      <c r="F4" s="152">
        <f>C4-E4</f>
        <v>0</v>
      </c>
    </row>
    <row r="5" spans="1:7" ht="15.75" x14ac:dyDescent="0.25">
      <c r="A5" s="203">
        <v>44594</v>
      </c>
      <c r="B5" s="186" t="s">
        <v>137</v>
      </c>
      <c r="C5" s="187">
        <v>67800.3</v>
      </c>
      <c r="D5" s="198">
        <v>44596</v>
      </c>
      <c r="E5" s="183">
        <v>67800.3</v>
      </c>
      <c r="F5" s="188">
        <f>C5-E5+F4</f>
        <v>0</v>
      </c>
    </row>
    <row r="6" spans="1:7" ht="15.75" x14ac:dyDescent="0.25">
      <c r="A6" s="203">
        <v>44596</v>
      </c>
      <c r="B6" s="186" t="s">
        <v>138</v>
      </c>
      <c r="C6" s="187">
        <v>82150.22</v>
      </c>
      <c r="D6" s="198">
        <v>44596</v>
      </c>
      <c r="E6" s="183">
        <v>82150.22</v>
      </c>
      <c r="F6" s="155">
        <f>C6-E6+F5</f>
        <v>0</v>
      </c>
    </row>
    <row r="7" spans="1:7" ht="18.75" x14ac:dyDescent="0.3">
      <c r="A7" s="203">
        <v>44597</v>
      </c>
      <c r="B7" s="186" t="s">
        <v>139</v>
      </c>
      <c r="C7" s="187">
        <v>1276.5</v>
      </c>
      <c r="D7" s="192"/>
      <c r="E7" s="187"/>
      <c r="F7" s="155">
        <f>F6+C7-E7</f>
        <v>1276.5</v>
      </c>
      <c r="G7" s="156"/>
    </row>
    <row r="8" spans="1:7" ht="15.75" x14ac:dyDescent="0.25">
      <c r="A8" s="203">
        <v>44597</v>
      </c>
      <c r="B8" s="186" t="s">
        <v>140</v>
      </c>
      <c r="C8" s="187">
        <v>34446.5</v>
      </c>
      <c r="D8" s="192"/>
      <c r="E8" s="187"/>
      <c r="F8" s="155">
        <f t="shared" ref="F8" si="0">F7+C8-E8</f>
        <v>35723</v>
      </c>
    </row>
    <row r="9" spans="1:7" ht="15.75" x14ac:dyDescent="0.25">
      <c r="A9" s="203">
        <v>44597</v>
      </c>
      <c r="B9" s="186" t="s">
        <v>141</v>
      </c>
      <c r="C9" s="187">
        <v>105739.83</v>
      </c>
      <c r="D9" s="192"/>
      <c r="E9" s="187"/>
      <c r="F9" s="155">
        <f>F8+C9-E9</f>
        <v>141462.83000000002</v>
      </c>
    </row>
    <row r="10" spans="1:7" ht="15.75" x14ac:dyDescent="0.25">
      <c r="A10" s="203">
        <v>44599</v>
      </c>
      <c r="B10" s="186" t="s">
        <v>142</v>
      </c>
      <c r="C10" s="187">
        <v>19806.88</v>
      </c>
      <c r="D10" s="192"/>
      <c r="E10" s="187"/>
      <c r="F10" s="155">
        <f>F9+C10-E10</f>
        <v>161269.71000000002</v>
      </c>
    </row>
    <row r="11" spans="1:7" ht="15.75" x14ac:dyDescent="0.25">
      <c r="A11" s="203">
        <v>44599</v>
      </c>
      <c r="B11" s="186" t="s">
        <v>143</v>
      </c>
      <c r="C11" s="187">
        <v>2830.84</v>
      </c>
      <c r="D11" s="192"/>
      <c r="E11" s="187"/>
      <c r="F11" s="155">
        <f>F10+C11-E11</f>
        <v>164100.55000000002</v>
      </c>
    </row>
    <row r="12" spans="1:7" ht="15.75" x14ac:dyDescent="0.25">
      <c r="A12" s="203">
        <v>44600</v>
      </c>
      <c r="B12" s="186" t="s">
        <v>144</v>
      </c>
      <c r="C12" s="187">
        <v>81188.800000000003</v>
      </c>
      <c r="D12" s="192"/>
      <c r="E12" s="187"/>
      <c r="F12" s="155">
        <f t="shared" ref="F12:F51" si="1">F11+C12-E12</f>
        <v>245289.35000000003</v>
      </c>
    </row>
    <row r="13" spans="1:7" ht="18.75" x14ac:dyDescent="0.3">
      <c r="A13" s="203">
        <v>44601</v>
      </c>
      <c r="B13" s="186" t="s">
        <v>145</v>
      </c>
      <c r="C13" s="187">
        <v>38204.76</v>
      </c>
      <c r="D13" s="192"/>
      <c r="E13" s="187"/>
      <c r="F13" s="155">
        <f t="shared" si="1"/>
        <v>283494.11000000004</v>
      </c>
      <c r="G13" s="156"/>
    </row>
    <row r="14" spans="1:7" ht="15.75" x14ac:dyDescent="0.25">
      <c r="A14" s="203">
        <v>44601</v>
      </c>
      <c r="B14" s="186" t="s">
        <v>146</v>
      </c>
      <c r="C14" s="187">
        <v>59088.9</v>
      </c>
      <c r="D14" s="192"/>
      <c r="E14" s="187"/>
      <c r="F14" s="155">
        <f t="shared" si="1"/>
        <v>342583.01000000007</v>
      </c>
    </row>
    <row r="15" spans="1:7" ht="15.75" x14ac:dyDescent="0.25">
      <c r="A15" s="203">
        <v>44603</v>
      </c>
      <c r="B15" s="186" t="s">
        <v>147</v>
      </c>
      <c r="C15" s="187">
        <v>55757.3</v>
      </c>
      <c r="D15" s="192"/>
      <c r="E15" s="187"/>
      <c r="F15" s="155">
        <f t="shared" si="1"/>
        <v>398340.31000000006</v>
      </c>
    </row>
    <row r="16" spans="1:7" ht="15.75" x14ac:dyDescent="0.25">
      <c r="A16" s="203">
        <v>44603</v>
      </c>
      <c r="B16" s="186" t="s">
        <v>148</v>
      </c>
      <c r="C16" s="187">
        <v>50617.440000000002</v>
      </c>
      <c r="D16" s="205">
        <v>44603</v>
      </c>
      <c r="E16" s="206">
        <v>448957.75</v>
      </c>
      <c r="F16" s="155">
        <f t="shared" si="1"/>
        <v>0</v>
      </c>
    </row>
    <row r="17" spans="1:7" ht="15.75" x14ac:dyDescent="0.25">
      <c r="A17" s="203">
        <v>44604</v>
      </c>
      <c r="B17" s="186" t="s">
        <v>149</v>
      </c>
      <c r="C17" s="187">
        <v>57701.599999999999</v>
      </c>
      <c r="D17" s="192"/>
      <c r="E17" s="187"/>
      <c r="F17" s="155">
        <f t="shared" si="1"/>
        <v>57701.599999999999</v>
      </c>
    </row>
    <row r="18" spans="1:7" ht="15.75" x14ac:dyDescent="0.25">
      <c r="A18" s="203">
        <v>44606</v>
      </c>
      <c r="B18" s="186" t="s">
        <v>150</v>
      </c>
      <c r="C18" s="187">
        <v>100500.86</v>
      </c>
      <c r="D18" s="192"/>
      <c r="E18" s="187"/>
      <c r="F18" s="155">
        <f t="shared" si="1"/>
        <v>158202.46</v>
      </c>
    </row>
    <row r="19" spans="1:7" ht="15.75" x14ac:dyDescent="0.25">
      <c r="A19" s="203">
        <v>44607</v>
      </c>
      <c r="B19" s="186" t="s">
        <v>151</v>
      </c>
      <c r="C19" s="187">
        <v>12524</v>
      </c>
      <c r="D19" s="192"/>
      <c r="E19" s="187"/>
      <c r="F19" s="155">
        <f t="shared" si="1"/>
        <v>170726.46</v>
      </c>
    </row>
    <row r="20" spans="1:7" ht="15.75" x14ac:dyDescent="0.25">
      <c r="A20" s="203">
        <v>44608</v>
      </c>
      <c r="B20" s="186" t="s">
        <v>152</v>
      </c>
      <c r="C20" s="187">
        <v>122099.28</v>
      </c>
      <c r="D20" s="192"/>
      <c r="E20" s="187"/>
      <c r="F20" s="155">
        <f t="shared" si="1"/>
        <v>292825.74</v>
      </c>
    </row>
    <row r="21" spans="1:7" ht="15.75" x14ac:dyDescent="0.25">
      <c r="A21" s="203">
        <v>44608</v>
      </c>
      <c r="B21" s="186" t="s">
        <v>153</v>
      </c>
      <c r="C21" s="187">
        <v>4846.3999999999996</v>
      </c>
      <c r="D21" s="192"/>
      <c r="E21" s="187"/>
      <c r="F21" s="155">
        <f t="shared" si="1"/>
        <v>297672.14</v>
      </c>
    </row>
    <row r="22" spans="1:7" ht="15.75" x14ac:dyDescent="0.25">
      <c r="A22" s="203">
        <v>44609</v>
      </c>
      <c r="B22" s="186" t="s">
        <v>154</v>
      </c>
      <c r="C22" s="187">
        <v>3707.2</v>
      </c>
      <c r="D22" s="192"/>
      <c r="E22" s="187"/>
      <c r="F22" s="155">
        <f t="shared" si="1"/>
        <v>301379.34000000003</v>
      </c>
    </row>
    <row r="23" spans="1:7" ht="15.75" x14ac:dyDescent="0.25">
      <c r="A23" s="203">
        <v>44610</v>
      </c>
      <c r="B23" s="186" t="s">
        <v>155</v>
      </c>
      <c r="C23" s="187">
        <v>130649.11</v>
      </c>
      <c r="D23" s="210">
        <v>44610</v>
      </c>
      <c r="E23" s="209">
        <v>432028.45</v>
      </c>
      <c r="F23" s="155">
        <f t="shared" si="1"/>
        <v>0</v>
      </c>
    </row>
    <row r="24" spans="1:7" ht="15.75" x14ac:dyDescent="0.25">
      <c r="A24" s="203">
        <v>44610</v>
      </c>
      <c r="B24" s="186" t="s">
        <v>156</v>
      </c>
      <c r="C24" s="187">
        <v>1371.2</v>
      </c>
      <c r="D24" s="192"/>
      <c r="E24" s="187"/>
      <c r="F24" s="155">
        <f t="shared" si="1"/>
        <v>1371.2</v>
      </c>
    </row>
    <row r="25" spans="1:7" ht="18.75" x14ac:dyDescent="0.3">
      <c r="A25" s="203">
        <v>44610</v>
      </c>
      <c r="B25" s="186" t="s">
        <v>157</v>
      </c>
      <c r="C25" s="187">
        <v>4899.55</v>
      </c>
      <c r="D25" s="192"/>
      <c r="E25" s="187"/>
      <c r="F25" s="155">
        <f t="shared" si="1"/>
        <v>6270.75</v>
      </c>
      <c r="G25" s="156"/>
    </row>
    <row r="26" spans="1:7" ht="15.75" x14ac:dyDescent="0.25">
      <c r="A26" s="203">
        <v>44611</v>
      </c>
      <c r="B26" s="186" t="s">
        <v>158</v>
      </c>
      <c r="C26" s="187">
        <v>56596.6</v>
      </c>
      <c r="D26" s="192"/>
      <c r="E26" s="187"/>
      <c r="F26" s="155">
        <f t="shared" si="1"/>
        <v>62867.35</v>
      </c>
    </row>
    <row r="27" spans="1:7" ht="15.75" x14ac:dyDescent="0.25">
      <c r="A27" s="203">
        <v>44611</v>
      </c>
      <c r="B27" s="186" t="s">
        <v>159</v>
      </c>
      <c r="C27" s="187">
        <v>2100</v>
      </c>
      <c r="D27" s="192"/>
      <c r="E27" s="187"/>
      <c r="F27" s="155">
        <f t="shared" si="1"/>
        <v>64967.35</v>
      </c>
    </row>
    <row r="28" spans="1:7" ht="15.75" x14ac:dyDescent="0.25">
      <c r="A28" s="203">
        <v>44613</v>
      </c>
      <c r="B28" s="186" t="s">
        <v>160</v>
      </c>
      <c r="C28" s="187">
        <v>56699.519999999997</v>
      </c>
      <c r="D28" s="192"/>
      <c r="E28" s="187"/>
      <c r="F28" s="155">
        <f t="shared" si="1"/>
        <v>121666.87</v>
      </c>
    </row>
    <row r="29" spans="1:7" ht="15.75" x14ac:dyDescent="0.25">
      <c r="A29" s="203">
        <v>44613</v>
      </c>
      <c r="B29" s="186" t="s">
        <v>161</v>
      </c>
      <c r="C29" s="187">
        <v>6470</v>
      </c>
      <c r="D29" s="192"/>
      <c r="E29" s="187"/>
      <c r="F29" s="155">
        <f t="shared" si="1"/>
        <v>128136.87</v>
      </c>
    </row>
    <row r="30" spans="1:7" ht="15.75" x14ac:dyDescent="0.25">
      <c r="A30" s="203">
        <v>44613</v>
      </c>
      <c r="B30" s="186" t="s">
        <v>162</v>
      </c>
      <c r="C30" s="187">
        <v>5335</v>
      </c>
      <c r="D30" s="192"/>
      <c r="E30" s="187"/>
      <c r="F30" s="155">
        <f t="shared" si="1"/>
        <v>133471.87</v>
      </c>
    </row>
    <row r="31" spans="1:7" ht="15.75" x14ac:dyDescent="0.25">
      <c r="A31" s="203">
        <v>44615</v>
      </c>
      <c r="B31" s="186" t="s">
        <v>163</v>
      </c>
      <c r="C31" s="187">
        <v>105683.1</v>
      </c>
      <c r="D31" s="192"/>
      <c r="E31" s="187"/>
      <c r="F31" s="155">
        <f t="shared" si="1"/>
        <v>239154.97</v>
      </c>
    </row>
    <row r="32" spans="1:7" ht="15.75" x14ac:dyDescent="0.25">
      <c r="A32" s="203">
        <v>44616</v>
      </c>
      <c r="B32" s="186" t="s">
        <v>164</v>
      </c>
      <c r="C32" s="187">
        <v>40039.56</v>
      </c>
      <c r="D32" s="192"/>
      <c r="E32" s="187"/>
      <c r="F32" s="155">
        <f t="shared" si="1"/>
        <v>279194.53000000003</v>
      </c>
    </row>
    <row r="33" spans="1:7" ht="18.75" x14ac:dyDescent="0.3">
      <c r="A33" s="203">
        <v>44616</v>
      </c>
      <c r="B33" s="186" t="s">
        <v>165</v>
      </c>
      <c r="C33" s="187">
        <v>1553.4</v>
      </c>
      <c r="D33" s="192"/>
      <c r="E33" s="187"/>
      <c r="F33" s="155">
        <f t="shared" si="1"/>
        <v>280747.93000000005</v>
      </c>
      <c r="G33" s="156"/>
    </row>
    <row r="34" spans="1:7" ht="15.75" x14ac:dyDescent="0.25">
      <c r="A34" s="203">
        <v>44617</v>
      </c>
      <c r="B34" s="186" t="s">
        <v>166</v>
      </c>
      <c r="C34" s="187">
        <v>97272.02</v>
      </c>
      <c r="D34" s="211">
        <v>44620</v>
      </c>
      <c r="E34" s="184">
        <v>378019.95</v>
      </c>
      <c r="F34" s="155">
        <f t="shared" si="1"/>
        <v>0</v>
      </c>
    </row>
    <row r="35" spans="1:7" ht="15.75" x14ac:dyDescent="0.25">
      <c r="A35" s="203">
        <v>44618</v>
      </c>
      <c r="B35" s="186" t="s">
        <v>167</v>
      </c>
      <c r="C35" s="187">
        <v>96471.72</v>
      </c>
      <c r="D35" s="228">
        <v>44624</v>
      </c>
      <c r="E35" s="189">
        <v>96471.72</v>
      </c>
      <c r="F35" s="155">
        <f t="shared" si="1"/>
        <v>0</v>
      </c>
    </row>
    <row r="36" spans="1:7" ht="15.75" x14ac:dyDescent="0.25">
      <c r="A36" s="203"/>
      <c r="B36" s="186"/>
      <c r="C36" s="187"/>
      <c r="D36" s="192"/>
      <c r="E36" s="187"/>
      <c r="F36" s="155">
        <f t="shared" si="1"/>
        <v>0</v>
      </c>
    </row>
    <row r="37" spans="1:7" ht="15.75" x14ac:dyDescent="0.25">
      <c r="A37" s="203"/>
      <c r="B37" s="186"/>
      <c r="C37" s="187"/>
      <c r="D37" s="192"/>
      <c r="E37" s="187"/>
      <c r="F37" s="155">
        <f t="shared" si="1"/>
        <v>0</v>
      </c>
    </row>
    <row r="38" spans="1:7" ht="15.75" x14ac:dyDescent="0.25">
      <c r="A38" s="203"/>
      <c r="B38" s="186"/>
      <c r="C38" s="187"/>
      <c r="D38" s="192"/>
      <c r="E38" s="187"/>
      <c r="F38" s="155">
        <f t="shared" si="1"/>
        <v>0</v>
      </c>
    </row>
    <row r="39" spans="1:7" ht="15.75" x14ac:dyDescent="0.25">
      <c r="A39" s="157"/>
      <c r="B39" s="154"/>
      <c r="C39" s="84"/>
      <c r="D39" s="153"/>
      <c r="E39" s="84"/>
      <c r="F39" s="155">
        <f t="shared" si="1"/>
        <v>0</v>
      </c>
    </row>
    <row r="40" spans="1:7" ht="15.75" x14ac:dyDescent="0.25">
      <c r="A40" s="157"/>
      <c r="B40" s="154"/>
      <c r="C40" s="84"/>
      <c r="D40" s="153"/>
      <c r="E40" s="84"/>
      <c r="F40" s="155">
        <f t="shared" si="1"/>
        <v>0</v>
      </c>
    </row>
    <row r="41" spans="1:7" ht="16.5" thickBot="1" x14ac:dyDescent="0.3">
      <c r="A41" s="157"/>
      <c r="B41" s="154"/>
      <c r="C41" s="84"/>
      <c r="D41" s="153"/>
      <c r="E41" s="84"/>
      <c r="F41" s="155">
        <f t="shared" si="1"/>
        <v>0</v>
      </c>
    </row>
    <row r="42" spans="1:7" ht="15" hidden="1" customHeight="1" x14ac:dyDescent="0.25">
      <c r="A42" s="158"/>
      <c r="B42" s="159"/>
      <c r="C42" s="160"/>
      <c r="D42" s="153"/>
      <c r="E42" s="84"/>
      <c r="F42" s="155">
        <f t="shared" si="1"/>
        <v>0</v>
      </c>
    </row>
    <row r="43" spans="1:7" ht="16.5" hidden="1" thickBot="1" x14ac:dyDescent="0.3">
      <c r="A43" s="158"/>
      <c r="B43" s="159"/>
      <c r="C43" s="160"/>
      <c r="D43" s="153"/>
      <c r="E43" s="84"/>
      <c r="F43" s="155">
        <f t="shared" si="1"/>
        <v>0</v>
      </c>
    </row>
    <row r="44" spans="1:7" ht="16.5" hidden="1" thickBot="1" x14ac:dyDescent="0.3">
      <c r="A44" s="158"/>
      <c r="B44" s="159"/>
      <c r="C44" s="160"/>
      <c r="D44" s="153"/>
      <c r="E44" s="84"/>
      <c r="F44" s="155">
        <f t="shared" si="1"/>
        <v>0</v>
      </c>
    </row>
    <row r="45" spans="1:7" ht="16.5" hidden="1" thickBot="1" x14ac:dyDescent="0.3">
      <c r="A45" s="158"/>
      <c r="B45" s="159"/>
      <c r="C45" s="160"/>
      <c r="D45" s="153"/>
      <c r="E45" s="84"/>
      <c r="F45" s="155">
        <f t="shared" si="1"/>
        <v>0</v>
      </c>
    </row>
    <row r="46" spans="1:7" ht="16.5" hidden="1" thickBot="1" x14ac:dyDescent="0.3">
      <c r="A46" s="158"/>
      <c r="B46" s="159"/>
      <c r="C46" s="160"/>
      <c r="D46" s="153"/>
      <c r="E46" s="84"/>
      <c r="F46" s="155">
        <f t="shared" si="1"/>
        <v>0</v>
      </c>
    </row>
    <row r="47" spans="1:7" ht="16.5" hidden="1" thickBot="1" x14ac:dyDescent="0.3">
      <c r="A47" s="158"/>
      <c r="B47" s="159"/>
      <c r="C47" s="160"/>
      <c r="D47" s="153"/>
      <c r="E47" s="84"/>
      <c r="F47" s="155">
        <f t="shared" si="1"/>
        <v>0</v>
      </c>
    </row>
    <row r="48" spans="1:7" ht="16.5" hidden="1" thickBot="1" x14ac:dyDescent="0.3">
      <c r="A48" s="158"/>
      <c r="B48" s="159"/>
      <c r="C48" s="160"/>
      <c r="D48" s="153"/>
      <c r="E48" s="84"/>
      <c r="F48" s="155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55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55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55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55">
        <f t="shared" ref="F52:F76" si="2">F51+C52-E52</f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55">
        <f t="shared" si="2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55">
        <f t="shared" si="2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55">
        <f t="shared" si="2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55">
        <f t="shared" si="2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55">
        <f t="shared" si="2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55">
        <f t="shared" si="2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55">
        <f t="shared" si="2"/>
        <v>0</v>
      </c>
    </row>
    <row r="60" spans="1:6" ht="16.5" hidden="1" thickBot="1" x14ac:dyDescent="0.3">
      <c r="A60" s="161"/>
      <c r="B60" s="162"/>
      <c r="C60" s="163"/>
      <c r="D60" s="164"/>
      <c r="E60" s="32"/>
      <c r="F60" s="155">
        <f t="shared" si="2"/>
        <v>0</v>
      </c>
    </row>
    <row r="61" spans="1:6" ht="16.5" hidden="1" thickBot="1" x14ac:dyDescent="0.3">
      <c r="A61" s="161"/>
      <c r="B61" s="162"/>
      <c r="C61" s="163"/>
      <c r="D61" s="164"/>
      <c r="E61" s="32"/>
      <c r="F61" s="155">
        <f t="shared" si="2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55">
        <f t="shared" si="2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55">
        <f t="shared" si="2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55">
        <f t="shared" si="2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55">
        <f t="shared" si="2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2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2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2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2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2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2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2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2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2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si="2"/>
        <v>0</v>
      </c>
    </row>
    <row r="76" spans="1:6" ht="16.5" hidden="1" thickBot="1" x14ac:dyDescent="0.3">
      <c r="A76" s="165"/>
      <c r="B76" s="166"/>
      <c r="C76" s="32">
        <v>0</v>
      </c>
      <c r="D76" s="164"/>
      <c r="E76" s="32"/>
      <c r="F76" s="155">
        <f t="shared" si="2"/>
        <v>0</v>
      </c>
    </row>
    <row r="77" spans="1:6" ht="19.5" thickBot="1" x14ac:dyDescent="0.35">
      <c r="A77" s="204"/>
      <c r="B77" s="168"/>
      <c r="C77" s="169">
        <f>SUM(C3:C76)</f>
        <v>1631962.7700000003</v>
      </c>
      <c r="D77" s="181"/>
      <c r="E77" s="170">
        <f>SUM(E6:E76)</f>
        <v>1437628.0899999999</v>
      </c>
      <c r="F77" s="171">
        <f>F76</f>
        <v>0</v>
      </c>
    </row>
    <row r="78" spans="1:6" x14ac:dyDescent="0.25">
      <c r="D78" s="164"/>
    </row>
    <row r="79" spans="1:6" x14ac:dyDescent="0.25">
      <c r="D79" s="164"/>
    </row>
    <row r="80" spans="1:6" x14ac:dyDescent="0.25">
      <c r="B80" s="182"/>
    </row>
    <row r="81" spans="2:6" x14ac:dyDescent="0.25">
      <c r="B81" s="182"/>
    </row>
    <row r="82" spans="2:6" x14ac:dyDescent="0.25">
      <c r="B82" s="182"/>
    </row>
    <row r="83" spans="2:6" x14ac:dyDescent="0.25">
      <c r="B83" s="182"/>
      <c r="F83" s="33"/>
    </row>
    <row r="84" spans="2:6" x14ac:dyDescent="0.25">
      <c r="B84" s="182"/>
      <c r="F84" s="33"/>
    </row>
    <row r="85" spans="2:6" x14ac:dyDescent="0.25">
      <c r="B85" s="182"/>
      <c r="F85" s="33"/>
    </row>
    <row r="86" spans="2:6" x14ac:dyDescent="0.25">
      <c r="B86" s="182"/>
      <c r="F86" s="33"/>
    </row>
    <row r="87" spans="2:6" x14ac:dyDescent="0.25">
      <c r="B87" s="182"/>
      <c r="F87" s="33"/>
    </row>
    <row r="88" spans="2:6" x14ac:dyDescent="0.25">
      <c r="B88" s="182"/>
      <c r="F88" s="33"/>
    </row>
    <row r="89" spans="2:6" x14ac:dyDescent="0.25">
      <c r="B89" s="182"/>
      <c r="F89" s="33"/>
    </row>
    <row r="90" spans="2:6" x14ac:dyDescent="0.25">
      <c r="B90" s="182"/>
      <c r="F90" s="33"/>
    </row>
    <row r="91" spans="2:6" x14ac:dyDescent="0.25">
      <c r="B91" s="182"/>
      <c r="F91" s="33"/>
    </row>
    <row r="92" spans="2:6" x14ac:dyDescent="0.25">
      <c r="B92" s="182"/>
      <c r="E92" s="33"/>
      <c r="F92" s="33"/>
    </row>
    <row r="93" spans="2:6" x14ac:dyDescent="0.25">
      <c r="B93" s="182"/>
      <c r="E93" s="33"/>
      <c r="F93" s="33"/>
    </row>
    <row r="94" spans="2:6" x14ac:dyDescent="0.25">
      <c r="B94" s="182"/>
      <c r="E94" s="33"/>
      <c r="F94" s="33"/>
    </row>
    <row r="95" spans="2:6" x14ac:dyDescent="0.25">
      <c r="B95" s="182"/>
      <c r="E95" s="33"/>
      <c r="F95" s="33"/>
    </row>
    <row r="96" spans="2:6" x14ac:dyDescent="0.25">
      <c r="B96" s="182"/>
      <c r="E96" s="33"/>
      <c r="F96" s="33"/>
    </row>
    <row r="97" spans="2:6" x14ac:dyDescent="0.25">
      <c r="B97" s="182"/>
      <c r="E97" s="33"/>
      <c r="F97" s="33"/>
    </row>
    <row r="98" spans="2:6" x14ac:dyDescent="0.25">
      <c r="B98" s="182"/>
      <c r="E98" s="33"/>
    </row>
    <row r="99" spans="2:6" x14ac:dyDescent="0.25">
      <c r="B99" s="182"/>
      <c r="E99" s="33"/>
    </row>
    <row r="100" spans="2:6" x14ac:dyDescent="0.25">
      <c r="B100" s="182"/>
      <c r="E100" s="33"/>
    </row>
    <row r="101" spans="2:6" x14ac:dyDescent="0.25">
      <c r="B101" s="182"/>
      <c r="E101" s="33"/>
    </row>
    <row r="102" spans="2:6" x14ac:dyDescent="0.25">
      <c r="B102" s="182"/>
      <c r="E102" s="33"/>
    </row>
    <row r="103" spans="2:6" x14ac:dyDescent="0.25">
      <c r="B103" s="182"/>
      <c r="E103" s="33"/>
    </row>
    <row r="104" spans="2:6" x14ac:dyDescent="0.25">
      <c r="B104" s="182"/>
      <c r="E104" s="33"/>
    </row>
    <row r="105" spans="2:6" x14ac:dyDescent="0.25">
      <c r="B105" s="182"/>
      <c r="E105" s="33"/>
    </row>
    <row r="106" spans="2:6" x14ac:dyDescent="0.25">
      <c r="B106" s="182"/>
      <c r="E106" s="33"/>
    </row>
    <row r="107" spans="2:6" x14ac:dyDescent="0.25">
      <c r="B107" s="182"/>
    </row>
    <row r="108" spans="2:6" x14ac:dyDescent="0.25">
      <c r="B108" s="182"/>
    </row>
    <row r="109" spans="2:6" x14ac:dyDescent="0.25">
      <c r="B109" s="182"/>
    </row>
    <row r="110" spans="2:6" x14ac:dyDescent="0.25">
      <c r="B110" s="182"/>
    </row>
    <row r="111" spans="2:6" x14ac:dyDescent="0.25">
      <c r="B111" s="182"/>
    </row>
    <row r="112" spans="2:6" x14ac:dyDescent="0.25">
      <c r="B112" s="182"/>
    </row>
    <row r="113" spans="3:3" ht="18.75" x14ac:dyDescent="0.3">
      <c r="C113" s="1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96"/>
      <c r="C1" s="398" t="s">
        <v>135</v>
      </c>
      <c r="D1" s="399"/>
      <c r="E1" s="399"/>
      <c r="F1" s="399"/>
      <c r="G1" s="399"/>
      <c r="H1" s="399"/>
      <c r="I1" s="399"/>
      <c r="J1" s="399"/>
      <c r="K1" s="399"/>
      <c r="L1" s="399"/>
      <c r="M1" s="399"/>
    </row>
    <row r="2" spans="1:21" ht="16.5" thickBot="1" x14ac:dyDescent="0.3">
      <c r="B2" s="397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0" t="s">
        <v>0</v>
      </c>
      <c r="C3" s="401"/>
      <c r="D3" s="9"/>
      <c r="E3" s="10"/>
      <c r="F3" s="10"/>
      <c r="H3" s="402" t="s">
        <v>1</v>
      </c>
      <c r="I3" s="402"/>
      <c r="K3" s="12"/>
      <c r="L3" s="12"/>
      <c r="M3" s="4"/>
      <c r="R3" s="407" t="s">
        <v>38</v>
      </c>
    </row>
    <row r="4" spans="1:21" ht="20.25" thickTop="1" thickBot="1" x14ac:dyDescent="0.35">
      <c r="A4" s="13" t="s">
        <v>2</v>
      </c>
      <c r="B4" s="14"/>
      <c r="C4" s="15">
        <v>184342.19</v>
      </c>
      <c r="D4" s="16">
        <v>44619</v>
      </c>
      <c r="E4" s="403" t="s">
        <v>3</v>
      </c>
      <c r="F4" s="404"/>
      <c r="H4" s="405" t="s">
        <v>4</v>
      </c>
      <c r="I4" s="406"/>
      <c r="J4" s="17"/>
      <c r="K4" s="18"/>
      <c r="L4" s="19"/>
      <c r="M4" s="20" t="s">
        <v>5</v>
      </c>
      <c r="N4" s="21" t="s">
        <v>6</v>
      </c>
      <c r="P4" s="414" t="s">
        <v>7</v>
      </c>
      <c r="Q4" s="415"/>
      <c r="R4" s="408"/>
    </row>
    <row r="5" spans="1:21" ht="18" thickBot="1" x14ac:dyDescent="0.35">
      <c r="A5" s="22" t="s">
        <v>8</v>
      </c>
      <c r="B5" s="23">
        <v>44620</v>
      </c>
      <c r="C5" s="24">
        <v>0</v>
      </c>
      <c r="D5" s="25"/>
      <c r="E5" s="26">
        <v>44620</v>
      </c>
      <c r="F5" s="27">
        <v>56916</v>
      </c>
      <c r="H5" s="28">
        <v>44620</v>
      </c>
      <c r="I5" s="29">
        <v>698</v>
      </c>
      <c r="J5" s="6">
        <v>44620</v>
      </c>
      <c r="K5" s="174" t="s">
        <v>191</v>
      </c>
      <c r="L5" s="8">
        <v>11500</v>
      </c>
      <c r="M5" s="30">
        <f>20000+23470</f>
        <v>43470</v>
      </c>
      <c r="N5" s="31">
        <v>1246</v>
      </c>
      <c r="P5" s="32">
        <f>N5+M5+L5+I5+C5</f>
        <v>56914</v>
      </c>
      <c r="Q5" s="59">
        <f>P5-F5</f>
        <v>-2</v>
      </c>
      <c r="R5" s="8"/>
    </row>
    <row r="6" spans="1:21" ht="18" thickBot="1" x14ac:dyDescent="0.35">
      <c r="A6" s="22"/>
      <c r="B6" s="23">
        <v>44621</v>
      </c>
      <c r="C6" s="24">
        <v>5100</v>
      </c>
      <c r="D6" s="34" t="s">
        <v>192</v>
      </c>
      <c r="E6" s="26">
        <v>44621</v>
      </c>
      <c r="F6" s="27">
        <v>58709</v>
      </c>
      <c r="H6" s="28">
        <v>44621</v>
      </c>
      <c r="I6" s="29">
        <v>60</v>
      </c>
      <c r="J6" s="36"/>
      <c r="K6" s="37"/>
      <c r="L6" s="38"/>
      <c r="M6" s="30">
        <f>15000+38320</f>
        <v>53320</v>
      </c>
      <c r="N6" s="31">
        <v>234</v>
      </c>
      <c r="P6" s="32">
        <f t="shared" ref="P6:P39" si="0">N6+M6+L6+I6+C6</f>
        <v>58714</v>
      </c>
      <c r="Q6" s="12">
        <f t="shared" ref="Q6:Q40" si="1">P6-F6</f>
        <v>5</v>
      </c>
      <c r="R6" s="7"/>
    </row>
    <row r="7" spans="1:21" ht="18" thickBot="1" x14ac:dyDescent="0.35">
      <c r="A7" s="22"/>
      <c r="B7" s="23">
        <v>44622</v>
      </c>
      <c r="C7" s="24">
        <v>0</v>
      </c>
      <c r="D7" s="39"/>
      <c r="E7" s="26">
        <v>44622</v>
      </c>
      <c r="F7" s="27">
        <v>33319</v>
      </c>
      <c r="H7" s="28">
        <v>44622</v>
      </c>
      <c r="I7" s="29">
        <v>113</v>
      </c>
      <c r="J7" s="36"/>
      <c r="K7" s="40"/>
      <c r="L7" s="38"/>
      <c r="M7" s="30">
        <v>33206</v>
      </c>
      <c r="N7" s="31">
        <v>0</v>
      </c>
      <c r="P7" s="32">
        <f t="shared" si="0"/>
        <v>33319</v>
      </c>
      <c r="Q7" s="12">
        <f t="shared" si="1"/>
        <v>0</v>
      </c>
      <c r="R7" s="8"/>
    </row>
    <row r="8" spans="1:21" ht="18" thickBot="1" x14ac:dyDescent="0.35">
      <c r="A8" s="22"/>
      <c r="B8" s="23">
        <v>44623</v>
      </c>
      <c r="C8" s="24">
        <v>0</v>
      </c>
      <c r="D8" s="39"/>
      <c r="E8" s="26">
        <v>44623</v>
      </c>
      <c r="F8" s="27">
        <v>74800</v>
      </c>
      <c r="H8" s="28">
        <v>44623</v>
      </c>
      <c r="I8" s="29">
        <v>15</v>
      </c>
      <c r="J8" s="42"/>
      <c r="K8" s="43"/>
      <c r="L8" s="38"/>
      <c r="M8" s="30">
        <f>24900+47651</f>
        <v>72551</v>
      </c>
      <c r="N8" s="31">
        <v>2234</v>
      </c>
      <c r="P8" s="32">
        <f t="shared" si="0"/>
        <v>74800</v>
      </c>
      <c r="Q8" s="12">
        <f t="shared" si="1"/>
        <v>0</v>
      </c>
      <c r="R8" s="8"/>
    </row>
    <row r="9" spans="1:21" ht="18" thickBot="1" x14ac:dyDescent="0.35">
      <c r="A9" s="22"/>
      <c r="B9" s="23">
        <v>44624</v>
      </c>
      <c r="C9" s="24">
        <v>0</v>
      </c>
      <c r="D9" s="39"/>
      <c r="E9" s="26">
        <v>44624</v>
      </c>
      <c r="F9" s="27">
        <v>74961</v>
      </c>
      <c r="H9" s="28">
        <v>44624</v>
      </c>
      <c r="I9" s="29">
        <v>107</v>
      </c>
      <c r="J9" s="36"/>
      <c r="K9" s="44"/>
      <c r="L9" s="38"/>
      <c r="M9" s="30">
        <f>40000+34810</f>
        <v>74810</v>
      </c>
      <c r="N9" s="31">
        <v>44</v>
      </c>
      <c r="P9" s="32">
        <f>N9+M9+L9+I9+C9</f>
        <v>74961</v>
      </c>
      <c r="Q9" s="12">
        <f t="shared" si="1"/>
        <v>0</v>
      </c>
      <c r="R9" s="7"/>
    </row>
    <row r="10" spans="1:21" ht="18" thickBot="1" x14ac:dyDescent="0.35">
      <c r="A10" s="22"/>
      <c r="B10" s="23">
        <v>44625</v>
      </c>
      <c r="C10" s="24">
        <v>0</v>
      </c>
      <c r="D10" s="34"/>
      <c r="E10" s="26">
        <v>44625</v>
      </c>
      <c r="F10" s="27">
        <v>84896</v>
      </c>
      <c r="H10" s="28">
        <v>44625</v>
      </c>
      <c r="I10" s="29">
        <v>39</v>
      </c>
      <c r="J10" s="36">
        <v>44625</v>
      </c>
      <c r="K10" s="45" t="s">
        <v>193</v>
      </c>
      <c r="L10" s="46">
        <v>9800</v>
      </c>
      <c r="M10" s="30">
        <f>45000+21140</f>
        <v>66140</v>
      </c>
      <c r="N10" s="31">
        <v>8922</v>
      </c>
      <c r="P10" s="32">
        <f t="shared" si="0"/>
        <v>84901</v>
      </c>
      <c r="Q10" s="12">
        <f t="shared" si="1"/>
        <v>5</v>
      </c>
      <c r="R10" s="8"/>
      <c r="U10" t="s">
        <v>8</v>
      </c>
    </row>
    <row r="11" spans="1:21" ht="18" thickBot="1" x14ac:dyDescent="0.35">
      <c r="A11" s="22"/>
      <c r="B11" s="23">
        <v>44626</v>
      </c>
      <c r="C11" s="24">
        <v>7790</v>
      </c>
      <c r="D11" s="34" t="s">
        <v>194</v>
      </c>
      <c r="E11" s="26">
        <v>44626</v>
      </c>
      <c r="F11" s="27">
        <v>110400</v>
      </c>
      <c r="H11" s="28">
        <v>44626</v>
      </c>
      <c r="I11" s="29">
        <v>52</v>
      </c>
      <c r="J11" s="42"/>
      <c r="K11" s="47"/>
      <c r="L11" s="38"/>
      <c r="M11" s="30">
        <f>60000+30000+11311</f>
        <v>101311</v>
      </c>
      <c r="N11" s="31">
        <v>1247</v>
      </c>
      <c r="P11" s="32">
        <f>N11+M11+L11+I11+C11</f>
        <v>110400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44627</v>
      </c>
      <c r="C12" s="24">
        <v>0</v>
      </c>
      <c r="D12" s="34"/>
      <c r="E12" s="26">
        <v>44627</v>
      </c>
      <c r="F12" s="27">
        <v>52725</v>
      </c>
      <c r="H12" s="28">
        <v>44627</v>
      </c>
      <c r="I12" s="29">
        <v>45</v>
      </c>
      <c r="J12" s="36"/>
      <c r="K12" s="48"/>
      <c r="L12" s="38"/>
      <c r="M12" s="30">
        <f>26020+25560</f>
        <v>51580</v>
      </c>
      <c r="N12" s="31">
        <v>1100</v>
      </c>
      <c r="P12" s="32">
        <f t="shared" si="0"/>
        <v>52725</v>
      </c>
      <c r="Q12" s="12">
        <f t="shared" si="1"/>
        <v>0</v>
      </c>
      <c r="R12" s="7"/>
    </row>
    <row r="13" spans="1:21" ht="18" thickBot="1" x14ac:dyDescent="0.35">
      <c r="A13" s="22"/>
      <c r="B13" s="23">
        <v>44628</v>
      </c>
      <c r="C13" s="24">
        <v>2840</v>
      </c>
      <c r="D13" s="39" t="s">
        <v>195</v>
      </c>
      <c r="E13" s="26">
        <v>44628</v>
      </c>
      <c r="F13" s="27">
        <v>53875</v>
      </c>
      <c r="H13" s="28">
        <v>44628</v>
      </c>
      <c r="I13" s="29">
        <v>67</v>
      </c>
      <c r="J13" s="36"/>
      <c r="K13" s="37"/>
      <c r="L13" s="38"/>
      <c r="M13" s="30">
        <f>25000+25970</f>
        <v>50970</v>
      </c>
      <c r="N13" s="31">
        <v>0</v>
      </c>
      <c r="P13" s="32">
        <f t="shared" si="0"/>
        <v>53877</v>
      </c>
      <c r="Q13" s="12">
        <f t="shared" si="1"/>
        <v>2</v>
      </c>
      <c r="R13" s="177"/>
    </row>
    <row r="14" spans="1:21" ht="18" thickBot="1" x14ac:dyDescent="0.35">
      <c r="A14" s="22"/>
      <c r="B14" s="23">
        <v>44629</v>
      </c>
      <c r="C14" s="24">
        <v>0</v>
      </c>
      <c r="D14" s="49"/>
      <c r="E14" s="26">
        <v>44629</v>
      </c>
      <c r="F14" s="27">
        <v>40883</v>
      </c>
      <c r="H14" s="28">
        <v>44629</v>
      </c>
      <c r="I14" s="29">
        <v>412</v>
      </c>
      <c r="J14" s="36"/>
      <c r="K14" s="43"/>
      <c r="L14" s="38"/>
      <c r="M14" s="30">
        <f>25430+15000</f>
        <v>40430</v>
      </c>
      <c r="N14" s="31">
        <v>40</v>
      </c>
      <c r="P14" s="32">
        <f t="shared" si="0"/>
        <v>40882</v>
      </c>
      <c r="Q14" s="59">
        <f t="shared" si="1"/>
        <v>-1</v>
      </c>
      <c r="R14" s="177"/>
    </row>
    <row r="15" spans="1:21" ht="18" thickBot="1" x14ac:dyDescent="0.35">
      <c r="A15" s="22"/>
      <c r="B15" s="23">
        <v>44630</v>
      </c>
      <c r="C15" s="24">
        <v>0</v>
      </c>
      <c r="D15" s="49"/>
      <c r="E15" s="26">
        <v>44630</v>
      </c>
      <c r="F15" s="27">
        <v>67399</v>
      </c>
      <c r="H15" s="28">
        <v>44630</v>
      </c>
      <c r="I15" s="29">
        <v>88</v>
      </c>
      <c r="J15" s="36"/>
      <c r="K15" s="43"/>
      <c r="L15" s="38"/>
      <c r="M15" s="30">
        <f>10000+400+30000+26420</f>
        <v>66820</v>
      </c>
      <c r="N15" s="31">
        <v>497</v>
      </c>
      <c r="P15" s="32">
        <f t="shared" si="0"/>
        <v>67405</v>
      </c>
      <c r="Q15" s="12">
        <f t="shared" si="1"/>
        <v>6</v>
      </c>
      <c r="R15" s="7"/>
    </row>
    <row r="16" spans="1:21" ht="18" thickBot="1" x14ac:dyDescent="0.35">
      <c r="A16" s="22"/>
      <c r="B16" s="23">
        <v>44631</v>
      </c>
      <c r="C16" s="24">
        <v>0</v>
      </c>
      <c r="D16" s="34"/>
      <c r="E16" s="26">
        <v>44631</v>
      </c>
      <c r="F16" s="27">
        <v>90868</v>
      </c>
      <c r="H16" s="28">
        <v>44631</v>
      </c>
      <c r="I16" s="29">
        <v>30</v>
      </c>
      <c r="J16" s="36"/>
      <c r="K16" s="43"/>
      <c r="L16" s="8"/>
      <c r="M16" s="30">
        <f>45000+45700</f>
        <v>90700</v>
      </c>
      <c r="N16" s="31">
        <v>137</v>
      </c>
      <c r="P16" s="32">
        <f t="shared" si="0"/>
        <v>90867</v>
      </c>
      <c r="Q16" s="59">
        <f t="shared" si="1"/>
        <v>-1</v>
      </c>
      <c r="R16" s="7" t="s">
        <v>8</v>
      </c>
    </row>
    <row r="17" spans="1:19" ht="18" thickBot="1" x14ac:dyDescent="0.35">
      <c r="A17" s="22"/>
      <c r="B17" s="23">
        <v>44632</v>
      </c>
      <c r="C17" s="24">
        <v>2040</v>
      </c>
      <c r="D17" s="39" t="s">
        <v>47</v>
      </c>
      <c r="E17" s="26">
        <v>44632</v>
      </c>
      <c r="F17" s="27">
        <v>87020</v>
      </c>
      <c r="H17" s="28">
        <v>44632</v>
      </c>
      <c r="I17" s="29">
        <v>28</v>
      </c>
      <c r="J17" s="36">
        <v>44632</v>
      </c>
      <c r="K17" s="50" t="s">
        <v>196</v>
      </c>
      <c r="L17" s="46">
        <v>9800</v>
      </c>
      <c r="M17" s="30">
        <f>40000+23370</f>
        <v>63370</v>
      </c>
      <c r="N17" s="31">
        <v>11780</v>
      </c>
      <c r="P17" s="32">
        <f t="shared" si="0"/>
        <v>87018</v>
      </c>
      <c r="Q17" s="59">
        <f t="shared" si="1"/>
        <v>-2</v>
      </c>
      <c r="R17" s="7"/>
    </row>
    <row r="18" spans="1:19" ht="18" thickBot="1" x14ac:dyDescent="0.35">
      <c r="A18" s="22"/>
      <c r="B18" s="23">
        <v>44633</v>
      </c>
      <c r="C18" s="24">
        <v>24281</v>
      </c>
      <c r="D18" s="34" t="s">
        <v>194</v>
      </c>
      <c r="E18" s="26">
        <v>44633</v>
      </c>
      <c r="F18" s="27">
        <v>109237</v>
      </c>
      <c r="H18" s="28">
        <v>44633</v>
      </c>
      <c r="I18" s="29">
        <v>48</v>
      </c>
      <c r="J18" s="36"/>
      <c r="K18" s="51"/>
      <c r="L18" s="38"/>
      <c r="M18" s="30">
        <f>65000+11662+7772</f>
        <v>84434</v>
      </c>
      <c r="N18" s="31">
        <v>474</v>
      </c>
      <c r="P18" s="32">
        <f t="shared" si="0"/>
        <v>109237</v>
      </c>
      <c r="Q18" s="12">
        <f t="shared" si="1"/>
        <v>0</v>
      </c>
      <c r="R18" s="7"/>
    </row>
    <row r="19" spans="1:19" ht="18" thickBot="1" x14ac:dyDescent="0.35">
      <c r="A19" s="22"/>
      <c r="B19" s="23">
        <v>44634</v>
      </c>
      <c r="C19" s="24">
        <v>0</v>
      </c>
      <c r="D19" s="34"/>
      <c r="E19" s="26">
        <v>44634</v>
      </c>
      <c r="F19" s="27">
        <v>44651</v>
      </c>
      <c r="H19" s="28">
        <v>44634</v>
      </c>
      <c r="I19" s="29">
        <v>85</v>
      </c>
      <c r="J19" s="36"/>
      <c r="K19" s="52"/>
      <c r="L19" s="53"/>
      <c r="M19" s="30">
        <f>21166+23400</f>
        <v>44566</v>
      </c>
      <c r="N19" s="31">
        <v>0</v>
      </c>
      <c r="P19" s="32">
        <f t="shared" si="0"/>
        <v>44651</v>
      </c>
      <c r="Q19" s="12">
        <f t="shared" si="1"/>
        <v>0</v>
      </c>
      <c r="R19" s="7"/>
    </row>
    <row r="20" spans="1:19" ht="18" thickBot="1" x14ac:dyDescent="0.35">
      <c r="A20" s="22"/>
      <c r="B20" s="23">
        <v>44635</v>
      </c>
      <c r="C20" s="24">
        <v>0</v>
      </c>
      <c r="D20" s="34"/>
      <c r="E20" s="26">
        <v>44635</v>
      </c>
      <c r="F20" s="27">
        <v>65142</v>
      </c>
      <c r="H20" s="28">
        <v>44635</v>
      </c>
      <c r="I20" s="29">
        <v>10</v>
      </c>
      <c r="J20" s="36"/>
      <c r="K20" s="54"/>
      <c r="L20" s="46"/>
      <c r="M20" s="30">
        <f>40000+24630</f>
        <v>64630</v>
      </c>
      <c r="N20" s="31">
        <v>500</v>
      </c>
      <c r="P20" s="32">
        <f t="shared" si="0"/>
        <v>65140</v>
      </c>
      <c r="Q20" s="59">
        <f t="shared" si="1"/>
        <v>-2</v>
      </c>
      <c r="R20" s="7"/>
    </row>
    <row r="21" spans="1:19" ht="18" thickBot="1" x14ac:dyDescent="0.35">
      <c r="A21" s="22"/>
      <c r="B21" s="23">
        <v>44636</v>
      </c>
      <c r="C21" s="24">
        <v>2862</v>
      </c>
      <c r="D21" s="34" t="s">
        <v>47</v>
      </c>
      <c r="E21" s="26">
        <v>44636</v>
      </c>
      <c r="F21" s="27">
        <v>37330</v>
      </c>
      <c r="H21" s="28">
        <v>44636</v>
      </c>
      <c r="I21" s="29">
        <v>66</v>
      </c>
      <c r="J21" s="36"/>
      <c r="K21" s="55"/>
      <c r="L21" s="46"/>
      <c r="M21" s="30">
        <f>15000+19350</f>
        <v>34350</v>
      </c>
      <c r="N21" s="31">
        <v>50</v>
      </c>
      <c r="P21" s="32">
        <f t="shared" si="0"/>
        <v>37328</v>
      </c>
      <c r="Q21" s="59">
        <f t="shared" si="1"/>
        <v>-2</v>
      </c>
      <c r="R21" s="7"/>
    </row>
    <row r="22" spans="1:19" ht="18" thickBot="1" x14ac:dyDescent="0.35">
      <c r="A22" s="22"/>
      <c r="B22" s="23">
        <v>44637</v>
      </c>
      <c r="C22" s="24">
        <v>0</v>
      </c>
      <c r="D22" s="34"/>
      <c r="E22" s="26">
        <v>44637</v>
      </c>
      <c r="F22" s="27">
        <v>61658</v>
      </c>
      <c r="H22" s="28">
        <v>44637</v>
      </c>
      <c r="I22" s="29">
        <v>172</v>
      </c>
      <c r="J22" s="36"/>
      <c r="K22" s="43"/>
      <c r="L22" s="56"/>
      <c r="M22" s="30">
        <f>30000+29190</f>
        <v>59190</v>
      </c>
      <c r="N22" s="31">
        <v>2300</v>
      </c>
      <c r="P22" s="32">
        <f t="shared" si="0"/>
        <v>61662</v>
      </c>
      <c r="Q22" s="12">
        <f t="shared" si="1"/>
        <v>4</v>
      </c>
      <c r="R22" s="7"/>
    </row>
    <row r="23" spans="1:19" ht="18" thickBot="1" x14ac:dyDescent="0.35">
      <c r="A23" s="22"/>
      <c r="B23" s="23">
        <v>44638</v>
      </c>
      <c r="C23" s="24">
        <v>2160</v>
      </c>
      <c r="D23" s="34" t="s">
        <v>47</v>
      </c>
      <c r="E23" s="26">
        <v>44638</v>
      </c>
      <c r="F23" s="27">
        <v>88642</v>
      </c>
      <c r="H23" s="28">
        <v>44638</v>
      </c>
      <c r="I23" s="29">
        <v>551</v>
      </c>
      <c r="J23" s="57"/>
      <c r="K23" s="58"/>
      <c r="L23" s="46"/>
      <c r="M23" s="30">
        <f>50920+35000</f>
        <v>85920</v>
      </c>
      <c r="N23" s="31">
        <v>0</v>
      </c>
      <c r="P23" s="32">
        <f t="shared" si="0"/>
        <v>88631</v>
      </c>
      <c r="Q23" s="59">
        <f t="shared" si="1"/>
        <v>-11</v>
      </c>
      <c r="R23" s="7"/>
    </row>
    <row r="24" spans="1:19" ht="18" thickBot="1" x14ac:dyDescent="0.35">
      <c r="A24" s="22"/>
      <c r="B24" s="23">
        <v>44639</v>
      </c>
      <c r="C24" s="24">
        <v>0</v>
      </c>
      <c r="D24" s="39"/>
      <c r="E24" s="26">
        <v>44639</v>
      </c>
      <c r="F24" s="27">
        <v>100597</v>
      </c>
      <c r="H24" s="28">
        <v>44639</v>
      </c>
      <c r="I24" s="29">
        <v>43</v>
      </c>
      <c r="J24" s="173">
        <v>44639</v>
      </c>
      <c r="K24" s="60" t="s">
        <v>221</v>
      </c>
      <c r="L24" s="61">
        <v>12300</v>
      </c>
      <c r="M24" s="30">
        <f>26940+45000</f>
        <v>71940</v>
      </c>
      <c r="N24" s="31">
        <v>16319</v>
      </c>
      <c r="P24" s="32">
        <f t="shared" si="0"/>
        <v>100602</v>
      </c>
      <c r="Q24" s="12">
        <f t="shared" si="1"/>
        <v>5</v>
      </c>
      <c r="R24" s="7"/>
    </row>
    <row r="25" spans="1:19" ht="18" thickBot="1" x14ac:dyDescent="0.35">
      <c r="A25" s="22"/>
      <c r="B25" s="23">
        <v>44640</v>
      </c>
      <c r="C25" s="24">
        <v>15145</v>
      </c>
      <c r="D25" s="34" t="s">
        <v>222</v>
      </c>
      <c r="E25" s="26">
        <v>44640</v>
      </c>
      <c r="F25" s="27">
        <v>85876</v>
      </c>
      <c r="H25" s="28">
        <v>44640</v>
      </c>
      <c r="I25" s="29">
        <v>23</v>
      </c>
      <c r="J25" s="62"/>
      <c r="K25" s="63"/>
      <c r="L25" s="64"/>
      <c r="M25" s="30">
        <f>50000+13533</f>
        <v>63533</v>
      </c>
      <c r="N25" s="31">
        <v>7175</v>
      </c>
      <c r="O25" t="s">
        <v>8</v>
      </c>
      <c r="P25" s="32">
        <f t="shared" si="0"/>
        <v>85876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44641</v>
      </c>
      <c r="C26" s="24">
        <v>0</v>
      </c>
      <c r="D26" s="34"/>
      <c r="E26" s="26">
        <v>44641</v>
      </c>
      <c r="F26" s="27">
        <v>75915</v>
      </c>
      <c r="H26" s="28">
        <v>44641</v>
      </c>
      <c r="I26" s="29">
        <v>59</v>
      </c>
      <c r="J26" s="36"/>
      <c r="K26" s="60"/>
      <c r="L26" s="46"/>
      <c r="M26" s="30">
        <f>50600+25043</f>
        <v>75643</v>
      </c>
      <c r="N26" s="31">
        <v>213</v>
      </c>
      <c r="P26" s="32">
        <f t="shared" si="0"/>
        <v>75915</v>
      </c>
      <c r="Q26" s="12">
        <f t="shared" si="1"/>
        <v>0</v>
      </c>
      <c r="R26" s="8"/>
    </row>
    <row r="27" spans="1:19" ht="18" thickBot="1" x14ac:dyDescent="0.35">
      <c r="A27" s="22"/>
      <c r="B27" s="23">
        <v>44642</v>
      </c>
      <c r="C27" s="24">
        <v>4490</v>
      </c>
      <c r="D27" s="39" t="s">
        <v>223</v>
      </c>
      <c r="E27" s="26">
        <v>44642</v>
      </c>
      <c r="F27" s="27">
        <v>51455</v>
      </c>
      <c r="H27" s="28">
        <v>44642</v>
      </c>
      <c r="I27" s="29">
        <v>0</v>
      </c>
      <c r="J27" s="65"/>
      <c r="K27" s="66"/>
      <c r="L27" s="64"/>
      <c r="M27" s="30">
        <f>20000+26270</f>
        <v>46270</v>
      </c>
      <c r="N27" s="31">
        <v>696</v>
      </c>
      <c r="P27" s="32">
        <f t="shared" si="0"/>
        <v>51456</v>
      </c>
      <c r="Q27" s="12">
        <f t="shared" si="1"/>
        <v>1</v>
      </c>
      <c r="R27" s="7"/>
    </row>
    <row r="28" spans="1:19" ht="18" thickBot="1" x14ac:dyDescent="0.35">
      <c r="A28" s="22"/>
      <c r="B28" s="23">
        <v>44643</v>
      </c>
      <c r="C28" s="24">
        <v>0</v>
      </c>
      <c r="D28" s="39"/>
      <c r="E28" s="26">
        <v>44643</v>
      </c>
      <c r="F28" s="27">
        <v>45642</v>
      </c>
      <c r="H28" s="28">
        <v>44643</v>
      </c>
      <c r="I28" s="29">
        <v>81</v>
      </c>
      <c r="J28" s="67"/>
      <c r="K28" s="68"/>
      <c r="L28" s="64"/>
      <c r="M28" s="30">
        <f>25570+20000</f>
        <v>45570</v>
      </c>
      <c r="N28" s="31">
        <v>0</v>
      </c>
      <c r="P28" s="32">
        <f t="shared" si="0"/>
        <v>45651</v>
      </c>
      <c r="Q28" s="12">
        <f t="shared" si="1"/>
        <v>9</v>
      </c>
      <c r="R28" s="7"/>
    </row>
    <row r="29" spans="1:19" ht="18" thickBot="1" x14ac:dyDescent="0.35">
      <c r="A29" s="22"/>
      <c r="B29" s="23">
        <v>44644</v>
      </c>
      <c r="C29" s="24">
        <v>0</v>
      </c>
      <c r="D29" s="69"/>
      <c r="E29" s="26">
        <v>44644</v>
      </c>
      <c r="F29" s="27">
        <v>64298</v>
      </c>
      <c r="H29" s="28">
        <v>44644</v>
      </c>
      <c r="I29" s="29">
        <v>157</v>
      </c>
      <c r="J29" s="65"/>
      <c r="K29" s="70"/>
      <c r="L29" s="64"/>
      <c r="M29" s="30">
        <f>44140+20000</f>
        <v>64140</v>
      </c>
      <c r="N29" s="31">
        <v>0</v>
      </c>
      <c r="P29" s="32">
        <f t="shared" si="0"/>
        <v>64297</v>
      </c>
      <c r="Q29" s="12">
        <f t="shared" si="1"/>
        <v>-1</v>
      </c>
      <c r="R29" s="7"/>
    </row>
    <row r="30" spans="1:19" ht="18" thickBot="1" x14ac:dyDescent="0.35">
      <c r="A30" s="22"/>
      <c r="B30" s="23">
        <v>44645</v>
      </c>
      <c r="C30" s="24">
        <v>0</v>
      </c>
      <c r="D30" s="69"/>
      <c r="E30" s="26">
        <v>44645</v>
      </c>
      <c r="F30" s="27">
        <v>81544</v>
      </c>
      <c r="H30" s="28">
        <v>44645</v>
      </c>
      <c r="I30" s="29">
        <v>39</v>
      </c>
      <c r="J30" s="71"/>
      <c r="K30" s="72"/>
      <c r="L30" s="73"/>
      <c r="M30" s="30">
        <f>71505+10000</f>
        <v>81505</v>
      </c>
      <c r="N30" s="31">
        <v>0</v>
      </c>
      <c r="P30" s="32">
        <f t="shared" si="0"/>
        <v>81544</v>
      </c>
      <c r="Q30" s="12">
        <f t="shared" si="1"/>
        <v>0</v>
      </c>
      <c r="R30" s="7"/>
    </row>
    <row r="31" spans="1:19" ht="18" thickBot="1" x14ac:dyDescent="0.35">
      <c r="A31" s="22"/>
      <c r="B31" s="23">
        <v>44646</v>
      </c>
      <c r="C31" s="24">
        <v>33</v>
      </c>
      <c r="D31" s="81" t="s">
        <v>34</v>
      </c>
      <c r="E31" s="26">
        <v>44646</v>
      </c>
      <c r="F31" s="27">
        <v>92844</v>
      </c>
      <c r="H31" s="28">
        <v>44646</v>
      </c>
      <c r="I31" s="29">
        <v>554</v>
      </c>
      <c r="J31" s="71">
        <v>44646</v>
      </c>
      <c r="K31" s="74" t="s">
        <v>224</v>
      </c>
      <c r="L31" s="75">
        <v>10185.709999999999</v>
      </c>
      <c r="M31" s="30">
        <f>25000+48620</f>
        <v>73620</v>
      </c>
      <c r="N31" s="31">
        <v>8457</v>
      </c>
      <c r="P31" s="32">
        <f t="shared" si="0"/>
        <v>92849.709999999992</v>
      </c>
      <c r="Q31" s="12">
        <f t="shared" si="1"/>
        <v>5.7099999999918509</v>
      </c>
      <c r="R31" s="7"/>
    </row>
    <row r="32" spans="1:19" ht="18" thickBot="1" x14ac:dyDescent="0.35">
      <c r="A32" s="22"/>
      <c r="B32" s="23">
        <v>44647</v>
      </c>
      <c r="C32" s="24">
        <v>0</v>
      </c>
      <c r="D32" s="76"/>
      <c r="E32" s="26">
        <v>44647</v>
      </c>
      <c r="F32" s="27">
        <v>89834</v>
      </c>
      <c r="H32" s="28">
        <v>44647</v>
      </c>
      <c r="I32" s="29">
        <v>58</v>
      </c>
      <c r="J32" s="71"/>
      <c r="K32" s="72"/>
      <c r="L32" s="73"/>
      <c r="M32" s="30">
        <f>80000+9446</f>
        <v>89446</v>
      </c>
      <c r="N32" s="31">
        <v>330</v>
      </c>
      <c r="P32" s="32">
        <f t="shared" si="0"/>
        <v>89834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7"/>
    </row>
    <row r="34" spans="1:18" ht="33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44627</v>
      </c>
      <c r="K34" s="261" t="s">
        <v>321</v>
      </c>
      <c r="L34" s="264">
        <v>1195.68</v>
      </c>
      <c r="M34" s="30">
        <v>0</v>
      </c>
      <c r="N34" s="31">
        <v>0</v>
      </c>
      <c r="P34" s="32">
        <f t="shared" si="0"/>
        <v>1195.68</v>
      </c>
      <c r="Q34" s="12">
        <f t="shared" si="1"/>
        <v>1195.68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44629</v>
      </c>
      <c r="K35" s="213" t="s">
        <v>317</v>
      </c>
      <c r="L35" s="78">
        <v>3133.5</v>
      </c>
      <c r="M35" s="212">
        <v>0</v>
      </c>
      <c r="N35" s="31">
        <v>0</v>
      </c>
      <c r="P35" s="32">
        <f t="shared" si="0"/>
        <v>3133.5</v>
      </c>
      <c r="Q35" s="12">
        <f t="shared" si="1"/>
        <v>3133.5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44645</v>
      </c>
      <c r="K36" s="263" t="s">
        <v>318</v>
      </c>
      <c r="L36" s="78">
        <v>1392</v>
      </c>
      <c r="M36" s="212">
        <v>0</v>
      </c>
      <c r="N36" s="31">
        <v>0</v>
      </c>
      <c r="P36" s="32">
        <f t="shared" si="0"/>
        <v>1392</v>
      </c>
      <c r="Q36" s="12">
        <f t="shared" si="1"/>
        <v>1392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44649</v>
      </c>
      <c r="K37" s="262" t="s">
        <v>319</v>
      </c>
      <c r="L37" s="78">
        <v>1749.14</v>
      </c>
      <c r="M37" s="212">
        <v>0</v>
      </c>
      <c r="N37" s="31">
        <v>0</v>
      </c>
      <c r="P37" s="32">
        <f t="shared" si="0"/>
        <v>1749.14</v>
      </c>
      <c r="Q37" s="12">
        <f t="shared" si="1"/>
        <v>1749.14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44649</v>
      </c>
      <c r="K38" s="265" t="s">
        <v>190</v>
      </c>
      <c r="L38" s="78">
        <v>25678</v>
      </c>
      <c r="M38" s="30">
        <v>0</v>
      </c>
      <c r="N38" s="31">
        <v>0</v>
      </c>
      <c r="P38" s="32">
        <f t="shared" si="0"/>
        <v>25678</v>
      </c>
      <c r="Q38" s="12">
        <f t="shared" si="1"/>
        <v>25678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74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416">
        <f>SUM(M5:M39)</f>
        <v>1793435</v>
      </c>
      <c r="N40" s="418">
        <f>SUM(N5:N39)</f>
        <v>63995</v>
      </c>
      <c r="P40" s="32">
        <f>SUM(P5:P39)</f>
        <v>2014605.0299999998</v>
      </c>
      <c r="Q40" s="12">
        <f t="shared" si="1"/>
        <v>2014605.0299999998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235"/>
      <c r="L41" s="73"/>
      <c r="M41" s="417"/>
      <c r="N41" s="419"/>
      <c r="P41" s="32"/>
      <c r="Q41" s="8"/>
    </row>
    <row r="42" spans="1:18" ht="18" hidden="1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5.75" thickBot="1" x14ac:dyDescent="0.3">
      <c r="A46" s="22"/>
      <c r="B46" s="23"/>
      <c r="C46" s="24">
        <v>0</v>
      </c>
      <c r="D46" s="96"/>
      <c r="E46" s="90"/>
      <c r="F46" s="88"/>
      <c r="H46" s="97"/>
      <c r="I46" s="93"/>
      <c r="J46" s="98"/>
      <c r="K46" s="99"/>
      <c r="L46" s="8"/>
      <c r="M46" s="100"/>
      <c r="N46" s="31"/>
      <c r="P46" s="32"/>
      <c r="Q46" s="8"/>
    </row>
    <row r="47" spans="1:18" ht="16.5" thickBot="1" x14ac:dyDescent="0.3">
      <c r="B47" s="101" t="s">
        <v>9</v>
      </c>
      <c r="C47" s="102">
        <f>SUM(C5:C46)</f>
        <v>66741</v>
      </c>
      <c r="D47" s="103"/>
      <c r="E47" s="104" t="s">
        <v>9</v>
      </c>
      <c r="F47" s="105">
        <f>SUM(F5:F46)</f>
        <v>1981436</v>
      </c>
      <c r="G47" s="103"/>
      <c r="H47" s="106" t="s">
        <v>10</v>
      </c>
      <c r="I47" s="107">
        <f>SUM(I5:I46)</f>
        <v>3700</v>
      </c>
      <c r="J47" s="108"/>
      <c r="K47" s="109" t="s">
        <v>11</v>
      </c>
      <c r="L47" s="110">
        <f>SUM(L5:L46)</f>
        <v>86734.03</v>
      </c>
      <c r="M47" s="111"/>
      <c r="N47" s="111"/>
      <c r="P47" s="32"/>
      <c r="Q47" s="8"/>
    </row>
    <row r="48" spans="1:18" ht="16.5" thickTop="1" thickBot="1" x14ac:dyDescent="0.3">
      <c r="C48" s="2" t="s">
        <v>8</v>
      </c>
      <c r="P48" s="32"/>
      <c r="Q48" s="8"/>
    </row>
    <row r="49" spans="1:17" ht="19.5" thickBot="1" x14ac:dyDescent="0.3">
      <c r="A49" s="33"/>
      <c r="B49" s="113"/>
      <c r="C49" s="1"/>
      <c r="H49" s="420" t="s">
        <v>12</v>
      </c>
      <c r="I49" s="421"/>
      <c r="J49" s="114"/>
      <c r="K49" s="422">
        <f>I47+L47</f>
        <v>90434.03</v>
      </c>
      <c r="L49" s="423"/>
      <c r="M49" s="424">
        <f>N40+M40</f>
        <v>1857430</v>
      </c>
      <c r="N49" s="425"/>
      <c r="P49" s="32"/>
      <c r="Q49" s="8"/>
    </row>
    <row r="50" spans="1:17" ht="15.75" x14ac:dyDescent="0.25">
      <c r="D50" s="426" t="s">
        <v>13</v>
      </c>
      <c r="E50" s="426"/>
      <c r="F50" s="115">
        <f>F47-K49-C47</f>
        <v>1824260.97</v>
      </c>
      <c r="I50" s="116"/>
      <c r="J50" s="117"/>
      <c r="P50" s="32"/>
      <c r="Q50" s="8"/>
    </row>
    <row r="51" spans="1:17" ht="18.75" x14ac:dyDescent="0.3">
      <c r="D51" s="427" t="s">
        <v>14</v>
      </c>
      <c r="E51" s="427"/>
      <c r="F51" s="111">
        <v>-1848136.64</v>
      </c>
      <c r="I51" s="428" t="s">
        <v>15</v>
      </c>
      <c r="J51" s="429"/>
      <c r="K51" s="430">
        <f>F53+F54+F55</f>
        <v>195541.70000000007</v>
      </c>
      <c r="L51" s="431"/>
      <c r="P51" s="32"/>
      <c r="Q51" s="8"/>
    </row>
    <row r="52" spans="1:17" ht="19.5" thickBot="1" x14ac:dyDescent="0.35">
      <c r="D52" s="118"/>
      <c r="E52" s="33"/>
      <c r="F52" s="119">
        <v>0</v>
      </c>
      <c r="I52" s="120"/>
      <c r="J52" s="121"/>
      <c r="K52" s="122"/>
      <c r="L52" s="123"/>
    </row>
    <row r="53" spans="1:17" ht="19.5" thickTop="1" x14ac:dyDescent="0.3">
      <c r="C53" s="3" t="s">
        <v>8</v>
      </c>
      <c r="E53" s="33" t="s">
        <v>16</v>
      </c>
      <c r="F53" s="111">
        <f>SUM(F50:F52)</f>
        <v>-23875.669999999925</v>
      </c>
      <c r="H53" s="22"/>
      <c r="I53" s="124" t="s">
        <v>17</v>
      </c>
      <c r="J53" s="125"/>
      <c r="K53" s="432">
        <f>-C4</f>
        <v>-184342.19</v>
      </c>
      <c r="L53" s="433"/>
    </row>
    <row r="54" spans="1:17" ht="16.5" thickBot="1" x14ac:dyDescent="0.3">
      <c r="D54" s="126" t="s">
        <v>18</v>
      </c>
      <c r="E54" s="33" t="s">
        <v>19</v>
      </c>
      <c r="F54" s="127">
        <v>0</v>
      </c>
    </row>
    <row r="55" spans="1:17" ht="20.25" thickTop="1" thickBot="1" x14ac:dyDescent="0.35">
      <c r="C55" s="128">
        <v>44647</v>
      </c>
      <c r="D55" s="409" t="s">
        <v>20</v>
      </c>
      <c r="E55" s="410"/>
      <c r="F55" s="129">
        <v>219417.37</v>
      </c>
      <c r="I55" s="411" t="s">
        <v>226</v>
      </c>
      <c r="J55" s="412"/>
      <c r="K55" s="413">
        <f>K51+K53</f>
        <v>11199.510000000068</v>
      </c>
      <c r="L55" s="413"/>
    </row>
    <row r="56" spans="1:17" ht="17.25" x14ac:dyDescent="0.3">
      <c r="C56" s="130"/>
      <c r="D56" s="131"/>
      <c r="E56" s="132"/>
      <c r="F56" s="133"/>
      <c r="J56" s="134"/>
    </row>
    <row r="57" spans="1:17" ht="15" customHeight="1" x14ac:dyDescent="0.25">
      <c r="I57" s="135"/>
      <c r="J57" s="135"/>
      <c r="K57" s="136"/>
      <c r="L57" s="136"/>
    </row>
    <row r="58" spans="1:17" ht="16.5" customHeight="1" x14ac:dyDescent="0.25">
      <c r="B58" s="137"/>
      <c r="C58" s="138"/>
      <c r="D58" s="139"/>
      <c r="E58" s="32"/>
      <c r="I58" s="135"/>
      <c r="J58" s="135"/>
      <c r="K58" s="136"/>
      <c r="L58" s="136"/>
      <c r="M58" s="140"/>
      <c r="N58" s="33"/>
    </row>
    <row r="59" spans="1:17" ht="15.75" x14ac:dyDescent="0.25">
      <c r="B59" s="137"/>
      <c r="C59" s="141"/>
      <c r="E59" s="32"/>
      <c r="M59" s="140"/>
      <c r="N59" s="33"/>
    </row>
    <row r="60" spans="1:17" ht="15.75" x14ac:dyDescent="0.25">
      <c r="B60" s="137"/>
      <c r="C60" s="141"/>
      <c r="E60" s="32"/>
      <c r="F60" s="142"/>
      <c r="L60" s="143"/>
      <c r="M60" s="1"/>
    </row>
    <row r="61" spans="1:17" ht="15.75" x14ac:dyDescent="0.25">
      <c r="B61" s="137"/>
      <c r="C61" s="141"/>
      <c r="E61" s="32"/>
      <c r="M61" s="1"/>
    </row>
    <row r="62" spans="1:17" ht="15.75" x14ac:dyDescent="0.25">
      <c r="B62" s="137"/>
      <c r="C62" s="141"/>
      <c r="E62" s="32"/>
      <c r="F62" s="144"/>
      <c r="M62" s="1"/>
    </row>
    <row r="63" spans="1:17" x14ac:dyDescent="0.25">
      <c r="E63" s="145"/>
      <c r="F63" s="32"/>
      <c r="M63" s="1"/>
    </row>
    <row r="64" spans="1:17" x14ac:dyDescent="0.25">
      <c r="E64" s="145"/>
      <c r="F64" s="32"/>
      <c r="M64" s="1"/>
    </row>
    <row r="65" spans="5:13" x14ac:dyDescent="0.25">
      <c r="E65" s="145"/>
      <c r="F65" s="32"/>
      <c r="M65" s="1"/>
    </row>
    <row r="66" spans="5:13" x14ac:dyDescent="0.25">
      <c r="E66" s="145"/>
      <c r="F66" s="32"/>
      <c r="M66" s="1"/>
    </row>
    <row r="67" spans="5:13" x14ac:dyDescent="0.25">
      <c r="E67" s="145"/>
      <c r="F67" s="32"/>
      <c r="M67" s="1"/>
    </row>
    <row r="68" spans="5:13" x14ac:dyDescent="0.25">
      <c r="E68" s="145"/>
      <c r="F68" s="32"/>
      <c r="M68" s="1"/>
    </row>
    <row r="69" spans="5:13" x14ac:dyDescent="0.25">
      <c r="E69" s="145"/>
      <c r="F69" s="32"/>
      <c r="M69" s="1"/>
    </row>
    <row r="70" spans="5:13" x14ac:dyDescent="0.25">
      <c r="E70" s="145"/>
      <c r="F70" s="32"/>
      <c r="M70" s="1"/>
    </row>
    <row r="71" spans="5:13" x14ac:dyDescent="0.25">
      <c r="E71" s="145"/>
      <c r="F71" s="32"/>
      <c r="M71" s="1"/>
    </row>
    <row r="72" spans="5:13" x14ac:dyDescent="0.25">
      <c r="E72" s="145"/>
      <c r="F72" s="32"/>
      <c r="M72" s="1"/>
    </row>
    <row r="73" spans="5:13" x14ac:dyDescent="0.25">
      <c r="E73" s="145"/>
      <c r="F73" s="32"/>
      <c r="M73" s="1"/>
    </row>
    <row r="74" spans="5:13" x14ac:dyDescent="0.25">
      <c r="E74" s="145"/>
      <c r="F74" s="32"/>
    </row>
    <row r="75" spans="5:13" x14ac:dyDescent="0.25">
      <c r="F75" s="144"/>
    </row>
    <row r="76" spans="5:13" x14ac:dyDescent="0.25">
      <c r="F76" s="144"/>
    </row>
    <row r="77" spans="5:13" x14ac:dyDescent="0.25">
      <c r="F77" s="144"/>
    </row>
  </sheetData>
  <sortState ref="J34:L38">
    <sortCondition ref="J34:J38"/>
  </sortState>
  <mergeCells count="21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92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14" t="s">
        <v>27</v>
      </c>
      <c r="B1" s="222"/>
      <c r="C1" s="180"/>
      <c r="D1" s="190"/>
      <c r="E1" s="180"/>
      <c r="F1" s="147" t="s">
        <v>21</v>
      </c>
    </row>
    <row r="2" spans="1:7" ht="16.5" thickBot="1" x14ac:dyDescent="0.3">
      <c r="A2" s="215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16">
        <v>44620</v>
      </c>
      <c r="B3" s="186" t="s">
        <v>169</v>
      </c>
      <c r="C3" s="187">
        <v>63981.4</v>
      </c>
      <c r="D3" s="192">
        <v>44624</v>
      </c>
      <c r="E3" s="187">
        <v>63981.4</v>
      </c>
      <c r="F3" s="152">
        <f>C3-E3</f>
        <v>0</v>
      </c>
    </row>
    <row r="4" spans="1:7" ht="15.75" x14ac:dyDescent="0.25">
      <c r="A4" s="216">
        <v>44620</v>
      </c>
      <c r="B4" s="186" t="s">
        <v>170</v>
      </c>
      <c r="C4" s="187">
        <v>28417.4</v>
      </c>
      <c r="D4" s="192">
        <v>44624</v>
      </c>
      <c r="E4" s="187">
        <v>28417.4</v>
      </c>
      <c r="F4" s="188">
        <f>C4-E4+F3</f>
        <v>0</v>
      </c>
    </row>
    <row r="5" spans="1:7" ht="15.75" x14ac:dyDescent="0.25">
      <c r="A5" s="216">
        <v>44620</v>
      </c>
      <c r="B5" s="186" t="s">
        <v>171</v>
      </c>
      <c r="C5" s="187">
        <v>3848.8</v>
      </c>
      <c r="D5" s="192">
        <v>44624</v>
      </c>
      <c r="E5" s="187">
        <v>3848.8</v>
      </c>
      <c r="F5" s="188">
        <f t="shared" ref="F5:F47" si="0">C5-E5+F4</f>
        <v>0</v>
      </c>
    </row>
    <row r="6" spans="1:7" ht="18.75" x14ac:dyDescent="0.3">
      <c r="A6" s="216">
        <v>44622</v>
      </c>
      <c r="B6" s="186" t="s">
        <v>172</v>
      </c>
      <c r="C6" s="187">
        <v>20212.599999999999</v>
      </c>
      <c r="D6" s="192">
        <v>44624</v>
      </c>
      <c r="E6" s="187">
        <v>20212.599999999999</v>
      </c>
      <c r="F6" s="188">
        <f t="shared" si="0"/>
        <v>0</v>
      </c>
      <c r="G6" s="156"/>
    </row>
    <row r="7" spans="1:7" ht="15.75" x14ac:dyDescent="0.25">
      <c r="A7" s="216">
        <v>44622</v>
      </c>
      <c r="B7" s="186" t="s">
        <v>173</v>
      </c>
      <c r="C7" s="187">
        <v>2787.2</v>
      </c>
      <c r="D7" s="192">
        <v>44624</v>
      </c>
      <c r="E7" s="187">
        <v>2787.2</v>
      </c>
      <c r="F7" s="188">
        <f t="shared" si="0"/>
        <v>0</v>
      </c>
    </row>
    <row r="8" spans="1:7" ht="15.75" x14ac:dyDescent="0.25">
      <c r="A8" s="216">
        <v>44622</v>
      </c>
      <c r="B8" s="186" t="s">
        <v>174</v>
      </c>
      <c r="C8" s="187">
        <v>76427.399999999994</v>
      </c>
      <c r="D8" s="192">
        <v>44624</v>
      </c>
      <c r="E8" s="187">
        <v>76427.399999999994</v>
      </c>
      <c r="F8" s="188">
        <f t="shared" si="0"/>
        <v>0</v>
      </c>
    </row>
    <row r="9" spans="1:7" ht="15.75" x14ac:dyDescent="0.25">
      <c r="A9" s="216">
        <v>44622</v>
      </c>
      <c r="B9" s="186" t="s">
        <v>175</v>
      </c>
      <c r="C9" s="187">
        <v>21897</v>
      </c>
      <c r="D9" s="192">
        <v>44624</v>
      </c>
      <c r="E9" s="187">
        <v>21897</v>
      </c>
      <c r="F9" s="188">
        <f t="shared" si="0"/>
        <v>0</v>
      </c>
    </row>
    <row r="10" spans="1:7" ht="15.75" x14ac:dyDescent="0.25">
      <c r="A10" s="216">
        <v>44624</v>
      </c>
      <c r="B10" s="186" t="s">
        <v>176</v>
      </c>
      <c r="C10" s="187">
        <v>117583.32</v>
      </c>
      <c r="D10" s="192">
        <v>44624</v>
      </c>
      <c r="E10" s="187">
        <v>117583.32</v>
      </c>
      <c r="F10" s="188">
        <f t="shared" si="0"/>
        <v>0</v>
      </c>
    </row>
    <row r="11" spans="1:7" ht="15.75" x14ac:dyDescent="0.25">
      <c r="A11" s="216">
        <v>44624</v>
      </c>
      <c r="B11" s="186" t="s">
        <v>177</v>
      </c>
      <c r="C11" s="187">
        <v>23317.8</v>
      </c>
      <c r="D11" s="231">
        <v>44631</v>
      </c>
      <c r="E11" s="232">
        <v>23317.8</v>
      </c>
      <c r="F11" s="188">
        <f t="shared" si="0"/>
        <v>0</v>
      </c>
    </row>
    <row r="12" spans="1:7" ht="18.75" x14ac:dyDescent="0.3">
      <c r="A12" s="216">
        <v>44625</v>
      </c>
      <c r="B12" s="186" t="s">
        <v>178</v>
      </c>
      <c r="C12" s="187">
        <v>92582.65</v>
      </c>
      <c r="D12" s="231">
        <v>44631</v>
      </c>
      <c r="E12" s="232">
        <v>92582.65</v>
      </c>
      <c r="F12" s="188">
        <f t="shared" si="0"/>
        <v>0</v>
      </c>
      <c r="G12" s="156"/>
    </row>
    <row r="13" spans="1:7" ht="15.75" x14ac:dyDescent="0.25">
      <c r="A13" s="216">
        <v>44625</v>
      </c>
      <c r="B13" s="186" t="s">
        <v>179</v>
      </c>
      <c r="C13" s="187">
        <v>37678.199999999997</v>
      </c>
      <c r="D13" s="231">
        <v>44631</v>
      </c>
      <c r="E13" s="232">
        <v>37678.199999999997</v>
      </c>
      <c r="F13" s="188">
        <f t="shared" si="0"/>
        <v>0</v>
      </c>
    </row>
    <row r="14" spans="1:7" ht="15.75" x14ac:dyDescent="0.25">
      <c r="A14" s="216">
        <v>44627</v>
      </c>
      <c r="B14" s="186" t="s">
        <v>180</v>
      </c>
      <c r="C14" s="187">
        <v>71302.149999999994</v>
      </c>
      <c r="D14" s="231">
        <v>44631</v>
      </c>
      <c r="E14" s="232">
        <v>71302.149999999994</v>
      </c>
      <c r="F14" s="188">
        <f t="shared" si="0"/>
        <v>0</v>
      </c>
    </row>
    <row r="15" spans="1:7" ht="15.75" x14ac:dyDescent="0.25">
      <c r="A15" s="216">
        <v>44629</v>
      </c>
      <c r="B15" s="186" t="s">
        <v>181</v>
      </c>
      <c r="C15" s="187">
        <v>122152.6</v>
      </c>
      <c r="D15" s="231">
        <v>44631</v>
      </c>
      <c r="E15" s="232">
        <v>122152.6</v>
      </c>
      <c r="F15" s="188">
        <f t="shared" si="0"/>
        <v>0</v>
      </c>
    </row>
    <row r="16" spans="1:7" ht="15.75" x14ac:dyDescent="0.25">
      <c r="A16" s="216">
        <v>44630</v>
      </c>
      <c r="B16" s="186" t="s">
        <v>182</v>
      </c>
      <c r="C16" s="187">
        <v>19883.2</v>
      </c>
      <c r="D16" s="231">
        <v>44631</v>
      </c>
      <c r="E16" s="232">
        <v>19883.2</v>
      </c>
      <c r="F16" s="188">
        <f t="shared" si="0"/>
        <v>0</v>
      </c>
    </row>
    <row r="17" spans="1:7" ht="15.75" x14ac:dyDescent="0.25">
      <c r="A17" s="216">
        <v>44630</v>
      </c>
      <c r="B17" s="186" t="s">
        <v>183</v>
      </c>
      <c r="C17" s="187">
        <v>76107.320000000007</v>
      </c>
      <c r="D17" s="231">
        <v>44631</v>
      </c>
      <c r="E17" s="232">
        <v>76107.320000000007</v>
      </c>
      <c r="F17" s="188">
        <f t="shared" si="0"/>
        <v>0</v>
      </c>
    </row>
    <row r="18" spans="1:7" ht="15.75" x14ac:dyDescent="0.25">
      <c r="A18" s="216">
        <v>44631</v>
      </c>
      <c r="B18" s="186" t="s">
        <v>184</v>
      </c>
      <c r="C18" s="187">
        <v>84276.9</v>
      </c>
      <c r="D18" s="207">
        <v>44638</v>
      </c>
      <c r="E18" s="208">
        <v>84276.9</v>
      </c>
      <c r="F18" s="188">
        <f t="shared" si="0"/>
        <v>0</v>
      </c>
    </row>
    <row r="19" spans="1:7" ht="15.75" x14ac:dyDescent="0.25">
      <c r="A19" s="216">
        <v>44632</v>
      </c>
      <c r="B19" s="186" t="s">
        <v>185</v>
      </c>
      <c r="C19" s="187">
        <v>47979.55</v>
      </c>
      <c r="D19" s="207">
        <v>44638</v>
      </c>
      <c r="E19" s="208">
        <v>47979.55</v>
      </c>
      <c r="F19" s="188">
        <f t="shared" si="0"/>
        <v>0</v>
      </c>
    </row>
    <row r="20" spans="1:7" ht="15.75" x14ac:dyDescent="0.25">
      <c r="A20" s="216">
        <v>44632</v>
      </c>
      <c r="B20" s="186" t="s">
        <v>186</v>
      </c>
      <c r="C20" s="187">
        <v>1377.6</v>
      </c>
      <c r="D20" s="207">
        <v>44638</v>
      </c>
      <c r="E20" s="208">
        <v>1377.6</v>
      </c>
      <c r="F20" s="188">
        <f t="shared" si="0"/>
        <v>0</v>
      </c>
    </row>
    <row r="21" spans="1:7" ht="15.75" x14ac:dyDescent="0.25">
      <c r="A21" s="216">
        <v>44632</v>
      </c>
      <c r="B21" s="186" t="s">
        <v>187</v>
      </c>
      <c r="C21" s="187">
        <v>12015.5</v>
      </c>
      <c r="D21" s="207">
        <v>44638</v>
      </c>
      <c r="E21" s="208">
        <v>12015.5</v>
      </c>
      <c r="F21" s="188">
        <f t="shared" si="0"/>
        <v>0</v>
      </c>
    </row>
    <row r="22" spans="1:7" ht="15.75" x14ac:dyDescent="0.25">
      <c r="A22" s="216">
        <v>44634</v>
      </c>
      <c r="B22" s="186" t="s">
        <v>188</v>
      </c>
      <c r="C22" s="187">
        <v>95938.68</v>
      </c>
      <c r="D22" s="207">
        <v>44638</v>
      </c>
      <c r="E22" s="208">
        <v>95938.68</v>
      </c>
      <c r="F22" s="188">
        <f t="shared" si="0"/>
        <v>0</v>
      </c>
    </row>
    <row r="23" spans="1:7" ht="15.75" x14ac:dyDescent="0.25">
      <c r="A23" s="216">
        <v>44634</v>
      </c>
      <c r="B23" s="186" t="s">
        <v>189</v>
      </c>
      <c r="C23" s="187">
        <v>9400.2000000000007</v>
      </c>
      <c r="D23" s="207">
        <v>44638</v>
      </c>
      <c r="E23" s="208">
        <v>9400.2000000000007</v>
      </c>
      <c r="F23" s="188">
        <f t="shared" si="0"/>
        <v>0</v>
      </c>
    </row>
    <row r="24" spans="1:7" ht="18.75" x14ac:dyDescent="0.3">
      <c r="A24" s="216">
        <v>44636</v>
      </c>
      <c r="B24" s="186" t="s">
        <v>197</v>
      </c>
      <c r="C24" s="187">
        <v>121105.5</v>
      </c>
      <c r="D24" s="207">
        <v>44638</v>
      </c>
      <c r="E24" s="208">
        <v>121105.5</v>
      </c>
      <c r="F24" s="188">
        <f t="shared" si="0"/>
        <v>0</v>
      </c>
      <c r="G24" s="156"/>
    </row>
    <row r="25" spans="1:7" ht="15.75" x14ac:dyDescent="0.25">
      <c r="A25" s="216">
        <v>44636</v>
      </c>
      <c r="B25" s="186" t="s">
        <v>198</v>
      </c>
      <c r="C25" s="187">
        <v>17248.8</v>
      </c>
      <c r="D25" s="207">
        <v>44638</v>
      </c>
      <c r="E25" s="208">
        <v>17248.8</v>
      </c>
      <c r="F25" s="188">
        <f t="shared" si="0"/>
        <v>0</v>
      </c>
    </row>
    <row r="26" spans="1:7" ht="15.75" x14ac:dyDescent="0.25">
      <c r="A26" s="216">
        <v>44637</v>
      </c>
      <c r="B26" s="186" t="s">
        <v>199</v>
      </c>
      <c r="C26" s="187">
        <v>21554.400000000001</v>
      </c>
      <c r="D26" s="207">
        <v>44638</v>
      </c>
      <c r="E26" s="208">
        <v>21554.400000000001</v>
      </c>
      <c r="F26" s="188">
        <f t="shared" si="0"/>
        <v>0</v>
      </c>
    </row>
    <row r="27" spans="1:7" ht="15.75" x14ac:dyDescent="0.25">
      <c r="A27" s="216">
        <v>44638</v>
      </c>
      <c r="B27" s="186" t="s">
        <v>200</v>
      </c>
      <c r="C27" s="187">
        <v>79239.5</v>
      </c>
      <c r="D27" s="207">
        <v>44638</v>
      </c>
      <c r="E27" s="208">
        <v>79239.5</v>
      </c>
      <c r="F27" s="188">
        <f t="shared" si="0"/>
        <v>0</v>
      </c>
    </row>
    <row r="28" spans="1:7" ht="15.75" x14ac:dyDescent="0.25">
      <c r="A28" s="216">
        <v>44638</v>
      </c>
      <c r="B28" s="186" t="s">
        <v>208</v>
      </c>
      <c r="C28" s="187">
        <v>12469.8</v>
      </c>
      <c r="D28" s="233">
        <v>44645</v>
      </c>
      <c r="E28" s="234">
        <v>12469.8</v>
      </c>
      <c r="F28" s="188">
        <f t="shared" si="0"/>
        <v>0</v>
      </c>
    </row>
    <row r="29" spans="1:7" ht="15.75" x14ac:dyDescent="0.25">
      <c r="A29" s="216">
        <v>44639</v>
      </c>
      <c r="B29" s="186" t="s">
        <v>209</v>
      </c>
      <c r="C29" s="187">
        <v>99143.25</v>
      </c>
      <c r="D29" s="233">
        <v>44645</v>
      </c>
      <c r="E29" s="234">
        <v>99143.25</v>
      </c>
      <c r="F29" s="188">
        <f t="shared" si="0"/>
        <v>0</v>
      </c>
    </row>
    <row r="30" spans="1:7" ht="15.75" x14ac:dyDescent="0.25">
      <c r="A30" s="216">
        <v>44639</v>
      </c>
      <c r="B30" s="186" t="s">
        <v>210</v>
      </c>
      <c r="C30" s="187">
        <v>6625</v>
      </c>
      <c r="D30" s="233">
        <v>44645</v>
      </c>
      <c r="E30" s="234">
        <v>6625</v>
      </c>
      <c r="F30" s="188">
        <f t="shared" si="0"/>
        <v>0</v>
      </c>
    </row>
    <row r="31" spans="1:7" ht="15.75" x14ac:dyDescent="0.25">
      <c r="A31" s="216">
        <v>44639</v>
      </c>
      <c r="B31" s="186" t="s">
        <v>211</v>
      </c>
      <c r="C31" s="187">
        <v>2445.6</v>
      </c>
      <c r="D31" s="233">
        <v>44645</v>
      </c>
      <c r="E31" s="234">
        <v>2445.6</v>
      </c>
      <c r="F31" s="188">
        <f t="shared" si="0"/>
        <v>0</v>
      </c>
    </row>
    <row r="32" spans="1:7" ht="18.75" x14ac:dyDescent="0.3">
      <c r="A32" s="216">
        <v>44641</v>
      </c>
      <c r="B32" s="186" t="s">
        <v>212</v>
      </c>
      <c r="C32" s="187">
        <v>99443</v>
      </c>
      <c r="D32" s="233">
        <v>44645</v>
      </c>
      <c r="E32" s="234">
        <v>99443</v>
      </c>
      <c r="F32" s="188">
        <f t="shared" si="0"/>
        <v>0</v>
      </c>
      <c r="G32" s="156"/>
    </row>
    <row r="33" spans="1:6" ht="15.75" x14ac:dyDescent="0.25">
      <c r="A33" s="216">
        <v>44643</v>
      </c>
      <c r="B33" s="186" t="s">
        <v>213</v>
      </c>
      <c r="C33" s="187">
        <v>117287.22</v>
      </c>
      <c r="D33" s="233">
        <v>44645</v>
      </c>
      <c r="E33" s="234">
        <v>117287.22</v>
      </c>
      <c r="F33" s="188">
        <f t="shared" si="0"/>
        <v>0</v>
      </c>
    </row>
    <row r="34" spans="1:6" ht="15.75" x14ac:dyDescent="0.25">
      <c r="A34" s="216">
        <v>44644</v>
      </c>
      <c r="B34" s="186" t="s">
        <v>214</v>
      </c>
      <c r="C34" s="187">
        <v>27776.2</v>
      </c>
      <c r="D34" s="233">
        <v>44645</v>
      </c>
      <c r="E34" s="234">
        <v>27776.2</v>
      </c>
      <c r="F34" s="188">
        <f t="shared" si="0"/>
        <v>0</v>
      </c>
    </row>
    <row r="35" spans="1:6" ht="15.75" x14ac:dyDescent="0.25">
      <c r="A35" s="216">
        <v>44645</v>
      </c>
      <c r="B35" s="186" t="s">
        <v>215</v>
      </c>
      <c r="C35" s="187">
        <v>100979.1</v>
      </c>
      <c r="D35" s="233">
        <v>44645</v>
      </c>
      <c r="E35" s="234">
        <v>100979.1</v>
      </c>
      <c r="F35" s="188">
        <f t="shared" si="0"/>
        <v>0</v>
      </c>
    </row>
    <row r="36" spans="1:6" ht="15.75" x14ac:dyDescent="0.25">
      <c r="A36" s="216">
        <v>44645</v>
      </c>
      <c r="B36" s="186" t="s">
        <v>216</v>
      </c>
      <c r="C36" s="187">
        <v>2400</v>
      </c>
      <c r="D36" s="229">
        <v>44652</v>
      </c>
      <c r="E36" s="230">
        <v>2400</v>
      </c>
      <c r="F36" s="188">
        <f t="shared" si="0"/>
        <v>0</v>
      </c>
    </row>
    <row r="37" spans="1:6" ht="15.75" x14ac:dyDescent="0.25">
      <c r="A37" s="216">
        <v>44646</v>
      </c>
      <c r="B37" s="186" t="s">
        <v>217</v>
      </c>
      <c r="C37" s="187">
        <v>100244.2</v>
      </c>
      <c r="D37" s="229">
        <v>44652</v>
      </c>
      <c r="E37" s="230">
        <v>100244.2</v>
      </c>
      <c r="F37" s="188">
        <f t="shared" si="0"/>
        <v>0</v>
      </c>
    </row>
    <row r="38" spans="1:6" ht="15.75" x14ac:dyDescent="0.25">
      <c r="A38" s="216">
        <v>44646</v>
      </c>
      <c r="B38" s="186" t="s">
        <v>218</v>
      </c>
      <c r="C38" s="187">
        <v>400</v>
      </c>
      <c r="D38" s="229">
        <v>44652</v>
      </c>
      <c r="E38" s="230">
        <v>400</v>
      </c>
      <c r="F38" s="188">
        <f t="shared" si="0"/>
        <v>0</v>
      </c>
    </row>
    <row r="39" spans="1:6" ht="15.75" x14ac:dyDescent="0.25">
      <c r="A39" s="216">
        <v>44647</v>
      </c>
      <c r="B39" s="186" t="s">
        <v>219</v>
      </c>
      <c r="C39" s="187">
        <v>2696.4</v>
      </c>
      <c r="D39" s="229">
        <v>44652</v>
      </c>
      <c r="E39" s="230">
        <v>2696.4</v>
      </c>
      <c r="F39" s="188">
        <f t="shared" si="0"/>
        <v>0</v>
      </c>
    </row>
    <row r="40" spans="1:6" ht="15.75" x14ac:dyDescent="0.25">
      <c r="A40" s="216">
        <v>44647</v>
      </c>
      <c r="B40" s="186" t="s">
        <v>220</v>
      </c>
      <c r="C40" s="187">
        <v>7911.2</v>
      </c>
      <c r="D40" s="229">
        <v>44652</v>
      </c>
      <c r="E40" s="230">
        <v>7911.2</v>
      </c>
      <c r="F40" s="188">
        <f t="shared" si="0"/>
        <v>0</v>
      </c>
    </row>
    <row r="41" spans="1:6" ht="15.75" x14ac:dyDescent="0.25">
      <c r="A41" s="216"/>
      <c r="B41" s="186"/>
      <c r="C41" s="187"/>
      <c r="D41" s="192"/>
      <c r="E41" s="187"/>
      <c r="F41" s="188">
        <f t="shared" si="0"/>
        <v>0</v>
      </c>
    </row>
    <row r="42" spans="1:6" ht="15.75" x14ac:dyDescent="0.25">
      <c r="A42" s="216"/>
      <c r="B42" s="186"/>
      <c r="C42" s="187"/>
      <c r="D42" s="192"/>
      <c r="E42" s="187"/>
      <c r="F42" s="188">
        <v>0</v>
      </c>
    </row>
    <row r="43" spans="1:6" ht="16.5" thickBot="1" x14ac:dyDescent="0.3">
      <c r="A43" s="217"/>
      <c r="B43" s="154"/>
      <c r="C43" s="84"/>
      <c r="D43" s="153"/>
      <c r="E43" s="84"/>
      <c r="F43" s="188">
        <v>0</v>
      </c>
    </row>
    <row r="44" spans="1:6" ht="15" hidden="1" customHeight="1" x14ac:dyDescent="0.25">
      <c r="A44" s="21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21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21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21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21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21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21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21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21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21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21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21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21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21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21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21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21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21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219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219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219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219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219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219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21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21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21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21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21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21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21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21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21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21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220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21"/>
      <c r="B79" s="223"/>
      <c r="C79" s="169">
        <f>SUM(C3:C78)</f>
        <v>1848136.6399999997</v>
      </c>
      <c r="D79" s="181"/>
      <c r="E79" s="170">
        <f>SUM(E3:E78)</f>
        <v>1848136.6399999997</v>
      </c>
      <c r="F79" s="171">
        <f>SUM(F3:F78)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96"/>
      <c r="C1" s="398" t="s">
        <v>225</v>
      </c>
      <c r="D1" s="399"/>
      <c r="E1" s="399"/>
      <c r="F1" s="399"/>
      <c r="G1" s="399"/>
      <c r="H1" s="399"/>
      <c r="I1" s="399"/>
      <c r="J1" s="399"/>
      <c r="K1" s="399"/>
      <c r="L1" s="399"/>
      <c r="M1" s="399"/>
    </row>
    <row r="2" spans="1:21" ht="16.5" thickBot="1" x14ac:dyDescent="0.3">
      <c r="B2" s="397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0" t="s">
        <v>0</v>
      </c>
      <c r="C3" s="401"/>
      <c r="D3" s="9"/>
      <c r="E3" s="10"/>
      <c r="F3" s="10"/>
      <c r="H3" s="402" t="s">
        <v>1</v>
      </c>
      <c r="I3" s="402"/>
      <c r="K3" s="12"/>
      <c r="L3" s="12"/>
      <c r="M3" s="4"/>
      <c r="R3" s="407" t="s">
        <v>38</v>
      </c>
    </row>
    <row r="4" spans="1:21" ht="20.25" thickTop="1" thickBot="1" x14ac:dyDescent="0.35">
      <c r="A4" s="13" t="s">
        <v>2</v>
      </c>
      <c r="B4" s="14"/>
      <c r="C4" s="15">
        <v>219417.37</v>
      </c>
      <c r="D4" s="16">
        <v>44647</v>
      </c>
      <c r="E4" s="403" t="s">
        <v>3</v>
      </c>
      <c r="F4" s="404"/>
      <c r="H4" s="405" t="s">
        <v>4</v>
      </c>
      <c r="I4" s="406"/>
      <c r="J4" s="17"/>
      <c r="K4" s="18"/>
      <c r="L4" s="19"/>
      <c r="M4" s="20" t="s">
        <v>5</v>
      </c>
      <c r="N4" s="21" t="s">
        <v>6</v>
      </c>
      <c r="P4" s="414" t="s">
        <v>7</v>
      </c>
      <c r="Q4" s="415"/>
      <c r="R4" s="408"/>
    </row>
    <row r="5" spans="1:21" ht="18" thickBot="1" x14ac:dyDescent="0.35">
      <c r="A5" s="22" t="s">
        <v>8</v>
      </c>
      <c r="B5" s="23">
        <v>44648</v>
      </c>
      <c r="C5" s="24">
        <v>0</v>
      </c>
      <c r="D5" s="25"/>
      <c r="E5" s="26">
        <v>44648</v>
      </c>
      <c r="F5" s="27">
        <v>52962</v>
      </c>
      <c r="H5" s="28">
        <v>44648</v>
      </c>
      <c r="I5" s="29">
        <v>216</v>
      </c>
      <c r="J5" s="6"/>
      <c r="K5" s="174"/>
      <c r="L5" s="8"/>
      <c r="M5" s="30">
        <f>1000+17458+33550</f>
        <v>52008</v>
      </c>
      <c r="N5" s="31">
        <v>738</v>
      </c>
      <c r="P5" s="32">
        <f>N5+M5+L5+I5+C5</f>
        <v>52962</v>
      </c>
      <c r="Q5" s="12">
        <f>P5-F5</f>
        <v>0</v>
      </c>
      <c r="R5" s="8"/>
    </row>
    <row r="6" spans="1:21" ht="18" thickBot="1" x14ac:dyDescent="0.35">
      <c r="A6" s="22"/>
      <c r="B6" s="23">
        <v>44649</v>
      </c>
      <c r="C6" s="24">
        <v>0</v>
      </c>
      <c r="D6" s="34"/>
      <c r="E6" s="26">
        <v>44649</v>
      </c>
      <c r="F6" s="27">
        <v>45267</v>
      </c>
      <c r="H6" s="28">
        <v>44649</v>
      </c>
      <c r="I6" s="29">
        <v>80</v>
      </c>
      <c r="J6" s="36"/>
      <c r="K6" s="37"/>
      <c r="L6" s="38"/>
      <c r="M6" s="30">
        <f>20000+24940</f>
        <v>44940</v>
      </c>
      <c r="N6" s="31">
        <v>250</v>
      </c>
      <c r="P6" s="32">
        <f t="shared" ref="P6:P39" si="0">N6+M6+L6+I6+C6</f>
        <v>45270</v>
      </c>
      <c r="Q6" s="12">
        <f t="shared" ref="Q6:Q40" si="1">P6-F6</f>
        <v>3</v>
      </c>
      <c r="R6" s="7"/>
      <c r="S6">
        <v>3</v>
      </c>
    </row>
    <row r="7" spans="1:21" ht="18" thickBot="1" x14ac:dyDescent="0.35">
      <c r="A7" s="22"/>
      <c r="B7" s="23">
        <v>44650</v>
      </c>
      <c r="C7" s="24">
        <v>0</v>
      </c>
      <c r="D7" s="39"/>
      <c r="E7" s="26">
        <v>44650</v>
      </c>
      <c r="F7" s="27">
        <v>32418</v>
      </c>
      <c r="H7" s="28">
        <v>44650</v>
      </c>
      <c r="I7" s="29">
        <v>138</v>
      </c>
      <c r="J7" s="36"/>
      <c r="K7" s="40"/>
      <c r="L7" s="38"/>
      <c r="M7" s="30">
        <f>10000+21558</f>
        <v>31558</v>
      </c>
      <c r="N7" s="31">
        <v>725</v>
      </c>
      <c r="P7" s="32">
        <f t="shared" si="0"/>
        <v>32421</v>
      </c>
      <c r="Q7" s="12">
        <f t="shared" si="1"/>
        <v>3</v>
      </c>
      <c r="R7" s="8"/>
      <c r="S7">
        <v>3</v>
      </c>
    </row>
    <row r="8" spans="1:21" ht="18" thickBot="1" x14ac:dyDescent="0.35">
      <c r="A8" s="22"/>
      <c r="B8" s="23">
        <v>44651</v>
      </c>
      <c r="C8" s="24">
        <v>3520</v>
      </c>
      <c r="D8" s="39" t="s">
        <v>47</v>
      </c>
      <c r="E8" s="26">
        <v>44651</v>
      </c>
      <c r="F8" s="27">
        <v>44996</v>
      </c>
      <c r="H8" s="28">
        <v>44651</v>
      </c>
      <c r="I8" s="29">
        <v>15</v>
      </c>
      <c r="J8" s="42"/>
      <c r="K8" s="43"/>
      <c r="L8" s="38"/>
      <c r="M8" s="30">
        <f>10000+31470</f>
        <v>41470</v>
      </c>
      <c r="N8" s="31">
        <v>0</v>
      </c>
      <c r="P8" s="32">
        <f t="shared" si="0"/>
        <v>45005</v>
      </c>
      <c r="Q8" s="12">
        <f t="shared" si="1"/>
        <v>9</v>
      </c>
      <c r="R8" s="8"/>
      <c r="S8">
        <v>9</v>
      </c>
    </row>
    <row r="9" spans="1:21" ht="18" thickBot="1" x14ac:dyDescent="0.35">
      <c r="A9" s="22"/>
      <c r="B9" s="23">
        <v>44652</v>
      </c>
      <c r="C9" s="24">
        <v>0</v>
      </c>
      <c r="D9" s="39"/>
      <c r="E9" s="26">
        <v>44652</v>
      </c>
      <c r="F9" s="27">
        <v>83524</v>
      </c>
      <c r="H9" s="28">
        <v>44652</v>
      </c>
      <c r="I9" s="29">
        <v>82</v>
      </c>
      <c r="J9" s="36"/>
      <c r="K9" s="44"/>
      <c r="L9" s="38"/>
      <c r="M9" s="30">
        <f>25000+57990</f>
        <v>82990</v>
      </c>
      <c r="N9" s="31">
        <v>456</v>
      </c>
      <c r="P9" s="32">
        <f>N9+M9+L9+I9+C9</f>
        <v>83528</v>
      </c>
      <c r="Q9" s="12">
        <f t="shared" si="1"/>
        <v>4</v>
      </c>
      <c r="R9" s="7"/>
      <c r="S9">
        <v>4</v>
      </c>
    </row>
    <row r="10" spans="1:21" ht="18" thickBot="1" x14ac:dyDescent="0.35">
      <c r="A10" s="22"/>
      <c r="B10" s="23">
        <v>44653</v>
      </c>
      <c r="C10" s="24">
        <v>9627</v>
      </c>
      <c r="D10" s="34" t="s">
        <v>227</v>
      </c>
      <c r="E10" s="26">
        <v>44653</v>
      </c>
      <c r="F10" s="27">
        <v>92174</v>
      </c>
      <c r="H10" s="28">
        <v>44653</v>
      </c>
      <c r="I10" s="29">
        <v>85</v>
      </c>
      <c r="J10" s="36">
        <v>44653</v>
      </c>
      <c r="K10" s="45" t="s">
        <v>228</v>
      </c>
      <c r="L10" s="46">
        <v>8717</v>
      </c>
      <c r="M10" s="30">
        <f>30000+35500</f>
        <v>65500</v>
      </c>
      <c r="N10" s="31">
        <v>8231</v>
      </c>
      <c r="P10" s="32">
        <f t="shared" si="0"/>
        <v>92160</v>
      </c>
      <c r="Q10" s="59">
        <f t="shared" si="1"/>
        <v>-14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44654</v>
      </c>
      <c r="C11" s="24">
        <v>10934</v>
      </c>
      <c r="D11" s="34" t="s">
        <v>229</v>
      </c>
      <c r="E11" s="26">
        <v>44654</v>
      </c>
      <c r="F11" s="27">
        <f>87761+285</f>
        <v>88046</v>
      </c>
      <c r="H11" s="28">
        <v>44654</v>
      </c>
      <c r="I11" s="29">
        <v>44</v>
      </c>
      <c r="J11" s="42"/>
      <c r="K11" s="47"/>
      <c r="L11" s="38"/>
      <c r="M11" s="30">
        <f>50000+15000+10874</f>
        <v>75874</v>
      </c>
      <c r="N11" s="31">
        <v>1194</v>
      </c>
      <c r="P11" s="32">
        <f>N11+M11+L11+I11+C11</f>
        <v>88046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44655</v>
      </c>
      <c r="C12" s="24">
        <v>0</v>
      </c>
      <c r="D12" s="34"/>
      <c r="E12" s="26">
        <v>44655</v>
      </c>
      <c r="F12" s="27">
        <v>58072</v>
      </c>
      <c r="H12" s="28">
        <v>44655</v>
      </c>
      <c r="I12" s="29">
        <v>92</v>
      </c>
      <c r="J12" s="36"/>
      <c r="K12" s="48"/>
      <c r="L12" s="38"/>
      <c r="M12" s="30">
        <f>38080+19900</f>
        <v>57980</v>
      </c>
      <c r="N12" s="31">
        <v>0</v>
      </c>
      <c r="P12" s="32">
        <f t="shared" si="0"/>
        <v>58072</v>
      </c>
      <c r="Q12" s="12">
        <f t="shared" si="1"/>
        <v>0</v>
      </c>
      <c r="R12" s="7"/>
      <c r="S12">
        <v>0</v>
      </c>
    </row>
    <row r="13" spans="1:21" ht="18" thickBot="1" x14ac:dyDescent="0.35">
      <c r="A13" s="22"/>
      <c r="B13" s="23">
        <v>44656</v>
      </c>
      <c r="C13" s="24">
        <v>0</v>
      </c>
      <c r="D13" s="39"/>
      <c r="E13" s="26">
        <v>44656</v>
      </c>
      <c r="F13" s="27">
        <v>56671</v>
      </c>
      <c r="H13" s="28">
        <v>44656</v>
      </c>
      <c r="I13" s="29">
        <v>76</v>
      </c>
      <c r="J13" s="36"/>
      <c r="K13" s="37"/>
      <c r="L13" s="38"/>
      <c r="M13" s="30">
        <f>25000+31600</f>
        <v>56600</v>
      </c>
      <c r="N13" s="31">
        <v>0</v>
      </c>
      <c r="P13" s="32">
        <f t="shared" si="0"/>
        <v>56676</v>
      </c>
      <c r="Q13" s="12">
        <f t="shared" si="1"/>
        <v>5</v>
      </c>
      <c r="R13" s="177"/>
      <c r="S13">
        <v>5</v>
      </c>
    </row>
    <row r="14" spans="1:21" ht="18" thickBot="1" x14ac:dyDescent="0.35">
      <c r="A14" s="22"/>
      <c r="B14" s="23">
        <v>44657</v>
      </c>
      <c r="C14" s="24">
        <v>18742</v>
      </c>
      <c r="D14" s="49" t="s">
        <v>230</v>
      </c>
      <c r="E14" s="26">
        <v>44657</v>
      </c>
      <c r="F14" s="27">
        <v>42352</v>
      </c>
      <c r="H14" s="28">
        <v>44657</v>
      </c>
      <c r="I14" s="29">
        <v>71</v>
      </c>
      <c r="J14" s="36"/>
      <c r="K14" s="43"/>
      <c r="L14" s="38"/>
      <c r="M14" s="30">
        <f>10000+10820</f>
        <v>20820</v>
      </c>
      <c r="N14" s="31">
        <v>2722</v>
      </c>
      <c r="P14" s="32">
        <f t="shared" si="0"/>
        <v>42355</v>
      </c>
      <c r="Q14" s="12">
        <f t="shared" si="1"/>
        <v>3</v>
      </c>
      <c r="R14" s="177"/>
      <c r="S14">
        <v>3</v>
      </c>
    </row>
    <row r="15" spans="1:21" ht="18" thickBot="1" x14ac:dyDescent="0.35">
      <c r="A15" s="22"/>
      <c r="B15" s="23">
        <v>44658</v>
      </c>
      <c r="C15" s="24">
        <v>0</v>
      </c>
      <c r="D15" s="49"/>
      <c r="E15" s="26">
        <v>44658</v>
      </c>
      <c r="F15" s="27">
        <v>61760</v>
      </c>
      <c r="H15" s="28">
        <v>44658</v>
      </c>
      <c r="I15" s="29">
        <v>62</v>
      </c>
      <c r="J15" s="36"/>
      <c r="K15" s="43"/>
      <c r="L15" s="38"/>
      <c r="M15" s="30">
        <f>30000+31200</f>
        <v>61200</v>
      </c>
      <c r="N15" s="31">
        <v>490</v>
      </c>
      <c r="P15" s="32">
        <f t="shared" si="0"/>
        <v>61752</v>
      </c>
      <c r="Q15" s="59">
        <f t="shared" si="1"/>
        <v>-8</v>
      </c>
      <c r="R15" s="7"/>
      <c r="S15">
        <v>-8</v>
      </c>
    </row>
    <row r="16" spans="1:21" ht="18" thickBot="1" x14ac:dyDescent="0.35">
      <c r="A16" s="22"/>
      <c r="B16" s="23">
        <v>44659</v>
      </c>
      <c r="C16" s="24">
        <v>0</v>
      </c>
      <c r="D16" s="34"/>
      <c r="E16" s="26">
        <v>44659</v>
      </c>
      <c r="F16" s="27">
        <v>89894</v>
      </c>
      <c r="H16" s="28">
        <v>44659</v>
      </c>
      <c r="I16" s="29">
        <v>106</v>
      </c>
      <c r="J16" s="36"/>
      <c r="K16" s="43"/>
      <c r="L16" s="8"/>
      <c r="M16" s="30">
        <f>55000+34490</f>
        <v>89490</v>
      </c>
      <c r="N16" s="31">
        <v>300</v>
      </c>
      <c r="P16" s="32">
        <f t="shared" si="0"/>
        <v>89896</v>
      </c>
      <c r="Q16" s="12">
        <f t="shared" si="1"/>
        <v>2</v>
      </c>
      <c r="R16" s="7" t="s">
        <v>8</v>
      </c>
      <c r="S16">
        <v>2</v>
      </c>
    </row>
    <row r="17" spans="1:19" ht="18" thickBot="1" x14ac:dyDescent="0.35">
      <c r="A17" s="22"/>
      <c r="B17" s="23">
        <v>44660</v>
      </c>
      <c r="C17" s="24">
        <v>0</v>
      </c>
      <c r="D17" s="39"/>
      <c r="E17" s="26">
        <v>44660</v>
      </c>
      <c r="F17" s="27">
        <v>67991</v>
      </c>
      <c r="H17" s="28">
        <v>44660</v>
      </c>
      <c r="I17" s="29">
        <v>158</v>
      </c>
      <c r="J17" s="36">
        <v>44660</v>
      </c>
      <c r="K17" s="50" t="s">
        <v>231</v>
      </c>
      <c r="L17" s="46">
        <v>9800</v>
      </c>
      <c r="M17" s="30">
        <f>30000+18440</f>
        <v>48440</v>
      </c>
      <c r="N17" s="31">
        <v>9597</v>
      </c>
      <c r="P17" s="32">
        <f t="shared" si="0"/>
        <v>67995</v>
      </c>
      <c r="Q17" s="12">
        <f t="shared" si="1"/>
        <v>4</v>
      </c>
      <c r="R17" s="7"/>
      <c r="S17">
        <v>4</v>
      </c>
    </row>
    <row r="18" spans="1:19" ht="18" thickBot="1" x14ac:dyDescent="0.35">
      <c r="A18" s="22"/>
      <c r="B18" s="23">
        <v>44661</v>
      </c>
      <c r="C18" s="24">
        <v>17885</v>
      </c>
      <c r="D18" s="34" t="s">
        <v>232</v>
      </c>
      <c r="E18" s="26">
        <v>44661</v>
      </c>
      <c r="F18" s="27">
        <v>91204</v>
      </c>
      <c r="H18" s="28">
        <v>44661</v>
      </c>
      <c r="I18" s="29">
        <v>35</v>
      </c>
      <c r="J18" s="36"/>
      <c r="K18" s="51"/>
      <c r="L18" s="38"/>
      <c r="M18" s="30">
        <f>50000+11112+10616</f>
        <v>71728</v>
      </c>
      <c r="N18" s="31">
        <v>1556</v>
      </c>
      <c r="P18" s="32">
        <f t="shared" si="0"/>
        <v>91204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44662</v>
      </c>
      <c r="C19" s="24">
        <v>0</v>
      </c>
      <c r="D19" s="34"/>
      <c r="E19" s="26">
        <v>44662</v>
      </c>
      <c r="F19" s="27">
        <v>60684</v>
      </c>
      <c r="H19" s="28">
        <v>44662</v>
      </c>
      <c r="I19" s="29">
        <v>202</v>
      </c>
      <c r="J19" s="36"/>
      <c r="K19" s="52"/>
      <c r="L19" s="53"/>
      <c r="M19" s="30">
        <f>30100+29613</f>
        <v>59713</v>
      </c>
      <c r="N19" s="31">
        <v>769</v>
      </c>
      <c r="P19" s="32">
        <f t="shared" si="0"/>
        <v>60684</v>
      </c>
      <c r="Q19" s="12">
        <f t="shared" si="1"/>
        <v>0</v>
      </c>
      <c r="R19" s="7"/>
      <c r="S19">
        <v>0</v>
      </c>
    </row>
    <row r="20" spans="1:19" ht="18" thickBot="1" x14ac:dyDescent="0.35">
      <c r="A20" s="22"/>
      <c r="B20" s="23">
        <v>44663</v>
      </c>
      <c r="C20" s="24">
        <v>0</v>
      </c>
      <c r="D20" s="34"/>
      <c r="E20" s="26">
        <v>44663</v>
      </c>
      <c r="F20" s="27">
        <v>56907</v>
      </c>
      <c r="H20" s="28">
        <v>44663</v>
      </c>
      <c r="I20" s="29">
        <v>28</v>
      </c>
      <c r="J20" s="36"/>
      <c r="K20" s="54"/>
      <c r="L20" s="46"/>
      <c r="M20" s="30">
        <f>30000+26700</f>
        <v>56700</v>
      </c>
      <c r="N20" s="31">
        <v>172</v>
      </c>
      <c r="P20" s="32">
        <f t="shared" si="0"/>
        <v>56900</v>
      </c>
      <c r="Q20" s="59">
        <f t="shared" si="1"/>
        <v>-7</v>
      </c>
      <c r="R20" s="7"/>
      <c r="S20">
        <v>-7</v>
      </c>
    </row>
    <row r="21" spans="1:19" ht="18" thickBot="1" x14ac:dyDescent="0.35">
      <c r="A21" s="22"/>
      <c r="B21" s="23">
        <v>44664</v>
      </c>
      <c r="C21" s="24">
        <v>0</v>
      </c>
      <c r="D21" s="34"/>
      <c r="E21" s="26">
        <v>44664</v>
      </c>
      <c r="F21" s="27">
        <v>48470</v>
      </c>
      <c r="H21" s="28">
        <v>44664</v>
      </c>
      <c r="I21" s="29">
        <v>32</v>
      </c>
      <c r="J21" s="36"/>
      <c r="K21" s="55"/>
      <c r="L21" s="46"/>
      <c r="M21" s="30">
        <f>15000+32870</f>
        <v>47870</v>
      </c>
      <c r="N21" s="31">
        <v>569</v>
      </c>
      <c r="P21" s="32">
        <f t="shared" si="0"/>
        <v>48471</v>
      </c>
      <c r="Q21" s="12">
        <f t="shared" si="1"/>
        <v>1</v>
      </c>
      <c r="R21" s="7"/>
      <c r="S21">
        <v>1</v>
      </c>
    </row>
    <row r="22" spans="1:19" ht="18" thickBot="1" x14ac:dyDescent="0.35">
      <c r="A22" s="22"/>
      <c r="B22" s="23">
        <v>44665</v>
      </c>
      <c r="C22" s="24">
        <v>0</v>
      </c>
      <c r="D22" s="34"/>
      <c r="E22" s="26">
        <v>44665</v>
      </c>
      <c r="F22" s="27">
        <v>55521</v>
      </c>
      <c r="H22" s="28">
        <v>44665</v>
      </c>
      <c r="I22" s="29">
        <v>108</v>
      </c>
      <c r="J22" s="36"/>
      <c r="K22" s="43"/>
      <c r="L22" s="56"/>
      <c r="M22" s="30">
        <f>15000+39860</f>
        <v>54860</v>
      </c>
      <c r="N22" s="31">
        <v>554</v>
      </c>
      <c r="P22" s="32">
        <f t="shared" si="0"/>
        <v>55522</v>
      </c>
      <c r="Q22" s="12">
        <f t="shared" si="1"/>
        <v>1</v>
      </c>
      <c r="R22" s="7"/>
      <c r="S22">
        <v>1</v>
      </c>
    </row>
    <row r="23" spans="1:19" ht="18" thickBot="1" x14ac:dyDescent="0.35">
      <c r="A23" s="22"/>
      <c r="B23" s="23">
        <v>44666</v>
      </c>
      <c r="C23" s="24">
        <v>0</v>
      </c>
      <c r="D23" s="34"/>
      <c r="E23" s="26">
        <v>44666</v>
      </c>
      <c r="F23" s="27">
        <v>23712</v>
      </c>
      <c r="H23" s="28">
        <v>44666</v>
      </c>
      <c r="I23" s="29">
        <v>18</v>
      </c>
      <c r="J23" s="57"/>
      <c r="K23" s="58"/>
      <c r="L23" s="46"/>
      <c r="M23" s="30">
        <v>22970</v>
      </c>
      <c r="N23" s="31">
        <v>724</v>
      </c>
      <c r="P23" s="32">
        <f t="shared" si="0"/>
        <v>23712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44667</v>
      </c>
      <c r="C24" s="24">
        <v>4733</v>
      </c>
      <c r="D24" s="39" t="s">
        <v>233</v>
      </c>
      <c r="E24" s="26">
        <v>44667</v>
      </c>
      <c r="F24" s="27">
        <v>94543</v>
      </c>
      <c r="H24" s="28">
        <v>44667</v>
      </c>
      <c r="I24" s="29">
        <v>44</v>
      </c>
      <c r="J24" s="173">
        <v>44667</v>
      </c>
      <c r="K24" s="60" t="s">
        <v>234</v>
      </c>
      <c r="L24" s="61">
        <v>9800</v>
      </c>
      <c r="M24" s="30">
        <f>25000+42150</f>
        <v>67150</v>
      </c>
      <c r="N24" s="31">
        <v>12817</v>
      </c>
      <c r="P24" s="32">
        <f t="shared" si="0"/>
        <v>94544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44668</v>
      </c>
      <c r="C25" s="24">
        <v>15934</v>
      </c>
      <c r="D25" s="34" t="s">
        <v>232</v>
      </c>
      <c r="E25" s="26">
        <v>44668</v>
      </c>
      <c r="F25" s="27">
        <v>83216</v>
      </c>
      <c r="H25" s="28">
        <v>44668</v>
      </c>
      <c r="I25" s="29">
        <v>0</v>
      </c>
      <c r="J25" s="62"/>
      <c r="K25" s="63"/>
      <c r="L25" s="64"/>
      <c r="M25" s="30">
        <f>17210+50000</f>
        <v>67210</v>
      </c>
      <c r="N25" s="31">
        <v>72</v>
      </c>
      <c r="O25" t="s">
        <v>8</v>
      </c>
      <c r="P25" s="32">
        <f t="shared" si="0"/>
        <v>83216</v>
      </c>
      <c r="Q25" s="12">
        <f t="shared" si="1"/>
        <v>0</v>
      </c>
      <c r="R25" s="7"/>
      <c r="S25">
        <v>0</v>
      </c>
    </row>
    <row r="26" spans="1:19" ht="18" thickBot="1" x14ac:dyDescent="0.35">
      <c r="A26" s="22"/>
      <c r="B26" s="23">
        <v>44669</v>
      </c>
      <c r="C26" s="24">
        <v>0</v>
      </c>
      <c r="D26" s="34"/>
      <c r="E26" s="26">
        <v>44669</v>
      </c>
      <c r="F26" s="27">
        <v>65304</v>
      </c>
      <c r="H26" s="28">
        <v>44669</v>
      </c>
      <c r="I26" s="29">
        <v>136</v>
      </c>
      <c r="J26" s="36"/>
      <c r="K26" s="60"/>
      <c r="L26" s="46"/>
      <c r="M26" s="30">
        <f>33900+30877</f>
        <v>64777</v>
      </c>
      <c r="N26" s="31">
        <v>391</v>
      </c>
      <c r="P26" s="32">
        <f t="shared" si="0"/>
        <v>65304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44670</v>
      </c>
      <c r="C27" s="24">
        <v>0</v>
      </c>
      <c r="D27" s="39"/>
      <c r="E27" s="26">
        <v>44670</v>
      </c>
      <c r="F27" s="27">
        <v>63083</v>
      </c>
      <c r="H27" s="28">
        <v>44670</v>
      </c>
      <c r="I27" s="29">
        <v>70</v>
      </c>
      <c r="J27" s="65"/>
      <c r="K27" s="66"/>
      <c r="L27" s="64"/>
      <c r="M27" s="30">
        <f>47800+15000</f>
        <v>62800</v>
      </c>
      <c r="N27" s="31">
        <v>216</v>
      </c>
      <c r="P27" s="32">
        <f t="shared" si="0"/>
        <v>63086</v>
      </c>
      <c r="Q27" s="12">
        <f t="shared" si="1"/>
        <v>3</v>
      </c>
      <c r="R27" s="7"/>
      <c r="S27">
        <v>3</v>
      </c>
    </row>
    <row r="28" spans="1:19" ht="18" thickBot="1" x14ac:dyDescent="0.35">
      <c r="A28" s="22"/>
      <c r="B28" s="23">
        <v>44671</v>
      </c>
      <c r="C28" s="24">
        <v>0</v>
      </c>
      <c r="D28" s="39"/>
      <c r="E28" s="26">
        <v>44671</v>
      </c>
      <c r="F28" s="27">
        <v>50512</v>
      </c>
      <c r="H28" s="28">
        <v>44671</v>
      </c>
      <c r="I28" s="29">
        <v>104</v>
      </c>
      <c r="J28" s="67"/>
      <c r="K28" s="68"/>
      <c r="L28" s="64"/>
      <c r="M28" s="30">
        <f>25000+25370</f>
        <v>50370</v>
      </c>
      <c r="N28" s="31">
        <v>40</v>
      </c>
      <c r="P28" s="32">
        <f t="shared" si="0"/>
        <v>50514</v>
      </c>
      <c r="Q28" s="12">
        <f t="shared" si="1"/>
        <v>2</v>
      </c>
      <c r="R28" s="7"/>
      <c r="S28">
        <v>2</v>
      </c>
    </row>
    <row r="29" spans="1:19" ht="18" thickBot="1" x14ac:dyDescent="0.35">
      <c r="A29" s="22"/>
      <c r="B29" s="23">
        <v>44672</v>
      </c>
      <c r="C29" s="24">
        <v>2720</v>
      </c>
      <c r="D29" s="69" t="s">
        <v>47</v>
      </c>
      <c r="E29" s="26">
        <v>44672</v>
      </c>
      <c r="F29" s="27">
        <v>77234</v>
      </c>
      <c r="H29" s="28">
        <v>44672</v>
      </c>
      <c r="I29" s="29">
        <v>83</v>
      </c>
      <c r="J29" s="65"/>
      <c r="K29" s="70"/>
      <c r="L29" s="64"/>
      <c r="M29" s="30">
        <f>53460+20000</f>
        <v>73460</v>
      </c>
      <c r="N29" s="31">
        <v>970</v>
      </c>
      <c r="P29" s="32">
        <f t="shared" si="0"/>
        <v>77233</v>
      </c>
      <c r="Q29" s="59">
        <f t="shared" si="1"/>
        <v>-1</v>
      </c>
      <c r="R29" s="7"/>
      <c r="S29">
        <v>-1</v>
      </c>
    </row>
    <row r="30" spans="1:19" ht="18" thickBot="1" x14ac:dyDescent="0.35">
      <c r="A30" s="22"/>
      <c r="B30" s="23">
        <v>44673</v>
      </c>
      <c r="C30" s="24">
        <v>0</v>
      </c>
      <c r="D30" s="69"/>
      <c r="E30" s="26">
        <v>44673</v>
      </c>
      <c r="F30" s="27">
        <v>77198</v>
      </c>
      <c r="H30" s="28">
        <v>44673</v>
      </c>
      <c r="I30" s="29">
        <v>39</v>
      </c>
      <c r="J30" s="71"/>
      <c r="K30" s="72"/>
      <c r="L30" s="73"/>
      <c r="M30" s="30">
        <f>30000+46760</f>
        <v>76760</v>
      </c>
      <c r="N30" s="31">
        <v>400</v>
      </c>
      <c r="P30" s="32">
        <f t="shared" si="0"/>
        <v>77199</v>
      </c>
      <c r="Q30" s="12">
        <f t="shared" si="1"/>
        <v>1</v>
      </c>
      <c r="R30" s="7"/>
    </row>
    <row r="31" spans="1:19" ht="18" thickBot="1" x14ac:dyDescent="0.35">
      <c r="A31" s="22"/>
      <c r="B31" s="23">
        <v>44674</v>
      </c>
      <c r="C31" s="24">
        <v>0</v>
      </c>
      <c r="D31" s="81"/>
      <c r="E31" s="26">
        <v>44674</v>
      </c>
      <c r="F31" s="27">
        <v>117077</v>
      </c>
      <c r="H31" s="28">
        <v>44674</v>
      </c>
      <c r="I31" s="29">
        <v>84</v>
      </c>
      <c r="J31" s="71">
        <v>44674</v>
      </c>
      <c r="K31" s="74" t="s">
        <v>235</v>
      </c>
      <c r="L31" s="75">
        <v>9800</v>
      </c>
      <c r="M31" s="30">
        <f>45000+53783</f>
        <v>98783</v>
      </c>
      <c r="N31" s="31">
        <v>8410</v>
      </c>
      <c r="P31" s="32">
        <f t="shared" si="0"/>
        <v>117077</v>
      </c>
      <c r="Q31" s="12">
        <f t="shared" si="1"/>
        <v>0</v>
      </c>
      <c r="R31" s="7"/>
    </row>
    <row r="32" spans="1:19" ht="18" thickBot="1" x14ac:dyDescent="0.35">
      <c r="A32" s="22"/>
      <c r="B32" s="23">
        <v>44675</v>
      </c>
      <c r="C32" s="24">
        <v>19698</v>
      </c>
      <c r="D32" s="76" t="s">
        <v>236</v>
      </c>
      <c r="E32" s="26">
        <v>44675</v>
      </c>
      <c r="F32" s="27">
        <v>107499</v>
      </c>
      <c r="H32" s="28">
        <v>44675</v>
      </c>
      <c r="I32" s="29">
        <v>0</v>
      </c>
      <c r="J32" s="71"/>
      <c r="K32" s="72"/>
      <c r="L32" s="73"/>
      <c r="M32" s="30">
        <f>55000+29608</f>
        <v>84608</v>
      </c>
      <c r="N32" s="31">
        <v>3193</v>
      </c>
      <c r="P32" s="32">
        <f t="shared" si="0"/>
        <v>107499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>
        <v>44676</v>
      </c>
      <c r="C33" s="24">
        <v>3120</v>
      </c>
      <c r="D33" s="77" t="s">
        <v>47</v>
      </c>
      <c r="E33" s="26">
        <v>44676</v>
      </c>
      <c r="F33" s="27">
        <v>73868</v>
      </c>
      <c r="H33" s="28">
        <v>44676</v>
      </c>
      <c r="I33" s="29">
        <v>125</v>
      </c>
      <c r="J33" s="71"/>
      <c r="K33" s="74"/>
      <c r="L33" s="78"/>
      <c r="M33" s="30">
        <f>40000+30090</f>
        <v>70090</v>
      </c>
      <c r="N33" s="31">
        <v>530</v>
      </c>
      <c r="P33" s="32">
        <f t="shared" si="0"/>
        <v>73865</v>
      </c>
      <c r="Q33" s="59">
        <f t="shared" si="1"/>
        <v>-3</v>
      </c>
      <c r="R33" s="7"/>
    </row>
    <row r="34" spans="1:18" ht="18" thickBot="1" x14ac:dyDescent="0.35">
      <c r="A34" s="22"/>
      <c r="B34" s="23">
        <v>44677</v>
      </c>
      <c r="C34" s="24">
        <v>810</v>
      </c>
      <c r="D34" s="76" t="s">
        <v>36</v>
      </c>
      <c r="E34" s="26">
        <v>44677</v>
      </c>
      <c r="F34" s="27">
        <v>42606</v>
      </c>
      <c r="H34" s="28">
        <v>44677</v>
      </c>
      <c r="I34" s="29">
        <v>52</v>
      </c>
      <c r="J34" s="71"/>
      <c r="K34" s="79"/>
      <c r="L34" s="80"/>
      <c r="M34" s="30">
        <f>26744+15000</f>
        <v>41744</v>
      </c>
      <c r="N34" s="31">
        <v>0</v>
      </c>
      <c r="P34" s="32">
        <f t="shared" si="0"/>
        <v>42606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>
        <v>44678</v>
      </c>
      <c r="C35" s="24">
        <v>0</v>
      </c>
      <c r="D35" s="81"/>
      <c r="E35" s="26">
        <v>44678</v>
      </c>
      <c r="F35" s="27">
        <v>44907</v>
      </c>
      <c r="H35" s="28">
        <v>44678</v>
      </c>
      <c r="I35" s="29">
        <v>83</v>
      </c>
      <c r="J35" s="71"/>
      <c r="K35" s="74"/>
      <c r="L35" s="78"/>
      <c r="M35" s="30">
        <f>29024+15800</f>
        <v>44824</v>
      </c>
      <c r="N35" s="31">
        <v>0</v>
      </c>
      <c r="P35" s="32">
        <f t="shared" si="0"/>
        <v>44907</v>
      </c>
      <c r="Q35" s="12">
        <f t="shared" si="1"/>
        <v>0</v>
      </c>
      <c r="R35" s="7"/>
    </row>
    <row r="36" spans="1:18" ht="18" thickBot="1" x14ac:dyDescent="0.35">
      <c r="A36" s="22"/>
      <c r="B36" s="23">
        <v>44679</v>
      </c>
      <c r="C36" s="24">
        <v>0</v>
      </c>
      <c r="D36" s="82"/>
      <c r="E36" s="26">
        <v>44679</v>
      </c>
      <c r="F36" s="27">
        <v>62031</v>
      </c>
      <c r="H36" s="28">
        <v>44679</v>
      </c>
      <c r="I36" s="29">
        <v>2956</v>
      </c>
      <c r="J36" s="71"/>
      <c r="K36" s="40"/>
      <c r="L36" s="78"/>
      <c r="M36" s="212">
        <f>20000+39000</f>
        <v>59000</v>
      </c>
      <c r="N36" s="31">
        <v>77</v>
      </c>
      <c r="P36" s="32">
        <f t="shared" si="0"/>
        <v>62033</v>
      </c>
      <c r="Q36" s="12">
        <f t="shared" si="1"/>
        <v>2</v>
      </c>
      <c r="R36" s="7"/>
    </row>
    <row r="37" spans="1:18" ht="18" thickBot="1" x14ac:dyDescent="0.35">
      <c r="A37" s="22"/>
      <c r="B37" s="23">
        <v>44680</v>
      </c>
      <c r="C37" s="24">
        <v>0</v>
      </c>
      <c r="D37" s="76"/>
      <c r="E37" s="26">
        <v>44680</v>
      </c>
      <c r="F37" s="27">
        <v>88492</v>
      </c>
      <c r="H37" s="28">
        <v>44680</v>
      </c>
      <c r="I37" s="29">
        <v>123</v>
      </c>
      <c r="J37" s="71"/>
      <c r="K37" s="213"/>
      <c r="L37" s="78"/>
      <c r="M37" s="212">
        <f>67640+20000</f>
        <v>87640</v>
      </c>
      <c r="N37" s="31">
        <v>731</v>
      </c>
      <c r="P37" s="32">
        <f t="shared" si="0"/>
        <v>88494</v>
      </c>
      <c r="Q37" s="12">
        <f t="shared" si="1"/>
        <v>2</v>
      </c>
    </row>
    <row r="38" spans="1:18" ht="18" thickBot="1" x14ac:dyDescent="0.35">
      <c r="A38" s="22"/>
      <c r="B38" s="23">
        <v>44681</v>
      </c>
      <c r="C38" s="24">
        <v>3520</v>
      </c>
      <c r="D38" s="77" t="s">
        <v>47</v>
      </c>
      <c r="E38" s="26">
        <v>44681</v>
      </c>
      <c r="F38" s="27">
        <v>79664</v>
      </c>
      <c r="H38" s="28">
        <v>44681</v>
      </c>
      <c r="I38" s="29">
        <v>79</v>
      </c>
      <c r="J38" s="71">
        <v>44681</v>
      </c>
      <c r="K38" s="74" t="s">
        <v>235</v>
      </c>
      <c r="L38" s="78">
        <v>12100</v>
      </c>
      <c r="M38" s="30">
        <f>39110+15000</f>
        <v>54110</v>
      </c>
      <c r="N38" s="31">
        <v>9850</v>
      </c>
      <c r="P38" s="32">
        <f t="shared" si="0"/>
        <v>79659</v>
      </c>
      <c r="Q38" s="59">
        <f t="shared" si="1"/>
        <v>-5</v>
      </c>
    </row>
    <row r="39" spans="1:18" ht="18" thickBot="1" x14ac:dyDescent="0.35">
      <c r="A39" s="22"/>
      <c r="B39" s="23">
        <v>44682</v>
      </c>
      <c r="C39" s="24">
        <v>14731</v>
      </c>
      <c r="D39" s="77" t="s">
        <v>232</v>
      </c>
      <c r="E39" s="26">
        <v>44682</v>
      </c>
      <c r="F39" s="83">
        <v>117267</v>
      </c>
      <c r="H39" s="28">
        <v>44682</v>
      </c>
      <c r="I39" s="29">
        <v>56</v>
      </c>
      <c r="J39" s="71"/>
      <c r="K39" s="74"/>
      <c r="L39" s="73"/>
      <c r="M39" s="30">
        <f>20634+80000</f>
        <v>100634</v>
      </c>
      <c r="N39" s="31">
        <v>1846</v>
      </c>
      <c r="P39" s="32">
        <f t="shared" si="0"/>
        <v>117267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>
        <v>44651</v>
      </c>
      <c r="K40" s="235" t="s">
        <v>204</v>
      </c>
      <c r="L40" s="73">
        <f>927.48+128</f>
        <v>1055.48</v>
      </c>
      <c r="M40" s="416">
        <f>SUM(M5:M39)</f>
        <v>2146671</v>
      </c>
      <c r="N40" s="418">
        <f>SUM(N5:N39)</f>
        <v>68590</v>
      </c>
      <c r="P40" s="32">
        <f>SUM(P5:P39)</f>
        <v>2397134</v>
      </c>
      <c r="Q40" s="12">
        <f t="shared" si="1"/>
        <v>2397134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44658</v>
      </c>
      <c r="K41" s="74" t="s">
        <v>322</v>
      </c>
      <c r="L41" s="73">
        <v>1195.68</v>
      </c>
      <c r="M41" s="417"/>
      <c r="N41" s="419"/>
      <c r="P41" s="32"/>
      <c r="Q41" s="8"/>
    </row>
    <row r="42" spans="1:18" ht="18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>
        <v>44673</v>
      </c>
      <c r="K42" s="74" t="s">
        <v>318</v>
      </c>
      <c r="L42" s="78">
        <v>1392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>
        <v>44676</v>
      </c>
      <c r="K43" s="236" t="s">
        <v>190</v>
      </c>
      <c r="L43" s="78">
        <v>30225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>
        <v>7</v>
      </c>
      <c r="J44" s="71">
        <v>44681</v>
      </c>
      <c r="K44" s="74" t="s">
        <v>320</v>
      </c>
      <c r="L44" s="78">
        <v>1498.61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125974</v>
      </c>
      <c r="D51" s="103"/>
      <c r="E51" s="104" t="s">
        <v>9</v>
      </c>
      <c r="F51" s="105">
        <f>SUM(F5:F50)</f>
        <v>2397126</v>
      </c>
      <c r="G51" s="103"/>
      <c r="H51" s="106" t="s">
        <v>10</v>
      </c>
      <c r="I51" s="107">
        <f>SUM(I5:I50)</f>
        <v>5689</v>
      </c>
      <c r="J51" s="108"/>
      <c r="K51" s="109" t="s">
        <v>11</v>
      </c>
      <c r="L51" s="110">
        <f>SUM(L5:L50)</f>
        <v>85583.77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20" t="s">
        <v>12</v>
      </c>
      <c r="I53" s="421"/>
      <c r="J53" s="114"/>
      <c r="K53" s="422">
        <f>I51+L51</f>
        <v>91272.77</v>
      </c>
      <c r="L53" s="423"/>
      <c r="M53" s="424">
        <f>N40+M40</f>
        <v>2215261</v>
      </c>
      <c r="N53" s="425"/>
      <c r="P53" s="32"/>
      <c r="Q53" s="8"/>
    </row>
    <row r="54" spans="1:17" ht="15.75" x14ac:dyDescent="0.25">
      <c r="D54" s="426" t="s">
        <v>13</v>
      </c>
      <c r="E54" s="426"/>
      <c r="F54" s="115">
        <f>F51-K53-C51</f>
        <v>2179879.23</v>
      </c>
      <c r="I54" s="116"/>
      <c r="J54" s="117"/>
      <c r="P54" s="32"/>
      <c r="Q54" s="8"/>
    </row>
    <row r="55" spans="1:17" ht="18.75" x14ac:dyDescent="0.3">
      <c r="D55" s="427" t="s">
        <v>14</v>
      </c>
      <c r="E55" s="427"/>
      <c r="F55" s="111">
        <v>-2227493.48</v>
      </c>
      <c r="I55" s="428" t="s">
        <v>15</v>
      </c>
      <c r="J55" s="429"/>
      <c r="K55" s="430">
        <f>F57+F58+F59</f>
        <v>261521.34000000003</v>
      </c>
      <c r="L55" s="43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-47614.25</v>
      </c>
      <c r="H57" s="22"/>
      <c r="I57" s="124" t="s">
        <v>17</v>
      </c>
      <c r="J57" s="125"/>
      <c r="K57" s="432">
        <f>-C4</f>
        <v>-219417.37</v>
      </c>
      <c r="L57" s="433"/>
    </row>
    <row r="58" spans="1:17" ht="16.5" thickBot="1" x14ac:dyDescent="0.3">
      <c r="D58" s="126" t="s">
        <v>18</v>
      </c>
      <c r="E58" s="33" t="s">
        <v>19</v>
      </c>
      <c r="F58" s="127">
        <v>11261</v>
      </c>
    </row>
    <row r="59" spans="1:17" ht="20.25" thickTop="1" thickBot="1" x14ac:dyDescent="0.35">
      <c r="C59" s="128">
        <v>44682</v>
      </c>
      <c r="D59" s="409" t="s">
        <v>20</v>
      </c>
      <c r="E59" s="410"/>
      <c r="F59" s="129">
        <v>297874.59000000003</v>
      </c>
      <c r="I59" s="411" t="s">
        <v>168</v>
      </c>
      <c r="J59" s="412"/>
      <c r="K59" s="413">
        <f>K55+K57</f>
        <v>42103.97000000003</v>
      </c>
      <c r="L59" s="41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0:L44">
    <sortCondition ref="J40:J44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8" width="11.42578125" style="33"/>
    <col min="9" max="9" width="19.5703125" style="1" customWidth="1"/>
    <col min="10" max="16384" width="11.42578125" style="33"/>
  </cols>
  <sheetData>
    <row r="1" spans="1:9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9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9" ht="15.75" x14ac:dyDescent="0.25">
      <c r="A3" s="241">
        <v>44679</v>
      </c>
      <c r="B3" s="242" t="s">
        <v>237</v>
      </c>
      <c r="C3" s="243">
        <v>38714.910000000003</v>
      </c>
      <c r="D3" s="229">
        <v>44652</v>
      </c>
      <c r="E3" s="244">
        <v>38714.910000000003</v>
      </c>
      <c r="F3" s="152">
        <f>C3-E3</f>
        <v>0</v>
      </c>
    </row>
    <row r="4" spans="1:9" ht="15.75" x14ac:dyDescent="0.25">
      <c r="A4" s="241">
        <v>44679</v>
      </c>
      <c r="B4" s="242" t="s">
        <v>238</v>
      </c>
      <c r="C4" s="243">
        <v>7324.6</v>
      </c>
      <c r="D4" s="229">
        <v>44652</v>
      </c>
      <c r="E4" s="244">
        <v>7324.6</v>
      </c>
      <c r="F4" s="188">
        <f>C4-E4+F3</f>
        <v>0</v>
      </c>
    </row>
    <row r="5" spans="1:9" ht="15.75" x14ac:dyDescent="0.25">
      <c r="A5" s="241">
        <v>44680</v>
      </c>
      <c r="B5" s="242" t="s">
        <v>239</v>
      </c>
      <c r="C5" s="243">
        <v>794.4</v>
      </c>
      <c r="D5" s="229">
        <v>44652</v>
      </c>
      <c r="E5" s="244">
        <v>794.4</v>
      </c>
      <c r="F5" s="188">
        <f t="shared" ref="F5:F47" si="0">C5-E5+F4</f>
        <v>0</v>
      </c>
      <c r="I5" s="8"/>
    </row>
    <row r="6" spans="1:9" ht="18.75" x14ac:dyDescent="0.3">
      <c r="A6" s="241">
        <v>44681</v>
      </c>
      <c r="B6" s="242" t="s">
        <v>240</v>
      </c>
      <c r="C6" s="243">
        <v>112563.39</v>
      </c>
      <c r="D6" s="229">
        <v>44652</v>
      </c>
      <c r="E6" s="244">
        <v>112563.39</v>
      </c>
      <c r="F6" s="188">
        <f t="shared" si="0"/>
        <v>0</v>
      </c>
      <c r="G6" s="156"/>
    </row>
    <row r="7" spans="1:9" ht="15.75" x14ac:dyDescent="0.25">
      <c r="A7" s="241">
        <v>44681</v>
      </c>
      <c r="B7" s="242" t="s">
        <v>241</v>
      </c>
      <c r="C7" s="243">
        <v>1341.6</v>
      </c>
      <c r="D7" s="229">
        <v>44652</v>
      </c>
      <c r="E7" s="244">
        <v>1341.6</v>
      </c>
      <c r="F7" s="188">
        <f t="shared" si="0"/>
        <v>0</v>
      </c>
    </row>
    <row r="8" spans="1:9" ht="15.75" x14ac:dyDescent="0.25">
      <c r="A8" s="238">
        <v>44652</v>
      </c>
      <c r="B8" s="237" t="s">
        <v>242</v>
      </c>
      <c r="C8" s="111">
        <v>109475.36</v>
      </c>
      <c r="D8" s="229">
        <v>44652</v>
      </c>
      <c r="E8" s="245">
        <v>109475.36</v>
      </c>
      <c r="F8" s="188">
        <f t="shared" si="0"/>
        <v>0</v>
      </c>
    </row>
    <row r="9" spans="1:9" ht="15.75" x14ac:dyDescent="0.25">
      <c r="A9" s="238">
        <v>44653</v>
      </c>
      <c r="B9" s="237" t="s">
        <v>243</v>
      </c>
      <c r="C9" s="111">
        <v>93380.9</v>
      </c>
      <c r="D9" s="231">
        <v>44659</v>
      </c>
      <c r="E9" s="248">
        <v>93380.9</v>
      </c>
      <c r="F9" s="188">
        <f t="shared" si="0"/>
        <v>0</v>
      </c>
    </row>
    <row r="10" spans="1:9" ht="15.75" x14ac:dyDescent="0.25">
      <c r="A10" s="238">
        <v>44655</v>
      </c>
      <c r="B10" s="237" t="s">
        <v>244</v>
      </c>
      <c r="C10" s="111">
        <v>90010.89</v>
      </c>
      <c r="D10" s="231">
        <v>44659</v>
      </c>
      <c r="E10" s="248">
        <v>90010.89</v>
      </c>
      <c r="F10" s="188">
        <f t="shared" si="0"/>
        <v>0</v>
      </c>
    </row>
    <row r="11" spans="1:9" ht="15.75" x14ac:dyDescent="0.25">
      <c r="A11" s="238">
        <v>44656</v>
      </c>
      <c r="B11" s="237" t="s">
        <v>245</v>
      </c>
      <c r="C11" s="111">
        <v>0</v>
      </c>
      <c r="D11" s="194" t="s">
        <v>122</v>
      </c>
      <c r="E11" s="111">
        <v>0</v>
      </c>
      <c r="F11" s="188">
        <f t="shared" si="0"/>
        <v>0</v>
      </c>
    </row>
    <row r="12" spans="1:9" ht="18.75" x14ac:dyDescent="0.3">
      <c r="A12" s="238">
        <v>44656</v>
      </c>
      <c r="B12" s="237" t="s">
        <v>246</v>
      </c>
      <c r="C12" s="111">
        <v>20042.650000000001</v>
      </c>
      <c r="D12" s="231">
        <v>44659</v>
      </c>
      <c r="E12" s="248">
        <v>20042.650000000001</v>
      </c>
      <c r="F12" s="188">
        <f t="shared" si="0"/>
        <v>0</v>
      </c>
      <c r="G12" s="156"/>
    </row>
    <row r="13" spans="1:9" ht="15.75" x14ac:dyDescent="0.25">
      <c r="A13" s="238">
        <v>44657</v>
      </c>
      <c r="B13" s="237" t="s">
        <v>247</v>
      </c>
      <c r="C13" s="111">
        <v>91542.2</v>
      </c>
      <c r="D13" s="231">
        <v>44659</v>
      </c>
      <c r="E13" s="248">
        <v>91542.2</v>
      </c>
      <c r="F13" s="188">
        <f t="shared" si="0"/>
        <v>0</v>
      </c>
    </row>
    <row r="14" spans="1:9" ht="15.75" x14ac:dyDescent="0.25">
      <c r="A14" s="238">
        <v>44658</v>
      </c>
      <c r="B14" s="237" t="s">
        <v>248</v>
      </c>
      <c r="C14" s="111">
        <v>98059.12</v>
      </c>
      <c r="D14" s="231">
        <v>44659</v>
      </c>
      <c r="E14" s="248">
        <v>98059.12</v>
      </c>
      <c r="F14" s="188">
        <f t="shared" si="0"/>
        <v>0</v>
      </c>
    </row>
    <row r="15" spans="1:9" ht="15.75" x14ac:dyDescent="0.25">
      <c r="A15" s="238">
        <v>44659</v>
      </c>
      <c r="B15" s="237" t="s">
        <v>249</v>
      </c>
      <c r="C15" s="111">
        <v>82352.600000000006</v>
      </c>
      <c r="D15" s="192">
        <v>44669</v>
      </c>
      <c r="E15" s="111">
        <v>82352.600000000006</v>
      </c>
      <c r="F15" s="188">
        <f t="shared" si="0"/>
        <v>0</v>
      </c>
    </row>
    <row r="16" spans="1:9" ht="15.75" x14ac:dyDescent="0.25">
      <c r="A16" s="238">
        <v>44660</v>
      </c>
      <c r="B16" s="237" t="s">
        <v>250</v>
      </c>
      <c r="C16" s="111">
        <v>10483.23</v>
      </c>
      <c r="D16" s="192">
        <v>44669</v>
      </c>
      <c r="E16" s="111">
        <v>10483.23</v>
      </c>
      <c r="F16" s="188">
        <f t="shared" si="0"/>
        <v>0</v>
      </c>
    </row>
    <row r="17" spans="1:7" ht="15.75" x14ac:dyDescent="0.25">
      <c r="A17" s="238">
        <v>44660</v>
      </c>
      <c r="B17" s="237" t="s">
        <v>251</v>
      </c>
      <c r="C17" s="111">
        <v>58975.89</v>
      </c>
      <c r="D17" s="192">
        <v>44669</v>
      </c>
      <c r="E17" s="111">
        <v>58975.89</v>
      </c>
      <c r="F17" s="188">
        <f t="shared" si="0"/>
        <v>0</v>
      </c>
    </row>
    <row r="18" spans="1:7" ht="15.75" x14ac:dyDescent="0.25">
      <c r="A18" s="238">
        <v>44660</v>
      </c>
      <c r="B18" s="237" t="s">
        <v>252</v>
      </c>
      <c r="C18" s="111">
        <v>8687</v>
      </c>
      <c r="D18" s="192">
        <v>44669</v>
      </c>
      <c r="E18" s="111">
        <v>8687</v>
      </c>
      <c r="F18" s="188">
        <f t="shared" si="0"/>
        <v>0</v>
      </c>
    </row>
    <row r="19" spans="1:7" ht="15.75" x14ac:dyDescent="0.25">
      <c r="A19" s="238">
        <v>44662</v>
      </c>
      <c r="B19" s="237" t="s">
        <v>253</v>
      </c>
      <c r="C19" s="111">
        <v>66983.399999999994</v>
      </c>
      <c r="D19" s="192">
        <v>44669</v>
      </c>
      <c r="E19" s="111">
        <v>66983.399999999994</v>
      </c>
      <c r="F19" s="188">
        <f t="shared" si="0"/>
        <v>0</v>
      </c>
    </row>
    <row r="20" spans="1:7" ht="15.75" x14ac:dyDescent="0.25">
      <c r="A20" s="238">
        <v>44663</v>
      </c>
      <c r="B20" s="237" t="s">
        <v>254</v>
      </c>
      <c r="C20" s="111">
        <v>35876.1</v>
      </c>
      <c r="D20" s="192">
        <v>44669</v>
      </c>
      <c r="E20" s="111">
        <v>35876.1</v>
      </c>
      <c r="F20" s="188">
        <f t="shared" si="0"/>
        <v>0</v>
      </c>
    </row>
    <row r="21" spans="1:7" ht="15.75" x14ac:dyDescent="0.25">
      <c r="A21" s="238">
        <v>44664</v>
      </c>
      <c r="B21" s="237" t="s">
        <v>255</v>
      </c>
      <c r="C21" s="111">
        <v>68255.100000000006</v>
      </c>
      <c r="D21" s="192">
        <v>44669</v>
      </c>
      <c r="E21" s="111">
        <v>68255.100000000006</v>
      </c>
      <c r="F21" s="188">
        <f t="shared" si="0"/>
        <v>0</v>
      </c>
    </row>
    <row r="22" spans="1:7" ht="15.75" x14ac:dyDescent="0.25">
      <c r="A22" s="238">
        <v>44665</v>
      </c>
      <c r="B22" s="237" t="s">
        <v>256</v>
      </c>
      <c r="C22" s="111">
        <v>82981.11</v>
      </c>
      <c r="D22" s="192">
        <v>44669</v>
      </c>
      <c r="E22" s="111">
        <v>82981.11</v>
      </c>
      <c r="F22" s="188">
        <f t="shared" si="0"/>
        <v>0</v>
      </c>
    </row>
    <row r="23" spans="1:7" ht="15.75" x14ac:dyDescent="0.25">
      <c r="A23" s="238">
        <v>44665</v>
      </c>
      <c r="B23" s="237" t="s">
        <v>257</v>
      </c>
      <c r="C23" s="111">
        <v>8015.15</v>
      </c>
      <c r="D23" s="192">
        <v>44669</v>
      </c>
      <c r="E23" s="111">
        <v>8015.15</v>
      </c>
      <c r="F23" s="188">
        <f t="shared" si="0"/>
        <v>0</v>
      </c>
    </row>
    <row r="24" spans="1:7" ht="18.75" x14ac:dyDescent="0.3">
      <c r="A24" s="238">
        <v>44667</v>
      </c>
      <c r="B24" s="237" t="s">
        <v>258</v>
      </c>
      <c r="C24" s="111">
        <v>113918.95</v>
      </c>
      <c r="D24" s="192">
        <v>44669</v>
      </c>
      <c r="E24" s="111">
        <v>113918.95</v>
      </c>
      <c r="F24" s="188">
        <f t="shared" si="0"/>
        <v>0</v>
      </c>
      <c r="G24" s="156"/>
    </row>
    <row r="25" spans="1:7" ht="15.75" x14ac:dyDescent="0.25">
      <c r="A25" s="238">
        <v>44668</v>
      </c>
      <c r="B25" s="237" t="s">
        <v>259</v>
      </c>
      <c r="C25" s="111">
        <v>610.4</v>
      </c>
      <c r="D25" s="192">
        <v>44669</v>
      </c>
      <c r="E25" s="111">
        <v>610.4</v>
      </c>
      <c r="F25" s="188">
        <f t="shared" si="0"/>
        <v>0</v>
      </c>
    </row>
    <row r="26" spans="1:7" ht="15.75" x14ac:dyDescent="0.25">
      <c r="A26" s="238">
        <v>44669</v>
      </c>
      <c r="B26" s="237" t="s">
        <v>260</v>
      </c>
      <c r="C26" s="111">
        <v>69241.3</v>
      </c>
      <c r="D26" s="192">
        <v>44669</v>
      </c>
      <c r="E26" s="111">
        <v>69241.3</v>
      </c>
      <c r="F26" s="188">
        <f t="shared" si="0"/>
        <v>0</v>
      </c>
    </row>
    <row r="27" spans="1:7" ht="15.75" x14ac:dyDescent="0.25">
      <c r="A27" s="238">
        <v>44670</v>
      </c>
      <c r="B27" s="237" t="s">
        <v>261</v>
      </c>
      <c r="C27" s="111">
        <v>19804.8</v>
      </c>
      <c r="D27" s="246">
        <v>44673</v>
      </c>
      <c r="E27" s="247">
        <v>19804.8</v>
      </c>
      <c r="F27" s="188">
        <f t="shared" si="0"/>
        <v>0</v>
      </c>
    </row>
    <row r="28" spans="1:7" ht="15.75" x14ac:dyDescent="0.25">
      <c r="A28" s="238">
        <v>44671</v>
      </c>
      <c r="B28" s="237" t="s">
        <v>262</v>
      </c>
      <c r="C28" s="111">
        <v>97519.7</v>
      </c>
      <c r="D28" s="246">
        <v>44673</v>
      </c>
      <c r="E28" s="247">
        <v>97519.7</v>
      </c>
      <c r="F28" s="188">
        <f t="shared" si="0"/>
        <v>0</v>
      </c>
    </row>
    <row r="29" spans="1:7" ht="15.75" x14ac:dyDescent="0.25">
      <c r="A29" s="238">
        <v>44672</v>
      </c>
      <c r="B29" s="237" t="s">
        <v>263</v>
      </c>
      <c r="C29" s="111">
        <v>108559.18</v>
      </c>
      <c r="D29" s="246">
        <v>44673</v>
      </c>
      <c r="E29" s="247">
        <v>108559.18</v>
      </c>
      <c r="F29" s="188">
        <f t="shared" si="0"/>
        <v>0</v>
      </c>
    </row>
    <row r="30" spans="1:7" ht="15.75" x14ac:dyDescent="0.25">
      <c r="A30" s="238">
        <v>44673</v>
      </c>
      <c r="B30" s="237" t="s">
        <v>264</v>
      </c>
      <c r="C30" s="111">
        <v>0</v>
      </c>
      <c r="D30" s="239" t="s">
        <v>122</v>
      </c>
      <c r="E30" s="111">
        <v>0</v>
      </c>
      <c r="F30" s="188">
        <f t="shared" si="0"/>
        <v>0</v>
      </c>
    </row>
    <row r="31" spans="1:7" ht="15.75" x14ac:dyDescent="0.25">
      <c r="A31" s="238">
        <v>44673</v>
      </c>
      <c r="B31" s="237" t="s">
        <v>265</v>
      </c>
      <c r="C31" s="111">
        <v>90834.65</v>
      </c>
      <c r="D31" s="246">
        <v>44673</v>
      </c>
      <c r="E31" s="247">
        <v>90834.65</v>
      </c>
      <c r="F31" s="188">
        <f t="shared" si="0"/>
        <v>0</v>
      </c>
    </row>
    <row r="32" spans="1:7" ht="18.75" x14ac:dyDescent="0.3">
      <c r="A32" s="238">
        <v>44673</v>
      </c>
      <c r="B32" s="237" t="s">
        <v>266</v>
      </c>
      <c r="C32" s="111">
        <v>6798</v>
      </c>
      <c r="D32" s="246">
        <v>44673</v>
      </c>
      <c r="E32" s="247">
        <v>6798</v>
      </c>
      <c r="F32" s="188">
        <f t="shared" si="0"/>
        <v>0</v>
      </c>
      <c r="G32" s="156"/>
    </row>
    <row r="33" spans="1:9" ht="15.75" x14ac:dyDescent="0.25">
      <c r="A33" s="238">
        <v>44674</v>
      </c>
      <c r="B33" s="237" t="s">
        <v>267</v>
      </c>
      <c r="C33" s="111">
        <v>106135.36</v>
      </c>
      <c r="D33" s="192">
        <v>44681</v>
      </c>
      <c r="E33" s="111">
        <v>106135.36</v>
      </c>
      <c r="F33" s="188">
        <f t="shared" si="0"/>
        <v>0</v>
      </c>
      <c r="I33" s="111"/>
    </row>
    <row r="34" spans="1:9" ht="15.75" x14ac:dyDescent="0.25">
      <c r="A34" s="238">
        <v>44676</v>
      </c>
      <c r="B34" s="237" t="s">
        <v>268</v>
      </c>
      <c r="C34" s="111">
        <v>53461.2</v>
      </c>
      <c r="D34" s="192">
        <v>44681</v>
      </c>
      <c r="E34" s="111">
        <v>53461.2</v>
      </c>
      <c r="F34" s="188">
        <f t="shared" si="0"/>
        <v>0</v>
      </c>
      <c r="I34" s="111"/>
    </row>
    <row r="35" spans="1:9" ht="15.75" x14ac:dyDescent="0.25">
      <c r="A35" s="238">
        <v>44677</v>
      </c>
      <c r="B35" s="237" t="s">
        <v>269</v>
      </c>
      <c r="C35" s="111">
        <v>106910.84</v>
      </c>
      <c r="D35" s="192">
        <v>44681</v>
      </c>
      <c r="E35" s="111">
        <v>106910.84</v>
      </c>
      <c r="F35" s="188">
        <f t="shared" si="0"/>
        <v>0</v>
      </c>
      <c r="I35" s="111"/>
    </row>
    <row r="36" spans="1:9" ht="15.75" x14ac:dyDescent="0.25">
      <c r="A36" s="238">
        <v>44678</v>
      </c>
      <c r="B36" s="237" t="s">
        <v>270</v>
      </c>
      <c r="C36" s="111">
        <v>73927.600000000006</v>
      </c>
      <c r="D36" s="192">
        <v>44681</v>
      </c>
      <c r="E36" s="111">
        <v>73927.600000000006</v>
      </c>
      <c r="F36" s="188">
        <f t="shared" si="0"/>
        <v>0</v>
      </c>
      <c r="I36" s="111"/>
    </row>
    <row r="37" spans="1:9" ht="15.75" x14ac:dyDescent="0.25">
      <c r="A37" s="238">
        <v>44679</v>
      </c>
      <c r="B37" s="237" t="s">
        <v>271</v>
      </c>
      <c r="C37" s="111">
        <v>94122.1</v>
      </c>
      <c r="D37" s="192">
        <v>44681</v>
      </c>
      <c r="E37" s="111">
        <v>94122.1</v>
      </c>
      <c r="F37" s="188">
        <f t="shared" si="0"/>
        <v>0</v>
      </c>
      <c r="I37" s="111"/>
    </row>
    <row r="38" spans="1:9" ht="15.75" x14ac:dyDescent="0.25">
      <c r="A38" s="238">
        <v>44679</v>
      </c>
      <c r="B38" s="237" t="s">
        <v>272</v>
      </c>
      <c r="C38" s="111">
        <v>3672</v>
      </c>
      <c r="D38" s="192">
        <v>44681</v>
      </c>
      <c r="E38" s="111">
        <v>3672</v>
      </c>
      <c r="F38" s="188">
        <f t="shared" si="0"/>
        <v>0</v>
      </c>
      <c r="I38" s="111"/>
    </row>
    <row r="39" spans="1:9" ht="15.75" x14ac:dyDescent="0.25">
      <c r="A39" s="238">
        <v>44680</v>
      </c>
      <c r="B39" s="237" t="s">
        <v>273</v>
      </c>
      <c r="C39" s="111">
        <v>66412.5</v>
      </c>
      <c r="D39" s="192">
        <v>44681</v>
      </c>
      <c r="E39" s="111">
        <v>66412.5</v>
      </c>
      <c r="F39" s="188">
        <f t="shared" si="0"/>
        <v>0</v>
      </c>
      <c r="I39" s="111"/>
    </row>
    <row r="40" spans="1:9" ht="15.75" x14ac:dyDescent="0.25">
      <c r="A40" s="238" t="s">
        <v>274</v>
      </c>
      <c r="B40" s="237" t="s">
        <v>275</v>
      </c>
      <c r="C40" s="111">
        <v>101114.1</v>
      </c>
      <c r="D40" s="207">
        <v>44687</v>
      </c>
      <c r="E40" s="208">
        <v>101114.1</v>
      </c>
      <c r="F40" s="188">
        <f t="shared" si="0"/>
        <v>0</v>
      </c>
    </row>
    <row r="41" spans="1:9" ht="15.75" x14ac:dyDescent="0.25">
      <c r="A41" s="238" t="s">
        <v>274</v>
      </c>
      <c r="B41" s="237" t="s">
        <v>276</v>
      </c>
      <c r="C41" s="111">
        <v>28591.200000000001</v>
      </c>
      <c r="D41" s="207">
        <v>44687</v>
      </c>
      <c r="E41" s="208">
        <v>28591.200000000001</v>
      </c>
      <c r="F41" s="188">
        <f t="shared" si="0"/>
        <v>0</v>
      </c>
    </row>
    <row r="42" spans="1:9" ht="15.75" x14ac:dyDescent="0.25">
      <c r="A42" s="203"/>
      <c r="B42" s="186"/>
      <c r="C42" s="187"/>
      <c r="D42" s="192"/>
      <c r="E42" s="187"/>
      <c r="F42" s="188">
        <f t="shared" si="0"/>
        <v>0</v>
      </c>
      <c r="I42" s="1">
        <f>SUM(I41)</f>
        <v>0</v>
      </c>
    </row>
    <row r="43" spans="1:9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9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9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9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9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9" ht="16.5" hidden="1" thickBot="1" x14ac:dyDescent="0.3">
      <c r="A48" s="15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2227493.48</v>
      </c>
      <c r="D79" s="181"/>
      <c r="E79" s="170">
        <f>SUM(E3:E78)</f>
        <v>2227493.48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96"/>
      <c r="C1" s="398" t="s">
        <v>277</v>
      </c>
      <c r="D1" s="399"/>
      <c r="E1" s="399"/>
      <c r="F1" s="399"/>
      <c r="G1" s="399"/>
      <c r="H1" s="399"/>
      <c r="I1" s="399"/>
      <c r="J1" s="399"/>
      <c r="K1" s="399"/>
      <c r="L1" s="399"/>
      <c r="M1" s="399"/>
    </row>
    <row r="2" spans="1:21" ht="16.5" thickBot="1" x14ac:dyDescent="0.3">
      <c r="B2" s="397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0" t="s">
        <v>0</v>
      </c>
      <c r="C3" s="401"/>
      <c r="D3" s="9"/>
      <c r="E3" s="10"/>
      <c r="F3" s="10"/>
      <c r="H3" s="402" t="s">
        <v>1</v>
      </c>
      <c r="I3" s="402"/>
      <c r="K3" s="12"/>
      <c r="L3" s="12"/>
      <c r="M3" s="4"/>
      <c r="R3" s="407" t="s">
        <v>38</v>
      </c>
    </row>
    <row r="4" spans="1:21" ht="20.25" thickTop="1" thickBot="1" x14ac:dyDescent="0.35">
      <c r="A4" s="13" t="s">
        <v>2</v>
      </c>
      <c r="B4" s="14"/>
      <c r="C4" s="15">
        <v>297874.59000000003</v>
      </c>
      <c r="D4" s="16">
        <v>44682</v>
      </c>
      <c r="E4" s="403" t="s">
        <v>3</v>
      </c>
      <c r="F4" s="404"/>
      <c r="H4" s="405" t="s">
        <v>4</v>
      </c>
      <c r="I4" s="406"/>
      <c r="J4" s="17"/>
      <c r="K4" s="18"/>
      <c r="L4" s="19"/>
      <c r="M4" s="20" t="s">
        <v>5</v>
      </c>
      <c r="N4" s="21" t="s">
        <v>6</v>
      </c>
      <c r="P4" s="414" t="s">
        <v>7</v>
      </c>
      <c r="Q4" s="415"/>
      <c r="R4" s="408"/>
    </row>
    <row r="5" spans="1:21" ht="18" thickBot="1" x14ac:dyDescent="0.35">
      <c r="A5" s="22" t="s">
        <v>8</v>
      </c>
      <c r="B5" s="23">
        <v>44683</v>
      </c>
      <c r="C5" s="24">
        <v>0</v>
      </c>
      <c r="D5" s="25"/>
      <c r="E5" s="26">
        <v>44683</v>
      </c>
      <c r="F5" s="27">
        <v>59482</v>
      </c>
      <c r="H5" s="28">
        <v>44683</v>
      </c>
      <c r="I5" s="29">
        <v>147</v>
      </c>
      <c r="J5" s="6"/>
      <c r="K5" s="174"/>
      <c r="L5" s="8"/>
      <c r="M5" s="30">
        <f>22600+35936</f>
        <v>58536</v>
      </c>
      <c r="N5" s="31">
        <v>800</v>
      </c>
      <c r="P5" s="32">
        <f>N5+M5+L5+I5+C5</f>
        <v>59483</v>
      </c>
      <c r="Q5" s="12">
        <f>P5-F5</f>
        <v>1</v>
      </c>
      <c r="R5" s="8"/>
    </row>
    <row r="6" spans="1:21" ht="18" thickBot="1" x14ac:dyDescent="0.35">
      <c r="A6" s="22"/>
      <c r="B6" s="23">
        <v>44684</v>
      </c>
      <c r="C6" s="24">
        <v>0</v>
      </c>
      <c r="D6" s="34"/>
      <c r="E6" s="26">
        <v>44684</v>
      </c>
      <c r="F6" s="27">
        <v>78395</v>
      </c>
      <c r="H6" s="28">
        <v>44684</v>
      </c>
      <c r="I6" s="29">
        <v>10</v>
      </c>
      <c r="J6" s="36"/>
      <c r="K6" s="37"/>
      <c r="L6" s="38"/>
      <c r="M6" s="30">
        <f>30000+48311</f>
        <v>78311</v>
      </c>
      <c r="N6" s="31">
        <v>74</v>
      </c>
      <c r="P6" s="32">
        <f t="shared" ref="P6:P34" si="0">N6+M6+L6+I6+C6</f>
        <v>78395</v>
      </c>
      <c r="Q6" s="12">
        <f t="shared" ref="Q6:Q40" si="1">P6-F6</f>
        <v>0</v>
      </c>
      <c r="R6" s="7"/>
      <c r="S6">
        <v>3</v>
      </c>
    </row>
    <row r="7" spans="1:21" ht="18" thickBot="1" x14ac:dyDescent="0.35">
      <c r="A7" s="22"/>
      <c r="B7" s="23">
        <v>44685</v>
      </c>
      <c r="C7" s="24">
        <v>0</v>
      </c>
      <c r="D7" s="39"/>
      <c r="E7" s="26">
        <v>44685</v>
      </c>
      <c r="F7" s="27">
        <v>33167</v>
      </c>
      <c r="H7" s="28">
        <v>44685</v>
      </c>
      <c r="I7" s="29">
        <v>98</v>
      </c>
      <c r="J7" s="36"/>
      <c r="K7" s="40"/>
      <c r="L7" s="38"/>
      <c r="M7" s="30">
        <f>5000+27569</f>
        <v>32569</v>
      </c>
      <c r="N7" s="31">
        <v>500</v>
      </c>
      <c r="P7" s="32">
        <f t="shared" si="0"/>
        <v>33167</v>
      </c>
      <c r="Q7" s="12">
        <f t="shared" si="1"/>
        <v>0</v>
      </c>
      <c r="R7" s="8"/>
      <c r="S7">
        <v>3</v>
      </c>
    </row>
    <row r="8" spans="1:21" ht="18" thickBot="1" x14ac:dyDescent="0.35">
      <c r="A8" s="22"/>
      <c r="B8" s="23">
        <v>44686</v>
      </c>
      <c r="C8" s="24">
        <v>1360</v>
      </c>
      <c r="D8" s="39" t="s">
        <v>47</v>
      </c>
      <c r="E8" s="26">
        <v>44686</v>
      </c>
      <c r="F8" s="27">
        <v>58940</v>
      </c>
      <c r="H8" s="28">
        <v>44686</v>
      </c>
      <c r="I8" s="29">
        <v>28</v>
      </c>
      <c r="J8" s="42"/>
      <c r="K8" s="43"/>
      <c r="L8" s="38"/>
      <c r="M8" s="30">
        <f>52916+15000</f>
        <v>67916</v>
      </c>
      <c r="N8" s="31">
        <v>897</v>
      </c>
      <c r="P8" s="32">
        <f t="shared" si="0"/>
        <v>70201</v>
      </c>
      <c r="Q8" s="12">
        <v>0</v>
      </c>
      <c r="R8" s="176">
        <v>11261</v>
      </c>
      <c r="S8">
        <v>9</v>
      </c>
    </row>
    <row r="9" spans="1:21" ht="18" thickBot="1" x14ac:dyDescent="0.35">
      <c r="A9" s="22"/>
      <c r="B9" s="23">
        <v>44687</v>
      </c>
      <c r="C9" s="24">
        <v>0</v>
      </c>
      <c r="D9" s="39"/>
      <c r="E9" s="26">
        <v>44687</v>
      </c>
      <c r="F9" s="27">
        <v>98700</v>
      </c>
      <c r="H9" s="28">
        <v>44687</v>
      </c>
      <c r="I9" s="29">
        <v>85</v>
      </c>
      <c r="J9" s="36"/>
      <c r="K9" s="44"/>
      <c r="L9" s="38"/>
      <c r="M9" s="30">
        <f>20000+40000+38615</f>
        <v>98615</v>
      </c>
      <c r="N9" s="31">
        <v>0</v>
      </c>
      <c r="P9" s="32">
        <f>N9+M9+L9+I9+C9</f>
        <v>98700</v>
      </c>
      <c r="Q9" s="12">
        <f t="shared" si="1"/>
        <v>0</v>
      </c>
      <c r="R9" s="7"/>
      <c r="S9">
        <v>4</v>
      </c>
    </row>
    <row r="10" spans="1:21" ht="18" thickBot="1" x14ac:dyDescent="0.35">
      <c r="A10" s="22"/>
      <c r="B10" s="23">
        <v>44688</v>
      </c>
      <c r="C10" s="24">
        <v>7184</v>
      </c>
      <c r="D10" s="34" t="s">
        <v>49</v>
      </c>
      <c r="E10" s="26">
        <v>44688</v>
      </c>
      <c r="F10" s="27">
        <v>102747</v>
      </c>
      <c r="H10" s="28">
        <v>44688</v>
      </c>
      <c r="I10" s="29">
        <v>60</v>
      </c>
      <c r="J10" s="36"/>
      <c r="K10" s="45"/>
      <c r="L10" s="46"/>
      <c r="M10" s="30">
        <f>40000+47403</f>
        <v>87403</v>
      </c>
      <c r="N10" s="31">
        <v>8100</v>
      </c>
      <c r="P10" s="32">
        <f t="shared" si="0"/>
        <v>102747</v>
      </c>
      <c r="Q10" s="12">
        <f t="shared" si="1"/>
        <v>0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44689</v>
      </c>
      <c r="C11" s="24">
        <v>5204</v>
      </c>
      <c r="D11" s="34" t="s">
        <v>49</v>
      </c>
      <c r="E11" s="26">
        <v>44689</v>
      </c>
      <c r="F11" s="27">
        <v>114024</v>
      </c>
      <c r="H11" s="28">
        <v>44689</v>
      </c>
      <c r="I11" s="29">
        <v>22</v>
      </c>
      <c r="J11" s="42">
        <v>44689</v>
      </c>
      <c r="K11" s="47" t="s">
        <v>278</v>
      </c>
      <c r="L11" s="38">
        <v>9717</v>
      </c>
      <c r="M11" s="30">
        <f>80000+18221</f>
        <v>98221</v>
      </c>
      <c r="N11" s="31">
        <v>860</v>
      </c>
      <c r="P11" s="32">
        <f>N11+M11+L11+I11+C11</f>
        <v>114024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44690</v>
      </c>
      <c r="C12" s="24">
        <v>2800</v>
      </c>
      <c r="D12" s="34" t="s">
        <v>47</v>
      </c>
      <c r="E12" s="26">
        <v>44690</v>
      </c>
      <c r="F12" s="27">
        <v>85296</v>
      </c>
      <c r="H12" s="28">
        <v>44690</v>
      </c>
      <c r="I12" s="29">
        <v>39</v>
      </c>
      <c r="J12" s="36"/>
      <c r="K12" s="48"/>
      <c r="L12" s="38"/>
      <c r="M12" s="30">
        <f>57065+24240+200</f>
        <v>81505</v>
      </c>
      <c r="N12" s="31">
        <v>1152</v>
      </c>
      <c r="P12" s="32">
        <f t="shared" si="0"/>
        <v>85496</v>
      </c>
      <c r="Q12" s="12">
        <f t="shared" si="1"/>
        <v>200</v>
      </c>
      <c r="R12" s="7"/>
      <c r="S12">
        <v>0</v>
      </c>
    </row>
    <row r="13" spans="1:21" ht="18" thickBot="1" x14ac:dyDescent="0.35">
      <c r="A13" s="22"/>
      <c r="B13" s="23">
        <v>44691</v>
      </c>
      <c r="C13" s="24">
        <v>800</v>
      </c>
      <c r="D13" s="39" t="s">
        <v>47</v>
      </c>
      <c r="E13" s="26">
        <v>44691</v>
      </c>
      <c r="F13" s="27">
        <v>92517</v>
      </c>
      <c r="H13" s="28">
        <v>44691</v>
      </c>
      <c r="I13" s="29">
        <v>19</v>
      </c>
      <c r="J13" s="36"/>
      <c r="K13" s="37"/>
      <c r="L13" s="38"/>
      <c r="M13" s="30">
        <f>20000+40000+31098</f>
        <v>91098</v>
      </c>
      <c r="N13" s="31">
        <v>600</v>
      </c>
      <c r="P13" s="32">
        <f t="shared" si="0"/>
        <v>92517</v>
      </c>
      <c r="Q13" s="12">
        <f t="shared" si="1"/>
        <v>0</v>
      </c>
      <c r="R13" s="177"/>
      <c r="S13">
        <v>5</v>
      </c>
    </row>
    <row r="14" spans="1:21" ht="18" thickBot="1" x14ac:dyDescent="0.35">
      <c r="A14" s="22"/>
      <c r="B14" s="23">
        <v>44692</v>
      </c>
      <c r="C14" s="24">
        <v>0</v>
      </c>
      <c r="D14" s="49"/>
      <c r="E14" s="26">
        <v>44692</v>
      </c>
      <c r="F14" s="27">
        <v>35612</v>
      </c>
      <c r="H14" s="28">
        <v>44692</v>
      </c>
      <c r="I14" s="29">
        <v>309</v>
      </c>
      <c r="J14" s="36"/>
      <c r="K14" s="43"/>
      <c r="L14" s="38"/>
      <c r="M14" s="30">
        <v>35029</v>
      </c>
      <c r="N14" s="31">
        <v>274</v>
      </c>
      <c r="P14" s="32">
        <f t="shared" si="0"/>
        <v>35612</v>
      </c>
      <c r="Q14" s="12">
        <f t="shared" si="1"/>
        <v>0</v>
      </c>
      <c r="R14" s="177"/>
      <c r="S14">
        <v>3</v>
      </c>
    </row>
    <row r="15" spans="1:21" ht="18" thickBot="1" x14ac:dyDescent="0.35">
      <c r="A15" s="22"/>
      <c r="B15" s="23">
        <v>44693</v>
      </c>
      <c r="C15" s="24">
        <v>18388</v>
      </c>
      <c r="D15" s="49" t="s">
        <v>49</v>
      </c>
      <c r="E15" s="26">
        <v>44693</v>
      </c>
      <c r="F15" s="27">
        <v>69146</v>
      </c>
      <c r="H15" s="28">
        <v>44693</v>
      </c>
      <c r="I15" s="29">
        <v>90</v>
      </c>
      <c r="J15" s="36"/>
      <c r="K15" s="43"/>
      <c r="L15" s="38"/>
      <c r="M15" s="30">
        <f>30668+20000</f>
        <v>50668</v>
      </c>
      <c r="N15" s="31">
        <v>0</v>
      </c>
      <c r="P15" s="32">
        <f t="shared" si="0"/>
        <v>69146</v>
      </c>
      <c r="Q15" s="12">
        <f t="shared" si="1"/>
        <v>0</v>
      </c>
      <c r="R15" s="7"/>
      <c r="S15">
        <v>-8</v>
      </c>
    </row>
    <row r="16" spans="1:21" ht="18" thickBot="1" x14ac:dyDescent="0.35">
      <c r="A16" s="22"/>
      <c r="B16" s="23">
        <v>44694</v>
      </c>
      <c r="C16" s="24">
        <v>0</v>
      </c>
      <c r="D16" s="34"/>
      <c r="E16" s="26">
        <v>44694</v>
      </c>
      <c r="F16" s="27">
        <v>98563</v>
      </c>
      <c r="H16" s="28">
        <v>44694</v>
      </c>
      <c r="I16" s="29">
        <v>220</v>
      </c>
      <c r="J16" s="36"/>
      <c r="K16" s="43"/>
      <c r="L16" s="8"/>
      <c r="M16" s="30">
        <f>63232+25000</f>
        <v>88232</v>
      </c>
      <c r="N16" s="31">
        <v>10111</v>
      </c>
      <c r="P16" s="32">
        <f t="shared" si="0"/>
        <v>98563</v>
      </c>
      <c r="Q16" s="12">
        <f t="shared" si="1"/>
        <v>0</v>
      </c>
      <c r="R16" s="7" t="s">
        <v>8</v>
      </c>
      <c r="S16">
        <v>2</v>
      </c>
    </row>
    <row r="17" spans="1:19" ht="18" thickBot="1" x14ac:dyDescent="0.35">
      <c r="A17" s="22"/>
      <c r="B17" s="23">
        <v>44695</v>
      </c>
      <c r="C17" s="24">
        <v>1411</v>
      </c>
      <c r="D17" s="39" t="s">
        <v>279</v>
      </c>
      <c r="E17" s="26">
        <v>44695</v>
      </c>
      <c r="F17" s="27">
        <v>149845</v>
      </c>
      <c r="H17" s="28">
        <v>44695</v>
      </c>
      <c r="I17" s="29">
        <v>364</v>
      </c>
      <c r="J17" s="36">
        <v>44695</v>
      </c>
      <c r="K17" s="50" t="s">
        <v>280</v>
      </c>
      <c r="L17" s="46">
        <v>11900</v>
      </c>
      <c r="M17" s="30">
        <f>12366+41750+45477+25000</f>
        <v>124593</v>
      </c>
      <c r="N17" s="31">
        <v>11577</v>
      </c>
      <c r="P17" s="32">
        <f t="shared" si="0"/>
        <v>149845</v>
      </c>
      <c r="Q17" s="12">
        <f t="shared" si="1"/>
        <v>0</v>
      </c>
      <c r="R17" s="7"/>
      <c r="S17">
        <v>4</v>
      </c>
    </row>
    <row r="18" spans="1:19" ht="18" thickBot="1" x14ac:dyDescent="0.35">
      <c r="A18" s="22"/>
      <c r="B18" s="23">
        <v>44696</v>
      </c>
      <c r="C18" s="24">
        <v>0</v>
      </c>
      <c r="D18" s="34"/>
      <c r="E18" s="26">
        <v>44696</v>
      </c>
      <c r="F18" s="27">
        <v>122601</v>
      </c>
      <c r="H18" s="28">
        <v>44696</v>
      </c>
      <c r="I18" s="29">
        <v>0</v>
      </c>
      <c r="J18" s="36"/>
      <c r="K18" s="51"/>
      <c r="L18" s="38"/>
      <c r="M18" s="30">
        <f>95000+26901</f>
        <v>121901</v>
      </c>
      <c r="N18" s="31">
        <v>700</v>
      </c>
      <c r="P18" s="32">
        <f t="shared" si="0"/>
        <v>122601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44697</v>
      </c>
      <c r="C19" s="24">
        <v>0</v>
      </c>
      <c r="D19" s="34"/>
      <c r="E19" s="26">
        <v>44697</v>
      </c>
      <c r="F19" s="27">
        <v>62516</v>
      </c>
      <c r="H19" s="28">
        <v>44697</v>
      </c>
      <c r="I19" s="29">
        <v>59</v>
      </c>
      <c r="J19" s="36"/>
      <c r="K19" s="52"/>
      <c r="L19" s="53"/>
      <c r="M19" s="30">
        <f>22000+39329</f>
        <v>61329</v>
      </c>
      <c r="N19" s="31">
        <v>1130</v>
      </c>
      <c r="P19" s="32">
        <f t="shared" si="0"/>
        <v>62518</v>
      </c>
      <c r="Q19" s="12">
        <f t="shared" si="1"/>
        <v>2</v>
      </c>
      <c r="R19" s="7"/>
      <c r="S19">
        <v>0</v>
      </c>
    </row>
    <row r="20" spans="1:19" ht="18" thickBot="1" x14ac:dyDescent="0.35">
      <c r="A20" s="22"/>
      <c r="B20" s="23">
        <v>44698</v>
      </c>
      <c r="C20" s="24">
        <v>0</v>
      </c>
      <c r="D20" s="34"/>
      <c r="E20" s="26">
        <v>44698</v>
      </c>
      <c r="F20" s="27">
        <v>87181</v>
      </c>
      <c r="H20" s="28">
        <v>44698</v>
      </c>
      <c r="I20" s="29">
        <v>48</v>
      </c>
      <c r="J20" s="36"/>
      <c r="K20" s="54"/>
      <c r="L20" s="46"/>
      <c r="M20" s="30">
        <f>36535+50000</f>
        <v>86535</v>
      </c>
      <c r="N20" s="31">
        <v>598</v>
      </c>
      <c r="P20" s="32">
        <f t="shared" si="0"/>
        <v>87181</v>
      </c>
      <c r="Q20" s="12">
        <f t="shared" si="1"/>
        <v>0</v>
      </c>
      <c r="R20" s="7"/>
      <c r="S20">
        <v>-7</v>
      </c>
    </row>
    <row r="21" spans="1:19" ht="18" thickBot="1" x14ac:dyDescent="0.35">
      <c r="A21" s="22"/>
      <c r="B21" s="23">
        <v>44699</v>
      </c>
      <c r="C21" s="24">
        <v>2100</v>
      </c>
      <c r="D21" s="34" t="s">
        <v>47</v>
      </c>
      <c r="E21" s="26">
        <v>44699</v>
      </c>
      <c r="F21" s="27">
        <v>43454</v>
      </c>
      <c r="H21" s="28">
        <v>44699</v>
      </c>
      <c r="I21" s="29">
        <v>90</v>
      </c>
      <c r="J21" s="36"/>
      <c r="K21" s="55"/>
      <c r="L21" s="46"/>
      <c r="M21" s="30">
        <f>31220+10000</f>
        <v>41220</v>
      </c>
      <c r="N21" s="31">
        <v>44</v>
      </c>
      <c r="P21" s="32">
        <f t="shared" si="0"/>
        <v>43454</v>
      </c>
      <c r="Q21" s="12">
        <f t="shared" si="1"/>
        <v>0</v>
      </c>
      <c r="R21" s="7"/>
      <c r="S21">
        <v>1</v>
      </c>
    </row>
    <row r="22" spans="1:19" ht="18" thickBot="1" x14ac:dyDescent="0.35">
      <c r="A22" s="22"/>
      <c r="B22" s="23">
        <v>44700</v>
      </c>
      <c r="C22" s="24">
        <v>0</v>
      </c>
      <c r="D22" s="34"/>
      <c r="E22" s="26">
        <v>44700</v>
      </c>
      <c r="F22" s="27">
        <v>65355</v>
      </c>
      <c r="H22" s="28">
        <v>44700</v>
      </c>
      <c r="I22" s="29">
        <v>56</v>
      </c>
      <c r="J22" s="36"/>
      <c r="K22" s="43"/>
      <c r="L22" s="56"/>
      <c r="M22" s="30">
        <f>30000+35299</f>
        <v>65299</v>
      </c>
      <c r="N22" s="31">
        <v>0</v>
      </c>
      <c r="P22" s="32">
        <f t="shared" si="0"/>
        <v>65355</v>
      </c>
      <c r="Q22" s="12">
        <f t="shared" si="1"/>
        <v>0</v>
      </c>
      <c r="R22" s="7"/>
      <c r="S22">
        <v>1</v>
      </c>
    </row>
    <row r="23" spans="1:19" ht="18" thickBot="1" x14ac:dyDescent="0.35">
      <c r="A23" s="22"/>
      <c r="B23" s="23">
        <v>44701</v>
      </c>
      <c r="C23" s="24">
        <v>19197</v>
      </c>
      <c r="D23" s="34" t="s">
        <v>49</v>
      </c>
      <c r="E23" s="26">
        <v>44701</v>
      </c>
      <c r="F23" s="27">
        <v>86439</v>
      </c>
      <c r="H23" s="28">
        <v>44701</v>
      </c>
      <c r="I23" s="29">
        <v>169</v>
      </c>
      <c r="J23" s="57"/>
      <c r="K23" s="58"/>
      <c r="L23" s="46"/>
      <c r="M23" s="30">
        <f>30000+36609</f>
        <v>66609</v>
      </c>
      <c r="N23" s="31">
        <v>464</v>
      </c>
      <c r="P23" s="32">
        <f t="shared" si="0"/>
        <v>86439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44702</v>
      </c>
      <c r="C24" s="24">
        <v>15</v>
      </c>
      <c r="D24" s="39" t="s">
        <v>34</v>
      </c>
      <c r="E24" s="26">
        <v>44702</v>
      </c>
      <c r="F24" s="27">
        <v>91965</v>
      </c>
      <c r="H24" s="28">
        <v>44702</v>
      </c>
      <c r="I24" s="29">
        <v>60</v>
      </c>
      <c r="J24" s="173">
        <v>44702</v>
      </c>
      <c r="K24" s="60" t="s">
        <v>311</v>
      </c>
      <c r="L24" s="61">
        <v>10800</v>
      </c>
      <c r="M24" s="30">
        <f>44952+5623+20000</f>
        <v>70575</v>
      </c>
      <c r="N24" s="31">
        <v>10516</v>
      </c>
      <c r="P24" s="32">
        <f t="shared" si="0"/>
        <v>91966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44703</v>
      </c>
      <c r="C25" s="24">
        <v>0</v>
      </c>
      <c r="D25" s="34"/>
      <c r="E25" s="26">
        <v>44703</v>
      </c>
      <c r="F25" s="27">
        <v>118336</v>
      </c>
      <c r="H25" s="28">
        <v>44703</v>
      </c>
      <c r="I25" s="29">
        <v>0</v>
      </c>
      <c r="J25" s="62"/>
      <c r="K25" s="63"/>
      <c r="L25" s="64"/>
      <c r="M25" s="30">
        <f>100000+14710</f>
        <v>114710</v>
      </c>
      <c r="N25" s="31">
        <v>3628</v>
      </c>
      <c r="O25" t="s">
        <v>8</v>
      </c>
      <c r="P25" s="32">
        <f t="shared" si="0"/>
        <v>118338</v>
      </c>
      <c r="Q25" s="12">
        <f t="shared" si="1"/>
        <v>2</v>
      </c>
      <c r="R25" s="7"/>
      <c r="S25">
        <v>0</v>
      </c>
    </row>
    <row r="26" spans="1:19" ht="18" thickBot="1" x14ac:dyDescent="0.35">
      <c r="A26" s="22"/>
      <c r="B26" s="23">
        <v>44704</v>
      </c>
      <c r="C26" s="24">
        <v>0</v>
      </c>
      <c r="D26" s="34"/>
      <c r="E26" s="26">
        <v>44704</v>
      </c>
      <c r="F26" s="27">
        <v>50361</v>
      </c>
      <c r="H26" s="28">
        <v>44704</v>
      </c>
      <c r="I26" s="29">
        <v>53</v>
      </c>
      <c r="J26" s="36"/>
      <c r="K26" s="60"/>
      <c r="L26" s="46"/>
      <c r="M26" s="30">
        <f>44308+6000</f>
        <v>50308</v>
      </c>
      <c r="N26" s="31">
        <v>0</v>
      </c>
      <c r="P26" s="32">
        <f t="shared" si="0"/>
        <v>50361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44705</v>
      </c>
      <c r="C27" s="24">
        <v>2800</v>
      </c>
      <c r="D27" s="39" t="s">
        <v>47</v>
      </c>
      <c r="E27" s="26">
        <v>44705</v>
      </c>
      <c r="F27" s="27">
        <v>68453</v>
      </c>
      <c r="H27" s="28">
        <v>44705</v>
      </c>
      <c r="I27" s="29">
        <v>43</v>
      </c>
      <c r="J27" s="65"/>
      <c r="K27" s="66"/>
      <c r="L27" s="64"/>
      <c r="M27" s="30">
        <f>45610+20000</f>
        <v>65610</v>
      </c>
      <c r="N27" s="31">
        <v>0</v>
      </c>
      <c r="P27" s="32">
        <f t="shared" si="0"/>
        <v>68453</v>
      </c>
      <c r="Q27" s="12">
        <f t="shared" si="1"/>
        <v>0</v>
      </c>
      <c r="R27" s="7"/>
      <c r="S27">
        <v>3</v>
      </c>
    </row>
    <row r="28" spans="1:19" ht="18" thickBot="1" x14ac:dyDescent="0.35">
      <c r="A28" s="22"/>
      <c r="B28" s="23">
        <v>44706</v>
      </c>
      <c r="C28" s="24">
        <v>0</v>
      </c>
      <c r="D28" s="39"/>
      <c r="E28" s="26">
        <v>44706</v>
      </c>
      <c r="F28" s="27">
        <v>28820</v>
      </c>
      <c r="H28" s="28">
        <v>44706</v>
      </c>
      <c r="I28" s="29">
        <v>1153</v>
      </c>
      <c r="J28" s="67"/>
      <c r="K28" s="68"/>
      <c r="L28" s="64"/>
      <c r="M28" s="30">
        <f>16978+10000</f>
        <v>26978</v>
      </c>
      <c r="N28" s="31">
        <v>689</v>
      </c>
      <c r="P28" s="32">
        <f t="shared" si="0"/>
        <v>28820</v>
      </c>
      <c r="Q28" s="12" t="s">
        <v>8</v>
      </c>
      <c r="R28" s="7"/>
      <c r="S28">
        <v>2</v>
      </c>
    </row>
    <row r="29" spans="1:19" ht="18" thickBot="1" x14ac:dyDescent="0.35">
      <c r="A29" s="22"/>
      <c r="B29" s="23">
        <v>44707</v>
      </c>
      <c r="C29" s="24">
        <v>20289</v>
      </c>
      <c r="D29" s="69" t="s">
        <v>323</v>
      </c>
      <c r="E29" s="26">
        <v>44707</v>
      </c>
      <c r="F29" s="27">
        <v>65956</v>
      </c>
      <c r="H29" s="28">
        <v>44707</v>
      </c>
      <c r="I29" s="29">
        <v>93</v>
      </c>
      <c r="J29" s="65"/>
      <c r="K29" s="70"/>
      <c r="L29" s="64"/>
      <c r="M29" s="30">
        <f>20000+25531</f>
        <v>45531</v>
      </c>
      <c r="N29" s="31">
        <v>43</v>
      </c>
      <c r="P29" s="32">
        <f t="shared" si="0"/>
        <v>65956</v>
      </c>
      <c r="Q29" s="12">
        <f t="shared" si="1"/>
        <v>0</v>
      </c>
      <c r="R29" s="7"/>
      <c r="S29">
        <v>-1</v>
      </c>
    </row>
    <row r="30" spans="1:19" ht="18" thickBot="1" x14ac:dyDescent="0.35">
      <c r="A30" s="22"/>
      <c r="B30" s="23">
        <v>44708</v>
      </c>
      <c r="C30" s="24">
        <v>2182</v>
      </c>
      <c r="D30" s="69" t="s">
        <v>312</v>
      </c>
      <c r="E30" s="26">
        <v>44708</v>
      </c>
      <c r="F30" s="27">
        <v>109848</v>
      </c>
      <c r="H30" s="28">
        <v>44708</v>
      </c>
      <c r="I30" s="29">
        <v>49</v>
      </c>
      <c r="J30" s="71"/>
      <c r="K30" s="72"/>
      <c r="L30" s="73"/>
      <c r="M30" s="30">
        <f>35000+50000+22617</f>
        <v>107617</v>
      </c>
      <c r="N30" s="31">
        <v>0</v>
      </c>
      <c r="P30" s="32">
        <f t="shared" si="0"/>
        <v>109848</v>
      </c>
      <c r="Q30" s="12">
        <f t="shared" si="1"/>
        <v>0</v>
      </c>
      <c r="R30" s="7"/>
    </row>
    <row r="31" spans="1:19" ht="18" thickBot="1" x14ac:dyDescent="0.35">
      <c r="A31" s="22"/>
      <c r="B31" s="23">
        <v>44709</v>
      </c>
      <c r="C31" s="24">
        <v>0</v>
      </c>
      <c r="D31" s="81"/>
      <c r="E31" s="26">
        <v>44709</v>
      </c>
      <c r="F31" s="27">
        <v>105508</v>
      </c>
      <c r="H31" s="28">
        <v>44709</v>
      </c>
      <c r="I31" s="29">
        <v>83</v>
      </c>
      <c r="J31" s="71">
        <v>44709</v>
      </c>
      <c r="K31" s="74" t="s">
        <v>313</v>
      </c>
      <c r="L31" s="75">
        <v>9500</v>
      </c>
      <c r="M31" s="30">
        <f>40000+46388</f>
        <v>86388</v>
      </c>
      <c r="N31" s="31">
        <v>9537</v>
      </c>
      <c r="P31" s="32">
        <f t="shared" si="0"/>
        <v>105508</v>
      </c>
      <c r="Q31" s="12">
        <f t="shared" si="1"/>
        <v>0</v>
      </c>
      <c r="R31" s="7"/>
    </row>
    <row r="32" spans="1:19" ht="18" thickBot="1" x14ac:dyDescent="0.35">
      <c r="A32" s="22"/>
      <c r="B32" s="23">
        <v>44710</v>
      </c>
      <c r="C32" s="24">
        <v>0</v>
      </c>
      <c r="D32" s="76"/>
      <c r="E32" s="26">
        <v>44710</v>
      </c>
      <c r="F32" s="27">
        <v>141140</v>
      </c>
      <c r="H32" s="28">
        <v>44710</v>
      </c>
      <c r="I32" s="29">
        <v>0</v>
      </c>
      <c r="J32" s="71"/>
      <c r="K32" s="72"/>
      <c r="L32" s="73"/>
      <c r="M32" s="30">
        <f>75000+55000+10909</f>
        <v>140909</v>
      </c>
      <c r="N32" s="31">
        <v>231</v>
      </c>
      <c r="P32" s="32">
        <f t="shared" si="0"/>
        <v>141140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59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/>
      <c r="K34" s="79"/>
      <c r="L34" s="80"/>
      <c r="M34" s="30">
        <v>0</v>
      </c>
      <c r="N34" s="31">
        <v>0</v>
      </c>
      <c r="P34" s="32">
        <f t="shared" si="0"/>
        <v>0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44684</v>
      </c>
      <c r="K35" s="74" t="s">
        <v>204</v>
      </c>
      <c r="L35" s="78">
        <v>638.99</v>
      </c>
      <c r="M35" s="30">
        <v>0</v>
      </c>
      <c r="N35" s="31">
        <v>0</v>
      </c>
      <c r="P35" s="32">
        <v>0</v>
      </c>
      <c r="Q35" s="12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44690</v>
      </c>
      <c r="K36" s="213" t="s">
        <v>322</v>
      </c>
      <c r="L36" s="78">
        <v>1195.68</v>
      </c>
      <c r="M36" s="30">
        <v>0</v>
      </c>
      <c r="N36" s="31">
        <v>0</v>
      </c>
      <c r="P36" s="32">
        <v>0</v>
      </c>
      <c r="Q36" s="12">
        <f t="shared" si="1"/>
        <v>0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44699</v>
      </c>
      <c r="K37" s="74" t="s">
        <v>324</v>
      </c>
      <c r="L37" s="78">
        <v>870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44704</v>
      </c>
      <c r="K38" s="40" t="s">
        <v>318</v>
      </c>
      <c r="L38" s="78">
        <v>1392</v>
      </c>
      <c r="M38" s="30">
        <v>0</v>
      </c>
      <c r="N38" s="31">
        <v>0</v>
      </c>
      <c r="P38" s="32">
        <v>0</v>
      </c>
      <c r="Q38" s="59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>
        <v>44710</v>
      </c>
      <c r="K39" s="266" t="s">
        <v>320</v>
      </c>
      <c r="L39" s="73">
        <v>1770.75</v>
      </c>
      <c r="M39" s="30">
        <v>0</v>
      </c>
      <c r="N39" s="31">
        <v>0</v>
      </c>
      <c r="P39" s="32"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16">
        <f>SUM(M5:M39)</f>
        <v>2144215</v>
      </c>
      <c r="N40" s="418">
        <f>SUM(N5:N39)</f>
        <v>62525</v>
      </c>
      <c r="P40" s="32">
        <f>SUM(P5:P39)</f>
        <v>2335834</v>
      </c>
      <c r="Q40" s="12">
        <f t="shared" si="1"/>
        <v>2335834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17"/>
      <c r="N41" s="419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83730</v>
      </c>
      <c r="D51" s="103"/>
      <c r="E51" s="104" t="s">
        <v>9</v>
      </c>
      <c r="F51" s="105">
        <f>SUM(F5:F50)</f>
        <v>2324367</v>
      </c>
      <c r="G51" s="103"/>
      <c r="H51" s="106" t="s">
        <v>10</v>
      </c>
      <c r="I51" s="107">
        <f>SUM(I5:I50)</f>
        <v>3447</v>
      </c>
      <c r="J51" s="108"/>
      <c r="K51" s="109" t="s">
        <v>11</v>
      </c>
      <c r="L51" s="110">
        <f>SUM(L5:L50)</f>
        <v>47784.42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20" t="s">
        <v>12</v>
      </c>
      <c r="I53" s="421"/>
      <c r="J53" s="114"/>
      <c r="K53" s="422">
        <f>I51+L51</f>
        <v>51231.42</v>
      </c>
      <c r="L53" s="423"/>
      <c r="M53" s="424">
        <f>N40+M40</f>
        <v>2206740</v>
      </c>
      <c r="N53" s="425"/>
      <c r="P53" s="32"/>
      <c r="Q53" s="8"/>
    </row>
    <row r="54" spans="1:17" ht="15.75" x14ac:dyDescent="0.25">
      <c r="D54" s="426" t="s">
        <v>13</v>
      </c>
      <c r="E54" s="426"/>
      <c r="F54" s="115">
        <f>F51-K53-C51</f>
        <v>2189405.58</v>
      </c>
      <c r="I54" s="116"/>
      <c r="J54" s="117"/>
      <c r="P54" s="32"/>
      <c r="Q54" s="8"/>
    </row>
    <row r="55" spans="1:17" ht="18.75" x14ac:dyDescent="0.3">
      <c r="D55" s="427" t="s">
        <v>14</v>
      </c>
      <c r="E55" s="427"/>
      <c r="F55" s="111">
        <v>-2251924.65</v>
      </c>
      <c r="I55" s="428" t="s">
        <v>15</v>
      </c>
      <c r="J55" s="429"/>
      <c r="K55" s="430">
        <f>F57+F58+F59</f>
        <v>112552.74000000017</v>
      </c>
      <c r="L55" s="43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-62519.069999999832</v>
      </c>
      <c r="H57" s="22"/>
      <c r="I57" s="124" t="s">
        <v>17</v>
      </c>
      <c r="J57" s="125"/>
      <c r="K57" s="432">
        <f>-C4</f>
        <v>-297874.59000000003</v>
      </c>
      <c r="L57" s="433"/>
    </row>
    <row r="58" spans="1:17" ht="16.5" thickBot="1" x14ac:dyDescent="0.3">
      <c r="D58" s="126" t="s">
        <v>18</v>
      </c>
      <c r="E58" s="33" t="s">
        <v>19</v>
      </c>
      <c r="F58" s="127">
        <v>25133</v>
      </c>
    </row>
    <row r="59" spans="1:17" ht="20.25" thickTop="1" thickBot="1" x14ac:dyDescent="0.35">
      <c r="C59" s="128">
        <v>44710</v>
      </c>
      <c r="D59" s="409" t="s">
        <v>20</v>
      </c>
      <c r="E59" s="410"/>
      <c r="F59" s="129">
        <v>149938.81</v>
      </c>
      <c r="I59" s="411" t="s">
        <v>325</v>
      </c>
      <c r="J59" s="412"/>
      <c r="K59" s="413">
        <f>K55+K57</f>
        <v>-185321.84999999986</v>
      </c>
      <c r="L59" s="41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5:L40">
    <sortCondition ref="J35:J40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  S E P T I E M B R E     2022 </vt:lpstr>
      <vt:lpstr>COMPRAS   SEPTIEMBRE 2022</vt:lpstr>
      <vt:lpstr>   O C T U B R E     2 0 2 2   </vt:lpstr>
      <vt:lpstr> COMPRAS  OCTUBRE   2022     </vt:lpstr>
      <vt:lpstr>   N O V I E M  B R E    2022  </vt:lpstr>
      <vt:lpstr>COMPRAS NOVIEMBRE 2022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2022-11-25T20:32:57Z</cp:lastPrinted>
  <dcterms:created xsi:type="dcterms:W3CDTF">2022-01-21T15:38:45Z</dcterms:created>
  <dcterms:modified xsi:type="dcterms:W3CDTF">2022-12-16T16:24:11Z</dcterms:modified>
</cp:coreProperties>
</file>