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21135" windowHeight="11715" firstSheet="12" activeTab="14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Hoja2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6" l="1"/>
  <c r="Q28" i="16" l="1"/>
  <c r="M28" i="16"/>
  <c r="M27" i="16"/>
  <c r="M26" i="16"/>
  <c r="M25" i="16" l="1"/>
  <c r="M24" i="16"/>
  <c r="M23" i="16"/>
  <c r="M22" i="16"/>
  <c r="M21" i="16"/>
  <c r="M20" i="16"/>
  <c r="M19" i="16" l="1"/>
  <c r="M17" i="16"/>
  <c r="M16" i="16" l="1"/>
  <c r="M15" i="16"/>
  <c r="M14" i="16"/>
  <c r="M11" i="16" l="1"/>
  <c r="M9" i="16"/>
  <c r="M8" i="16" l="1"/>
  <c r="M7" i="16"/>
  <c r="Q32" i="16"/>
  <c r="Q33" i="16"/>
  <c r="Q34" i="16"/>
  <c r="Q35" i="16"/>
  <c r="Q36" i="16"/>
  <c r="Q37" i="16"/>
  <c r="Q38" i="16"/>
  <c r="Q39" i="16"/>
  <c r="M5" i="16"/>
  <c r="L5" i="16"/>
  <c r="N67" i="17" l="1"/>
  <c r="M67" i="17"/>
  <c r="K67" i="17"/>
  <c r="F67" i="17"/>
  <c r="D67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N4" i="17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G4" i="17"/>
  <c r="N3" i="17"/>
  <c r="G3" i="17"/>
  <c r="G67" i="17" s="1"/>
  <c r="K73" i="16"/>
  <c r="I67" i="16"/>
  <c r="F67" i="16"/>
  <c r="R50" i="16"/>
  <c r="N49" i="16"/>
  <c r="Q47" i="16"/>
  <c r="Q46" i="16"/>
  <c r="Q45" i="16"/>
  <c r="Q44" i="16"/>
  <c r="Q43" i="16"/>
  <c r="Q42" i="16"/>
  <c r="Q41" i="16"/>
  <c r="P33" i="16"/>
  <c r="P32" i="16"/>
  <c r="P31" i="16"/>
  <c r="Q31" i="16" s="1"/>
  <c r="P30" i="16"/>
  <c r="Q30" i="16" s="1"/>
  <c r="P29" i="16"/>
  <c r="Q29" i="16" s="1"/>
  <c r="P28" i="16"/>
  <c r="P27" i="16"/>
  <c r="Q27" i="16" s="1"/>
  <c r="P26" i="16"/>
  <c r="Q26" i="16" s="1"/>
  <c r="L67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C67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M53" i="16" l="1"/>
  <c r="K69" i="16"/>
  <c r="F70" i="16" s="1"/>
  <c r="F73" i="16" s="1"/>
  <c r="K71" i="16" s="1"/>
  <c r="K75" i="16" s="1"/>
  <c r="P5" i="16"/>
  <c r="M30" i="13"/>
  <c r="M29" i="13"/>
  <c r="P49" i="16" l="1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<sst xmlns="http://schemas.openxmlformats.org/spreadsheetml/2006/main" count="1709" uniqueCount="921">
  <si>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</si>
  <si>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</si>
  <si>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</si>
  <si>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</si>
  <si>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</si>
  <si>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</si>
  <si>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</si>
  <si>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</si>
  <si>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</si>
  <si>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</si>
  <si>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</si>
  <si>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</si>
  <si>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</si>
  <si>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</si>
  <si>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</si>
  <si>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</si>
  <si>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</si>
  <si>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</si>
  <si>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</si>
  <si>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</si>
  <si>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</si>
  <si>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</si>
  <si>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</si>
  <si>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</si>
  <si>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</si>
  <si>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</si>
  <si>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</si>
  <si>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</si>
  <si>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</si>
  <si>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</si>
  <si>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</si>
  <si>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</si>
  <si>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</si>
  <si>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</si>
  <si>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</si>
  <si>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</si>
  <si>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</si>
  <si>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</si>
  <si>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</si>
  <si>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</si>
  <si>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</si>
  <si>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</si>
  <si>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</si>
  <si>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</si>
  <si>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</si>
  <si>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</si>
  <si>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</si>
  <si>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</si>
  <si>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</si>
  <si>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</si>
  <si>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</si>
  <si>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</si>
  <si>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</si>
  <si>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</si>
  <si>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</si>
  <si>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</si>
  <si>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</si>
  <si>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</si>
  <si>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</si>
  <si>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</si>
  <si>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</si>
  <si>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</si>
  <si>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</si>
  <si>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</si>
  <si>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</si>
  <si>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</si>
  <si>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</si>
  <si>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</si>
  <si>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</si>
  <si>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</si>
  <si>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</si>
  <si>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</si>
  <si>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</si>
  <si>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</si>
  <si>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</si>
  <si>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</si>
  <si>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</si>
  <si>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</si>
  <si>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</si>
  <si>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</si>
  <si>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</si>
  <si>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</si>
  <si>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</si>
  <si>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</si>
  <si>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</si>
  <si>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</si>
  <si>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</si>
  <si>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</si>
  <si>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</si>
  <si>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</si>
  <si>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</si>
  <si>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</si>
  <si>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</si>
  <si>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</si>
  <si>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</si>
  <si>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</si>
  <si>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</si>
  <si>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</si>
  <si>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</si>
  <si>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</si>
  <si>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</si>
  <si>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</si>
  <si>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</si>
  <si>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</si>
  <si>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</si>
  <si>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</si>
  <si>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</si>
  <si>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</si>
  <si>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</si>
  <si>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</si>
  <si>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</si>
  <si>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</si>
  <si>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</si>
  <si>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</si>
  <si>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</si>
  <si>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</si>
  <si>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</si>
  <si>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</si>
  <si>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</si>
  <si>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</si>
  <si>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</si>
  <si>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</si>
  <si>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</si>
  <si>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</si>
  <si>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</si>
  <si>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</si>
  <si>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</si>
  <si>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</si>
  <si>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</si>
  <si>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</si>
  <si>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</si>
  <si>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</si>
  <si>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</si>
  <si>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</si>
  <si>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</si>
  <si>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</si>
  <si>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</si>
  <si>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</si>
  <si>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</si>
  <si>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</si>
  <si>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</si>
  <si>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</si>
  <si>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</si>
  <si>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</si>
  <si>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</si>
  <si>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</si>
  <si>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</si>
  <si>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</si>
  <si>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</si>
  <si>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</si>
  <si>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</si>
  <si>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</si>
  <si>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</si>
  <si>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</si>
  <si>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</si>
  <si>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</si>
  <si>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</si>
  <si>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</si>
  <si>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</si>
  <si>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</si>
  <si>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</si>
  <si>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</si>
  <si>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</si>
  <si>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</si>
  <si>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</si>
  <si>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</si>
  <si>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</si>
  <si>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</si>
  <si>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</si>
  <si>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</si>
  <si>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</si>
  <si>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</si>
  <si>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</si>
  <si>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</si>
  <si>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</si>
  <si>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</si>
  <si>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</si>
  <si>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</si>
  <si>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</si>
  <si>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</si>
  <si>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</si>
  <si>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</si>
  <si>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</si>
  <si>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</si>
  <si>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</si>
  <si>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</si>
  <si>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</si>
  <si>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</si>
  <si>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</si>
  <si>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</si>
  <si>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</si>
  <si>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</si>
  <si>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</si>
  <si>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</si>
  <si>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</si>
  <si>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</si>
  <si>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</si>
  <si>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</si>
  <si>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</si>
  <si>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</si>
  <si>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</si>
  <si>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</si>
  <si>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</si>
  <si>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</si>
  <si>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</si>
  <si>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</si>
  <si>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</si>
  <si>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</si>
  <si>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</si>
  <si>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</si>
  <si>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</si>
  <si>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</si>
  <si>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</si>
  <si>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</si>
  <si>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</si>
  <si>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</si>
  <si>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</si>
  <si>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</si>
  <si>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</si>
  <si>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</si>
  <si>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</si>
  <si>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</si>
  <si>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</si>
  <si>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</si>
  <si>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</si>
  <si>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</si>
  <si>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</si>
  <si>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</si>
  <si>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</si>
  <si>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</si>
  <si>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</si>
  <si>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</si>
  <si>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</si>
  <si>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</si>
  <si>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</si>
  <si>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</si>
  <si>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</si>
  <si>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</si>
  <si>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</si>
  <si>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</si>
  <si>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</si>
  <si>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</si>
  <si>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</si>
  <si>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</si>
  <si>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</si>
  <si>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</si>
  <si>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</si>
  <si>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</si>
  <si>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</si>
  <si>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</si>
  <si>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</si>
  <si>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</si>
  <si>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</si>
  <si>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</si>
  <si>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</si>
  <si>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</si>
  <si>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</si>
  <si>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</si>
  <si>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</si>
  <si>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</si>
  <si>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</si>
  <si>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</si>
  <si>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</si>
  <si>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</si>
  <si>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</si>
  <si>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</si>
  <si>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</si>
  <si>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</si>
  <si>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</si>
  <si>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</si>
  <si>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</si>
  <si>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</si>
  <si>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</si>
  <si>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</si>
  <si>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</si>
  <si>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</si>
  <si>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</si>
  <si>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</si>
  <si>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</si>
  <si>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</si>
  <si>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</si>
  <si>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</si>
  <si>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</si>
  <si>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</si>
  <si>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</si>
  <si>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</si>
  <si>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</si>
  <si>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</si>
  <si>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</si>
  <si>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</si>
  <si>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</si>
  <si>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</si>
  <si>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</si>
  <si>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</si>
  <si>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</si>
  <si>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</si>
  <si>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</si>
  <si>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</si>
  <si>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</si>
  <si>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</si>
  <si>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</si>
  <si>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</si>
  <si>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</si>
  <si>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</si>
  <si>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</si>
  <si>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</si>
  <si>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</si>
  <si>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</si>
  <si>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</si>
  <si>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</si>
  <si>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</si>
  <si>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</si>
  <si>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</si>
  <si>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</si>
  <si>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</si>
  <si>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</si>
  <si>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</si>
  <si>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</si>
  <si>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</si>
  <si>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</si>
  <si>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</si>
  <si>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</si>
  <si>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</si>
  <si>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</si>
  <si>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</si>
  <si>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</si>
  <si>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</si>
  <si>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</si>
  <si>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</si>
  <si>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</si>
  <si>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</si>
  <si>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</si>
  <si>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</si>
  <si>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</si>
  <si>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</si>
  <si>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</si>
  <si>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</si>
  <si>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</si>
  <si>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</si>
  <si>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</si>
  <si>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</si>
  <si>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</si>
  <si>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</si>
  <si>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</si>
  <si>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</si>
  <si>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</si>
  <si>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</si>
  <si>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</si>
  <si>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</si>
  <si>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</si>
  <si>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</si>
  <si>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</si>
  <si>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</si>
  <si>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</si>
  <si>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</si>
  <si>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</si>
  <si>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</si>
  <si>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</si>
  <si>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</si>
  <si>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</si>
  <si>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</si>
  <si>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</si>
  <si>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</si>
  <si>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</si>
  <si>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</si>
  <si>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</si>
  <si>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</si>
  <si>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</si>
  <si>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</si>
  <si>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</si>
  <si>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</si>
  <si>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</si>
  <si>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</si>
  <si>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</si>
  <si>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</si>
  <si>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</si>
  <si>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</si>
  <si>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</si>
  <si>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</si>
  <si>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</si>
  <si>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</si>
  <si>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</si>
  <si>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</si>
  <si>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</si>
  <si>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</si>
  <si>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</si>
  <si>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</si>
  <si>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</si>
  <si>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</si>
  <si>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</si>
  <si>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</si>
  <si>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</si>
  <si>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</si>
  <si>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</si>
  <si>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</si>
  <si>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</si>
  <si>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</si>
  <si>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</si>
  <si>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</si>
  <si>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</si>
  <si>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</si>
  <si>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</si>
  <si>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</si>
  <si>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</si>
  <si>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</si>
  <si>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</si>
  <si>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</si>
  <si>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</si>
  <si>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</si>
  <si>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</si>
  <si>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</si>
  <si>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</si>
  <si>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</si>
  <si>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</si>
  <si>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</si>
  <si>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</si>
  <si>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</si>
  <si>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</si>
  <si>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</si>
  <si>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</si>
  <si>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</si>
  <si>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</si>
  <si>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</si>
  <si>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</si>
  <si>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</si>
  <si>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</si>
  <si>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</si>
  <si>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</si>
  <si>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</si>
  <si>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</si>
  <si>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</si>
  <si>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</si>
  <si>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</si>
  <si>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</si>
  <si>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</si>
  <si>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</si>
  <si>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</si>
  <si>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</si>
  <si>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</si>
  <si>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</si>
  <si>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</si>
  <si>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</si>
  <si>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</si>
  <si>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</si>
  <si>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</si>
  <si>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</si>
  <si>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</si>
  <si>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</si>
  <si>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</si>
  <si>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</si>
  <si>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</si>
  <si>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</si>
  <si>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</si>
  <si>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</si>
  <si>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</si>
  <si>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</si>
  <si>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</si>
  <si>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</si>
  <si>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</si>
  <si>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</si>
  <si>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</si>
  <si>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</si>
  <si>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</si>
  <si>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</si>
  <si>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</si>
  <si>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</si>
  <si>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</si>
  <si>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</si>
  <si>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</si>
  <si>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</si>
  <si>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</si>
  <si>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</si>
  <si>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</si>
  <si>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</si>
  <si>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</si>
  <si>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</si>
  <si>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</si>
  <si>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</si>
  <si>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</si>
  <si>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</si>
  <si>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</si>
  <si>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</si>
  <si>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</si>
  <si>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</si>
  <si>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</si>
  <si>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</si>
  <si>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</si>
  <si>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</si>
  <si>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</si>
  <si>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</si>
  <si>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</si>
  <si>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</si>
  <si>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</si>
  <si>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</si>
  <si>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</si>
  <si>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</si>
  <si>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</si>
  <si>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</si>
  <si>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</si>
  <si>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</si>
  <si>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</si>
  <si>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</si>
  <si>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</si>
  <si>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</si>
  <si>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</si>
  <si>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</si>
  <si>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</si>
  <si>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</si>
  <si>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</si>
  <si>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</si>
  <si>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</si>
  <si>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</si>
  <si>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</si>
  <si>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</si>
  <si>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</si>
  <si>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</si>
  <si>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</si>
  <si>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</si>
  <si>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</si>
  <si>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</si>
  <si>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</si>
  <si>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</si>
  <si>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</si>
  <si>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</si>
  <si>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</si>
  <si>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</si>
  <si>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</si>
  <si>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</si>
  <si>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</si>
  <si>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</si>
  <si>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</si>
  <si>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</si>
  <si>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</si>
  <si>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</si>
  <si>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</si>
  <si>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</si>
  <si>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</si>
  <si>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</si>
  <si>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</si>
  <si>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</si>
  <si>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</si>
  <si>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</si>
  <si>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</si>
  <si>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</si>
  <si>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</si>
  <si>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</si>
  <si>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</si>
  <si>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</si>
  <si>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</si>
  <si>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</si>
  <si>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</si>
  <si>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</si>
  <si>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</si>
  <si>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</si>
  <si>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</si>
  <si>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</si>
  <si>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</si>
  <si>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</si>
  <si>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</si>
  <si>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</si>
  <si>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</si>
  <si>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</si>
  <si>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</si>
  <si>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</si>
  <si>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</si>
  <si>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</si>
  <si>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</si>
  <si>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</si>
  <si>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</si>
  <si>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</si>
  <si>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</si>
  <si>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</si>
  <si>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</si>
  <si>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</si>
  <si>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</si>
  <si>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</si>
  <si>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</si>
  <si>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</si>
  <si>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</si>
  <si>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</si>
  <si>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</si>
  <si>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</si>
  <si>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</si>
  <si>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</si>
  <si>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</si>
  <si>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</si>
  <si>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</si>
  <si>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</si>
  <si>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</si>
  <si>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</si>
  <si>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</si>
  <si>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</si>
  <si>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</si>
  <si>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</si>
  <si>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</si>
  <si>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</si>
  <si>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</si>
  <si>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</si>
  <si>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</si>
  <si>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</si>
  <si>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</si>
  <si>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</si>
  <si>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</si>
  <si>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</si>
  <si>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</si>
  <si>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</si>
  <si>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</si>
  <si>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</si>
  <si>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</si>
  <si>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</si>
  <si>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</si>
  <si>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</si>
  <si>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</si>
  <si>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</si>
  <si>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</si>
  <si>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</si>
  <si>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</si>
  <si>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</si>
  <si>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</si>
  <si>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</si>
  <si>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</si>
  <si>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</si>
  <si>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</si>
  <si>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</si>
  <si>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</si>
  <si>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</si>
  <si>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</si>
  <si>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</si>
  <si>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</si>
  <si>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</si>
  <si>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</si>
  <si>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</si>
  <si>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</si>
  <si>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</si>
  <si>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</si>
  <si>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</si>
  <si>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</si>
  <si>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</si>
  <si>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</si>
  <si>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</si>
  <si>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</si>
  <si>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</si>
  <si>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</si>
  <si>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</si>
  <si>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</si>
  <si>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</si>
  <si>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</si>
  <si>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</si>
  <si>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</si>
  <si>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</si>
  <si>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</si>
  <si>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</si>
  <si>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</si>
  <si>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</si>
  <si>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</si>
  <si>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</si>
  <si>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</si>
  <si>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</si>
  <si>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</si>
  <si>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</si>
  <si>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</si>
  <si>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</si>
  <si>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</si>
  <si>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</si>
  <si>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</si>
  <si>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</si>
  <si>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</si>
  <si>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</si>
  <si>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</si>
  <si>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</si>
  <si>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</si>
  <si>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</si>
  <si>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</si>
  <si>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</si>
  <si>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</si>
  <si>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</si>
  <si>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</si>
  <si>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</si>
  <si>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</si>
  <si>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</si>
  <si>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</si>
  <si>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</si>
  <si>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</si>
  <si>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</si>
  <si>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</si>
  <si>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</si>
  <si>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</si>
  <si>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</si>
  <si>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</si>
  <si>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</si>
  <si>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</si>
  <si>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</si>
  <si>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</si>
  <si>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</si>
  <si>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</si>
  <si>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</si>
  <si>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</si>
  <si>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</si>
  <si>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</si>
  <si>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</si>
  <si>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</si>
  <si>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</si>
  <si>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</si>
  <si>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</si>
  <si>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</si>
  <si>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</si>
  <si>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</si>
  <si>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</si>
  <si>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</si>
  <si>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</si>
  <si>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</si>
  <si>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</si>
  <si>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</si>
  <si>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</si>
  <si>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</si>
  <si>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</si>
  <si>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</si>
  <si>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</si>
  <si>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</si>
  <si>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</si>
  <si>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</si>
  <si>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</si>
  <si>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</si>
  <si>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</si>
  <si>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</si>
  <si>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</si>
  <si>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</si>
  <si>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</si>
  <si>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</si>
  <si>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</si>
  <si>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</si>
  <si>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</si>
  <si>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</si>
  <si>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</si>
  <si>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</si>
  <si>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</si>
  <si>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</si>
  <si>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</si>
  <si>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</si>
  <si>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</si>
  <si>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</si>
  <si>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</si>
  <si>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</si>
  <si>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</si>
  <si>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</si>
  <si>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</si>
  <si>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</si>
  <si>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</si>
  <si>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</si>
  <si>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</si>
  <si>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</si>
  <si>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</si>
  <si>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</si>
  <si>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</si>
  <si>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</si>
  <si>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</si>
  <si>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</si>
  <si>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</si>
  <si>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</si>
  <si>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</si>
  <si>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</si>
  <si>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</si>
  <si>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</si>
  <si>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</si>
  <si>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</si>
  <si>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</si>
  <si>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</si>
  <si>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</si>
  <si>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</si>
  <si>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</si>
  <si>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</si>
  <si>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</si>
  <si>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</si>
  <si>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</si>
  <si>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</si>
  <si>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</si>
  <si>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</si>
  <si>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</si>
  <si>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</si>
  <si>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</si>
  <si>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</si>
  <si>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</si>
  <si>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</si>
  <si>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</si>
  <si>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</si>
  <si>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</si>
  <si>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</si>
  <si>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</si>
  <si>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</si>
  <si>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</si>
  <si>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</si>
  <si>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</si>
  <si>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</si>
  <si>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</si>
  <si>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</si>
  <si>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</si>
  <si>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</si>
  <si>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</si>
  <si>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</si>
  <si>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</si>
  <si>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</si>
  <si>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</si>
  <si>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</si>
  <si>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</si>
  <si>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</si>
  <si>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</si>
  <si>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</si>
  <si>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</si>
  <si>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</si>
  <si>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</si>
  <si>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</si>
  <si>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</si>
  <si>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</si>
  <si>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</si>
  <si>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</si>
  <si>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</si>
  <si>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</si>
  <si>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</si>
  <si>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</si>
  <si>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</si>
  <si>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</si>
  <si>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</si>
  <si>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</si>
  <si>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</si>
  <si>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</si>
  <si>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</si>
  <si>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</si>
  <si>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</si>
  <si>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</si>
  <si>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</si>
  <si>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</si>
  <si>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</si>
  <si>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</si>
  <si>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</si>
  <si>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</si>
  <si>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</si>
  <si>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</si>
  <si>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</si>
  <si>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</si>
  <si>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</si>
  <si>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</si>
  <si>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</si>
  <si>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</si>
  <si>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</si>
  <si>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</si>
  <si>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</si>
  <si>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</si>
  <si>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</si>
  <si>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</si>
  <si>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</si>
  <si>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</si>
  <si>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</si>
  <si>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</si>
  <si>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</si>
  <si>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</si>
  <si>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</si>
  <si>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</si>
  <si>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</si>
  <si>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</si>
  <si>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</si>
  <si>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</si>
  <si>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</si>
  <si>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</si>
  <si>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</si>
  <si>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</si>
  <si>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</si>
  <si>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</si>
  <si>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</si>
  <si>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</si>
  <si>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</si>
  <si>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</si>
  <si>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</si>
  <si>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</si>
  <si>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</si>
  <si>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</si>
  <si>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</si>
  <si>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</si>
  <si>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</si>
  <si>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</si>
  <si>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</si>
  <si>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</si>
  <si>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</si>
  <si>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</si>
  <si>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</si>
  <si>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</si>
  <si>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</si>
  <si>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</si>
  <si>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</si>
  <si>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</si>
  <si>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</si>
  <si>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</si>
  <si>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</si>
  <si>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</si>
  <si>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</si>
  <si>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</si>
  <si>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</si>
  <si>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</si>
  <si>
    <t>QUESOS-JAMON-CHORIZO</t>
  </si>
  <si>
    <t>Lomos-Jamones-Quesos-Pollo-Salsas-Longaniza-Pastor-arabe- verduras</t>
  </si>
  <si>
    <t>Jamon-Quesos-Pollo-Salchicha-Aros cebolla-Salchicha-Bimbo</t>
  </si>
  <si>
    <t>Jamon-queso pco-quesos-pollo-salsas</t>
  </si>
  <si>
    <t>PASTOR-QUESOS-POLLO-POSTRES</t>
  </si>
  <si>
    <t xml:space="preserve">POLLO-QUESO   </t>
  </si>
  <si>
    <t>PASTOR-JAMON-QUESOS-POLLO-CREMA-MANTEQUILLA</t>
  </si>
  <si>
    <t>NOMINA # 32</t>
  </si>
  <si>
    <t>Nomina # 32</t>
  </si>
  <si>
    <t>QUESOS-CHORIZO</t>
  </si>
  <si>
    <t>ARABE-QUESOS-SANCHICHA-POLLO-DEDOS QSO-CHISTORRA-POSTRES</t>
  </si>
  <si>
    <t>BIMBO-QUESOS-POLLO-SALSAS-LONGANIZA</t>
  </si>
  <si>
    <t>TOSTADAS-QUESOS-POLLO</t>
  </si>
  <si>
    <t>MOLE-POLLO-PASTOR-SALCHICHA</t>
  </si>
  <si>
    <t>POLLO-CREMA-QUESOS-MAIZ</t>
  </si>
  <si>
    <t>FLETE-POLLO-JAMON-CHORIZO-MAIZ-QUESOS-SLCHICHA</t>
  </si>
  <si>
    <t>Nomian # 33</t>
  </si>
  <si>
    <t>Nomina # 33</t>
  </si>
  <si>
    <t>Aceite-CHORIZO-QUESOS-CHISTORRA-JAMON-TOCINO-</t>
  </si>
  <si>
    <t>SALCHICHA-JAMON-POLLO-QUESOS-POSTRES-CHISTORRA-RIBYE</t>
  </si>
  <si>
    <t>JAMON-POLLO-QUESOS-SALCHICHA</t>
  </si>
  <si>
    <t>DESCANSOS TRABAJADOS</t>
  </si>
  <si>
    <t>ARABE-VERDURA-POLLO-QUESOS-SALCHICHA</t>
  </si>
  <si>
    <t>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</si>
</sst>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3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9" fontId="0" fillId="0" borderId="71" xfId="0" applyNumberFormat="1" applyFont="1" applyBorder="1"/>
    <xf numFmtId="49" fontId="0" fillId="0" borderId="69" xfId="0" applyNumberFormat="1" applyFont="1" applyBorder="1"/>
    <xf numFmtId="49" fontId="0" fillId="11" borderId="71" xfId="0" applyNumberFormat="1" applyFont="1" applyFill="1" applyBorder="1"/>
    <xf numFmtId="49" fontId="0" fillId="11" borderId="69" xfId="0" applyNumberFormat="1" applyFont="1" applyFill="1" applyBorder="1"/>
    <xf numFmtId="44" fontId="0" fillId="11" borderId="69" xfId="1" applyFont="1" applyFill="1" applyBorder="1"/>
    <xf numFmtId="44" fontId="2" fillId="7" borderId="27" xfId="1" applyFont="1" applyFill="1" applyBorder="1" applyAlignment="1">
      <alignment horizontal="center"/>
    </xf>
    <xf numFmtId="16" fontId="23" fillId="0" borderId="83" xfId="0" applyNumberFormat="1" applyFont="1" applyFill="1" applyBorder="1" applyAlignment="1">
      <alignment horizontal="left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66"/>
      <color rgb="FF990099"/>
      <color rgb="FF800080"/>
      <color rgb="FFCCFF99"/>
      <color rgb="FFFFCCFF"/>
      <color rgb="FF0000FF"/>
      <color rgb="FFCC99FF"/>
      <color rgb="FF66FF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4"/>
      <c r="C1" s="576" t="s">
        <v>26</v>
      </c>
      <c r="D1" s="577"/>
      <c r="E1" s="577"/>
      <c r="F1" s="577"/>
      <c r="G1" s="577"/>
      <c r="H1" s="577"/>
      <c r="I1" s="577"/>
      <c r="J1" s="577"/>
      <c r="K1" s="577"/>
      <c r="L1" s="577"/>
      <c r="M1" s="577"/>
    </row>
    <row r="2" spans="1:18" ht="16.5" thickBot="1" x14ac:dyDescent="0.3">
      <c r="B2" s="57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8" t="s">
        <v>0</v>
      </c>
      <c r="C3" s="579"/>
      <c r="D3" s="14"/>
      <c r="E3" s="15"/>
      <c r="F3" s="16"/>
      <c r="H3" s="580" t="s">
        <v>1</v>
      </c>
      <c r="I3" s="580"/>
      <c r="K3" s="18"/>
      <c r="L3" s="19"/>
      <c r="M3" s="20"/>
      <c r="P3" s="572" t="s">
        <v>2</v>
      </c>
      <c r="R3" s="545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47" t="s">
        <v>5</v>
      </c>
      <c r="F4" s="548"/>
      <c r="H4" s="549" t="s">
        <v>6</v>
      </c>
      <c r="I4" s="550"/>
      <c r="J4" s="25"/>
      <c r="K4" s="26"/>
      <c r="L4" s="27"/>
      <c r="M4" s="28" t="s">
        <v>7</v>
      </c>
      <c r="N4" s="29" t="s">
        <v>8</v>
      </c>
      <c r="P4" s="573"/>
      <c r="Q4" s="30" t="s">
        <v>9</v>
      </c>
      <c r="R4" s="546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56">
        <f>SUM(M5:M40)</f>
        <v>1399609.5</v>
      </c>
      <c r="N49" s="556">
        <f>SUM(N5:N40)</f>
        <v>910600</v>
      </c>
      <c r="P49" s="111">
        <f>SUM(P5:P40)</f>
        <v>3236981.46</v>
      </c>
      <c r="Q49" s="568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57"/>
      <c r="N50" s="557"/>
      <c r="P50" s="44"/>
      <c r="Q50" s="569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70">
        <f>M49+N49</f>
        <v>2310209.5</v>
      </c>
      <c r="N53" s="571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4" t="s">
        <v>15</v>
      </c>
      <c r="I77" s="565"/>
      <c r="J77" s="154"/>
      <c r="K77" s="566">
        <f>I75+L75</f>
        <v>1552957.04</v>
      </c>
      <c r="L77" s="567"/>
      <c r="M77" s="155"/>
      <c r="N77" s="155"/>
      <c r="P77" s="44"/>
      <c r="Q77" s="19"/>
    </row>
    <row r="78" spans="1:17" x14ac:dyDescent="0.25">
      <c r="D78" s="558" t="s">
        <v>16</v>
      </c>
      <c r="E78" s="558"/>
      <c r="F78" s="156">
        <f>F75-K77-C75</f>
        <v>-123007.98000000021</v>
      </c>
      <c r="I78" s="157"/>
      <c r="J78" s="158"/>
    </row>
    <row r="79" spans="1:17" ht="18.75" x14ac:dyDescent="0.3">
      <c r="D79" s="559" t="s">
        <v>17</v>
      </c>
      <c r="E79" s="559"/>
      <c r="F79" s="101">
        <v>-1513561.68</v>
      </c>
      <c r="I79" s="560" t="s">
        <v>18</v>
      </c>
      <c r="J79" s="561"/>
      <c r="K79" s="562">
        <f>F81+F82+F83</f>
        <v>1950142.8099999996</v>
      </c>
      <c r="L79" s="562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63">
        <f>-C4</f>
        <v>-3445405.07</v>
      </c>
      <c r="L81" s="562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51" t="s">
        <v>24</v>
      </c>
      <c r="E83" s="552"/>
      <c r="F83" s="173">
        <v>3504178.07</v>
      </c>
      <c r="I83" s="553" t="s">
        <v>220</v>
      </c>
      <c r="J83" s="554"/>
      <c r="K83" s="555">
        <f>K79+K81</f>
        <v>-1495262.2600000002</v>
      </c>
      <c r="L83" s="555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84" t="s">
        <v>35</v>
      </c>
      <c r="J37" s="585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86"/>
      <c r="J38" s="587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8"/>
      <c r="J39" s="589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90" t="s">
        <v>35</v>
      </c>
      <c r="J67" s="591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4" t="s">
        <v>36</v>
      </c>
      <c r="I68" s="599"/>
      <c r="J68" s="60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17" workbookViewId="0">
      <selection activeCell="M32" sqref="M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74"/>
      <c r="C1" s="576" t="s">
        <v>642</v>
      </c>
      <c r="D1" s="577"/>
      <c r="E1" s="577"/>
      <c r="F1" s="577"/>
      <c r="G1" s="577"/>
      <c r="H1" s="577"/>
      <c r="I1" s="577"/>
      <c r="J1" s="577"/>
      <c r="K1" s="577"/>
      <c r="L1" s="577"/>
      <c r="M1" s="577"/>
    </row>
    <row r="2" spans="1:21" ht="16.5" thickBot="1" x14ac:dyDescent="0.3">
      <c r="B2" s="575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78" t="s">
        <v>0</v>
      </c>
      <c r="C3" s="579"/>
      <c r="D3" s="14"/>
      <c r="E3" s="15"/>
      <c r="F3" s="16"/>
      <c r="H3" s="580" t="s">
        <v>1</v>
      </c>
      <c r="I3" s="580"/>
      <c r="K3" s="18"/>
      <c r="L3" s="19"/>
      <c r="M3" s="20"/>
      <c r="P3" s="572" t="s">
        <v>2</v>
      </c>
      <c r="Q3" s="467" t="s">
        <v>509</v>
      </c>
      <c r="R3" s="601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47" t="s">
        <v>5</v>
      </c>
      <c r="F4" s="548"/>
      <c r="H4" s="549" t="s">
        <v>6</v>
      </c>
      <c r="I4" s="550"/>
      <c r="J4" s="25"/>
      <c r="K4" s="26"/>
      <c r="L4" s="27"/>
      <c r="M4" s="28" t="s">
        <v>7</v>
      </c>
      <c r="N4" s="29" t="s">
        <v>8</v>
      </c>
      <c r="P4" s="573"/>
      <c r="Q4" s="30" t="s">
        <v>9</v>
      </c>
      <c r="R4" s="602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56">
        <f>SUM(M5:M40)</f>
        <v>1601794.8800000001</v>
      </c>
      <c r="N49" s="556">
        <f>SUM(N5:N40)</f>
        <v>1523056</v>
      </c>
      <c r="P49" s="111">
        <f>SUM(P5:P40)</f>
        <v>3794729.3800000004</v>
      </c>
      <c r="Q49" s="568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57"/>
      <c r="N50" s="557"/>
      <c r="P50" s="44"/>
      <c r="Q50" s="569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70">
        <f>M49+N49</f>
        <v>3124850.88</v>
      </c>
      <c r="N53" s="571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4" t="s">
        <v>15</v>
      </c>
      <c r="I69" s="565"/>
      <c r="J69" s="154"/>
      <c r="K69" s="566">
        <f>I67+L67</f>
        <v>513056.63999999996</v>
      </c>
      <c r="L69" s="567"/>
      <c r="M69" s="155"/>
      <c r="N69" s="155"/>
      <c r="P69" s="44"/>
      <c r="Q69" s="19"/>
    </row>
    <row r="70" spans="1:17" x14ac:dyDescent="0.25">
      <c r="D70" s="558" t="s">
        <v>16</v>
      </c>
      <c r="E70" s="558"/>
      <c r="F70" s="156">
        <f>F67-K69-C67</f>
        <v>1446986.8899999997</v>
      </c>
      <c r="I70" s="157"/>
      <c r="J70" s="158"/>
    </row>
    <row r="71" spans="1:17" ht="18.75" x14ac:dyDescent="0.3">
      <c r="D71" s="559" t="s">
        <v>17</v>
      </c>
      <c r="E71" s="559"/>
      <c r="F71" s="101">
        <f>-'   COMPRAS     JUNIO     2023  '!G67</f>
        <v>-1585182.9300000004</v>
      </c>
      <c r="I71" s="560" t="s">
        <v>18</v>
      </c>
      <c r="J71" s="561"/>
      <c r="K71" s="562">
        <f>F73+F74+F75</f>
        <v>3054589.7999999993</v>
      </c>
      <c r="L71" s="562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563">
        <f>-C4</f>
        <v>-3897967.53</v>
      </c>
      <c r="L73" s="562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51" t="s">
        <v>24</v>
      </c>
      <c r="E75" s="552"/>
      <c r="F75" s="173">
        <v>3131387.04</v>
      </c>
      <c r="I75" s="553" t="s">
        <v>764</v>
      </c>
      <c r="J75" s="554"/>
      <c r="K75" s="555">
        <f>K71+K73</f>
        <v>-843377.73000000045</v>
      </c>
      <c r="L75" s="555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0"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84" t="s">
        <v>35</v>
      </c>
      <c r="J37" s="585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86"/>
      <c r="J38" s="587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8"/>
      <c r="J39" s="589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90" t="s">
        <v>35</v>
      </c>
      <c r="J67" s="591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4" t="s">
        <v>36</v>
      </c>
      <c r="I68" s="599"/>
      <c r="J68" s="60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31" workbookViewId="0">
      <selection activeCell="D54" sqref="D5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74"/>
      <c r="C1" s="576" t="s">
        <v>765</v>
      </c>
      <c r="D1" s="577"/>
      <c r="E1" s="577"/>
      <c r="F1" s="577"/>
      <c r="G1" s="577"/>
      <c r="H1" s="577"/>
      <c r="I1" s="577"/>
      <c r="J1" s="577"/>
      <c r="K1" s="577"/>
      <c r="L1" s="577"/>
      <c r="M1" s="577"/>
    </row>
    <row r="2" spans="1:22" ht="16.5" thickBot="1" x14ac:dyDescent="0.3">
      <c r="B2" s="575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78" t="s">
        <v>0</v>
      </c>
      <c r="C3" s="579"/>
      <c r="D3" s="14"/>
      <c r="E3" s="15"/>
      <c r="F3" s="16"/>
      <c r="H3" s="580" t="s">
        <v>1</v>
      </c>
      <c r="I3" s="580"/>
      <c r="K3" s="18"/>
      <c r="L3" s="19"/>
      <c r="M3" s="20"/>
      <c r="P3" s="572" t="s">
        <v>2</v>
      </c>
      <c r="Q3" s="533"/>
      <c r="R3" s="601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547" t="s">
        <v>5</v>
      </c>
      <c r="F4" s="548"/>
      <c r="H4" s="549" t="s">
        <v>6</v>
      </c>
      <c r="I4" s="550"/>
      <c r="J4" s="25"/>
      <c r="K4" s="26"/>
      <c r="L4" s="27"/>
      <c r="M4" s="28" t="s">
        <v>7</v>
      </c>
      <c r="N4" s="29" t="s">
        <v>8</v>
      </c>
      <c r="P4" s="573"/>
      <c r="Q4" s="30" t="s">
        <v>9</v>
      </c>
      <c r="R4" s="602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342" t="s">
        <v>784</v>
      </c>
      <c r="L16" s="13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6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45114</v>
      </c>
      <c r="C39" s="93">
        <v>70000</v>
      </c>
      <c r="D39" s="94" t="s">
        <v>808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45121</v>
      </c>
      <c r="C40" s="93">
        <v>2784</v>
      </c>
      <c r="D40" s="94" t="s">
        <v>810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45124</v>
      </c>
      <c r="C41" s="93">
        <v>100000</v>
      </c>
      <c r="D41" s="102" t="s">
        <v>232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45128</v>
      </c>
      <c r="C42" s="93">
        <v>100000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45132</v>
      </c>
      <c r="C43" s="93">
        <v>119630.7</v>
      </c>
      <c r="D43" s="102" t="s">
        <v>811</v>
      </c>
      <c r="E43" s="35"/>
      <c r="F43" s="97"/>
      <c r="G43" s="37"/>
      <c r="H43" s="38"/>
      <c r="I43" s="103"/>
      <c r="J43" s="338">
        <v>45113</v>
      </c>
      <c r="K43" s="343" t="s">
        <v>806</v>
      </c>
      <c r="L43" s="49">
        <v>4908.49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45135</v>
      </c>
      <c r="C44" s="93">
        <v>100000</v>
      </c>
      <c r="D44" s="102" t="s">
        <v>808</v>
      </c>
      <c r="E44" s="35"/>
      <c r="F44" s="97"/>
      <c r="G44" s="37"/>
      <c r="H44" s="38"/>
      <c r="I44" s="103"/>
      <c r="J44" s="338">
        <v>45113</v>
      </c>
      <c r="K44" s="471" t="s">
        <v>807</v>
      </c>
      <c r="L44" s="49">
        <v>850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>
        <v>45120</v>
      </c>
      <c r="K45" s="343" t="s">
        <v>809</v>
      </c>
      <c r="L45" s="49">
        <v>3420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>
        <v>45135</v>
      </c>
      <c r="K46" s="349" t="s">
        <v>812</v>
      </c>
      <c r="L46" s="49">
        <v>1298.04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45128</v>
      </c>
      <c r="C49" s="93">
        <v>5280</v>
      </c>
      <c r="D49" s="102" t="s">
        <v>890</v>
      </c>
      <c r="E49" s="104"/>
      <c r="F49" s="110"/>
      <c r="G49" s="37"/>
      <c r="H49" s="106"/>
      <c r="I49" s="103"/>
      <c r="J49" s="338"/>
      <c r="K49" s="343"/>
      <c r="L49" s="49"/>
      <c r="M49" s="556">
        <f>SUM(M5:M40)</f>
        <v>2422108.7600000002</v>
      </c>
      <c r="N49" s="556">
        <f>SUM(N5:N40)</f>
        <v>1603736</v>
      </c>
      <c r="P49" s="111">
        <f>SUM(P5:P40)</f>
        <v>4927758.76</v>
      </c>
      <c r="Q49" s="568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45128</v>
      </c>
      <c r="C50" s="93">
        <v>13441</v>
      </c>
      <c r="D50" s="102" t="s">
        <v>891</v>
      </c>
      <c r="E50" s="104"/>
      <c r="F50" s="110"/>
      <c r="G50" s="37"/>
      <c r="H50" s="106"/>
      <c r="I50" s="103"/>
      <c r="J50" s="87"/>
      <c r="K50" s="343"/>
      <c r="L50" s="89"/>
      <c r="M50" s="557"/>
      <c r="N50" s="557"/>
      <c r="P50" s="44"/>
      <c r="Q50" s="569"/>
      <c r="R50" s="112">
        <f>SUM(R5:R49)</f>
        <v>440369</v>
      </c>
    </row>
    <row r="51" spans="1:18" ht="18" thickBot="1" x14ac:dyDescent="0.35">
      <c r="A51" s="31"/>
      <c r="B51" s="32">
        <v>45128</v>
      </c>
      <c r="C51" s="93">
        <v>9580</v>
      </c>
      <c r="D51" s="102" t="s">
        <v>892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45128</v>
      </c>
      <c r="C52" s="93">
        <v>5321</v>
      </c>
      <c r="D52" s="102" t="s">
        <v>893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70">
        <f>M49+N49</f>
        <v>4025844.7600000002</v>
      </c>
      <c r="N53" s="571"/>
      <c r="P53" s="44"/>
      <c r="Q53" s="19"/>
    </row>
    <row r="54" spans="1:18" ht="18" thickBot="1" x14ac:dyDescent="0.35">
      <c r="A54" s="31"/>
      <c r="B54" s="32"/>
      <c r="C54" s="93"/>
      <c r="D54" s="114" t="s">
        <v>11</v>
      </c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998598.7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533930.23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4" t="s">
        <v>15</v>
      </c>
      <c r="I69" s="565"/>
      <c r="J69" s="154"/>
      <c r="K69" s="566">
        <f>I67+L67</f>
        <v>594414.23</v>
      </c>
      <c r="L69" s="567"/>
      <c r="M69" s="155"/>
      <c r="N69" s="155"/>
      <c r="P69" s="44"/>
      <c r="Q69" s="19"/>
    </row>
    <row r="70" spans="1:17" x14ac:dyDescent="0.25">
      <c r="D70" s="558" t="s">
        <v>16</v>
      </c>
      <c r="E70" s="558"/>
      <c r="F70" s="156">
        <f>F67-K69-C67</f>
        <v>2892974.0700000003</v>
      </c>
      <c r="I70" s="157"/>
      <c r="J70" s="158"/>
    </row>
    <row r="71" spans="1:17" ht="18.75" x14ac:dyDescent="0.3">
      <c r="D71" s="559" t="s">
        <v>17</v>
      </c>
      <c r="E71" s="559"/>
      <c r="F71" s="101">
        <v>-931631.77</v>
      </c>
      <c r="I71" s="560" t="s">
        <v>18</v>
      </c>
      <c r="J71" s="561"/>
      <c r="K71" s="562">
        <f>F73+F74+F75</f>
        <v>4814667.01</v>
      </c>
      <c r="L71" s="562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1838798.7000000002</v>
      </c>
      <c r="H73" s="168"/>
      <c r="I73" s="169" t="s">
        <v>21</v>
      </c>
      <c r="J73" s="170"/>
      <c r="K73" s="563">
        <f>-C4</f>
        <v>-3131387.04</v>
      </c>
      <c r="L73" s="562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551" t="s">
        <v>24</v>
      </c>
      <c r="E75" s="552"/>
      <c r="F75" s="173">
        <v>2820551.31</v>
      </c>
      <c r="I75" s="553" t="s">
        <v>764</v>
      </c>
      <c r="J75" s="554"/>
      <c r="K75" s="555">
        <f>K71+K73</f>
        <v>1683279.9699999997</v>
      </c>
      <c r="L75" s="555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22" workbookViewId="0">
      <selection activeCell="I48" sqref="I46:I48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218"/>
      <c r="M12" s="237"/>
      <c r="N12" s="227">
        <f t="shared" si="1"/>
        <v>45589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218"/>
      <c r="M13" s="237"/>
      <c r="N13" s="227">
        <f t="shared" si="1"/>
        <v>48589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218"/>
      <c r="M14" s="237"/>
      <c r="N14" s="227">
        <f t="shared" si="1"/>
        <v>49309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218"/>
      <c r="M15" s="237"/>
      <c r="N15" s="227">
        <f t="shared" si="1"/>
        <v>51779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218"/>
      <c r="M16" s="237"/>
      <c r="N16" s="227">
        <f t="shared" si="1"/>
        <v>52139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218"/>
      <c r="M17" s="237"/>
      <c r="N17" s="227">
        <f t="shared" si="1"/>
        <v>52739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218"/>
      <c r="M18" s="237"/>
      <c r="N18" s="227">
        <f t="shared" si="1"/>
        <v>64999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/>
      <c r="G19" s="225">
        <f t="shared" si="0"/>
        <v>0</v>
      </c>
      <c r="I19" s="235" t="s">
        <v>848</v>
      </c>
      <c r="J19" s="236">
        <v>12915</v>
      </c>
      <c r="K19" s="237">
        <v>600</v>
      </c>
      <c r="L19" s="218"/>
      <c r="M19" s="237"/>
      <c r="N19" s="227">
        <f t="shared" si="1"/>
        <v>65599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218"/>
      <c r="M20" s="237"/>
      <c r="N20" s="227">
        <f t="shared" si="1"/>
        <v>66319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218"/>
      <c r="M21" s="237"/>
      <c r="N21" s="227">
        <f t="shared" si="1"/>
        <v>72439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218"/>
      <c r="M22" s="237"/>
      <c r="N22" s="227">
        <f t="shared" si="1"/>
        <v>72919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218"/>
      <c r="M23" s="237"/>
      <c r="N23" s="227">
        <f t="shared" si="1"/>
        <v>77599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218"/>
      <c r="M24" s="237"/>
      <c r="N24" s="227">
        <f t="shared" si="1"/>
        <v>95042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218"/>
      <c r="M25" s="237"/>
      <c r="N25" s="227">
        <f t="shared" si="1"/>
        <v>95882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218"/>
      <c r="M26" s="237"/>
      <c r="N26" s="227">
        <f t="shared" si="1"/>
        <v>99662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218"/>
      <c r="M27" s="237"/>
      <c r="N27" s="227">
        <f t="shared" si="1"/>
        <v>109494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218"/>
      <c r="M28" s="237"/>
      <c r="N28" s="227">
        <f t="shared" si="1"/>
        <v>120743.6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218"/>
      <c r="M29" s="237"/>
      <c r="N29" s="227">
        <f t="shared" si="1"/>
        <v>121343.6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224"/>
      <c r="M30" s="101"/>
      <c r="N30" s="227">
        <f t="shared" si="1"/>
        <v>121943.6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224"/>
      <c r="M31" s="101"/>
      <c r="N31" s="227">
        <f t="shared" si="1"/>
        <v>122543.6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122543.6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122543.6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122543.6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122543.6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122543.6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584" t="s">
        <v>35</v>
      </c>
      <c r="J37" s="585"/>
      <c r="K37" s="491"/>
      <c r="L37" s="491"/>
      <c r="M37" s="101"/>
      <c r="N37" s="227">
        <f t="shared" si="1"/>
        <v>122543.6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586"/>
      <c r="J38" s="587"/>
      <c r="K38" s="490"/>
      <c r="L38" s="218"/>
      <c r="M38" s="101"/>
      <c r="N38" s="227">
        <f t="shared" si="1"/>
        <v>122543.6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588"/>
      <c r="J39" s="589"/>
      <c r="K39" s="84"/>
      <c r="L39" s="238"/>
      <c r="M39" s="84"/>
      <c r="N39" s="227">
        <f t="shared" si="1"/>
        <v>122543.6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122543.6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122543.6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122543.6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122543.6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122543.6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122543.6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122543.6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122543.6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122543.6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122543.6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122543.6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122543.6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122543.6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122543.6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122543.6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122543.6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122543.6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122543.6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122543.6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122543.6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122543.6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122543.6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122543.6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122543.6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122543.6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122543.6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>
        <f>SUM(G3:G66)</f>
        <v>917631.77</v>
      </c>
      <c r="I67" s="590" t="s">
        <v>35</v>
      </c>
      <c r="J67" s="591"/>
      <c r="K67" s="264">
        <f>SUM(K3:K66)</f>
        <v>122543.6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4" t="s">
        <v>36</v>
      </c>
      <c r="I68" s="599"/>
      <c r="J68" s="60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V97"/>
  <sheetViews>
    <sheetView tabSelected="1" topLeftCell="E16" workbookViewId="0">
      <selection activeCell="R31" sqref="R31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74"/>
      <c r="C1" s="576" t="s">
        <v>765</v>
      </c>
      <c r="D1" s="577"/>
      <c r="E1" s="577"/>
      <c r="F1" s="577"/>
      <c r="G1" s="577"/>
      <c r="H1" s="577"/>
      <c r="I1" s="577"/>
      <c r="J1" s="577"/>
      <c r="K1" s="577"/>
      <c r="L1" s="577"/>
      <c r="M1" s="577"/>
    </row>
    <row r="2" spans="1:22" ht="16.5" thickBot="1" x14ac:dyDescent="0.3">
      <c r="B2" s="575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78" t="s">
        <v>0</v>
      </c>
      <c r="C3" s="579"/>
      <c r="D3" s="14"/>
      <c r="E3" s="15"/>
      <c r="F3" s="16"/>
      <c r="H3" s="580" t="s">
        <v>1</v>
      </c>
      <c r="I3" s="580"/>
      <c r="K3" s="18"/>
      <c r="L3" s="19"/>
      <c r="M3" s="20"/>
      <c r="P3" s="572" t="s">
        <v>2</v>
      </c>
      <c r="Q3" s="533"/>
      <c r="R3" s="601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547" t="s">
        <v>5</v>
      </c>
      <c r="F4" s="548"/>
      <c r="H4" s="549" t="s">
        <v>6</v>
      </c>
      <c r="I4" s="550"/>
      <c r="J4" s="25"/>
      <c r="K4" s="26"/>
      <c r="L4" s="27"/>
      <c r="M4" s="28" t="s">
        <v>7</v>
      </c>
      <c r="N4" s="29" t="s">
        <v>8</v>
      </c>
      <c r="P4" s="573"/>
      <c r="Q4" s="30" t="s">
        <v>9</v>
      </c>
      <c r="R4" s="602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33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7:Q39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>
        <v>19252</v>
      </c>
      <c r="D13" s="51" t="s">
        <v>897</v>
      </c>
      <c r="E13" s="35">
        <v>45144</v>
      </c>
      <c r="F13" s="36">
        <v>104305</v>
      </c>
      <c r="G13" s="37"/>
      <c r="H13" s="38">
        <v>45144</v>
      </c>
      <c r="I13" s="39">
        <v>1265.5</v>
      </c>
      <c r="J13" s="40"/>
      <c r="K13" s="343"/>
      <c r="L13" s="49"/>
      <c r="M13" s="42">
        <v>43061.5</v>
      </c>
      <c r="N13" s="43">
        <v>40726</v>
      </c>
      <c r="O13" s="192"/>
      <c r="P13" s="49">
        <f>N13+M13+L13+I13+C13</f>
        <v>104305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>
        <v>39840</v>
      </c>
      <c r="D14" s="50" t="s">
        <v>898</v>
      </c>
      <c r="E14" s="35">
        <v>45145</v>
      </c>
      <c r="F14" s="36">
        <v>207595</v>
      </c>
      <c r="G14" s="37"/>
      <c r="H14" s="38">
        <v>45145</v>
      </c>
      <c r="I14" s="39">
        <v>1816</v>
      </c>
      <c r="J14" s="40"/>
      <c r="K14" s="65"/>
      <c r="L14" s="49"/>
      <c r="M14" s="42">
        <f>87614+1430</f>
        <v>89044</v>
      </c>
      <c r="N14" s="43">
        <v>76895</v>
      </c>
      <c r="O14" s="193"/>
      <c r="P14" s="49">
        <f t="shared" si="0"/>
        <v>207595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>
        <v>19759</v>
      </c>
      <c r="D15" s="50" t="s">
        <v>899</v>
      </c>
      <c r="E15" s="35">
        <v>45146</v>
      </c>
      <c r="F15" s="36">
        <v>173547</v>
      </c>
      <c r="G15" s="37"/>
      <c r="H15" s="38">
        <v>45146</v>
      </c>
      <c r="I15" s="39">
        <v>2143</v>
      </c>
      <c r="J15" s="40"/>
      <c r="K15" s="65"/>
      <c r="L15" s="49"/>
      <c r="M15" s="42">
        <f>79794+12191+3456</f>
        <v>95441</v>
      </c>
      <c r="N15" s="43">
        <v>56204</v>
      </c>
      <c r="P15" s="49">
        <f t="shared" si="0"/>
        <v>173547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>
        <v>17177</v>
      </c>
      <c r="D16" s="50" t="s">
        <v>900</v>
      </c>
      <c r="E16" s="35">
        <v>45147</v>
      </c>
      <c r="F16" s="36">
        <v>121787</v>
      </c>
      <c r="G16" s="37"/>
      <c r="H16" s="38">
        <v>45147</v>
      </c>
      <c r="I16" s="39">
        <v>2919</v>
      </c>
      <c r="J16" s="40"/>
      <c r="K16" s="342"/>
      <c r="L16" s="13"/>
      <c r="M16" s="42">
        <f>46373+2307+5507</f>
        <v>54187</v>
      </c>
      <c r="N16" s="43">
        <v>47504</v>
      </c>
      <c r="P16" s="49">
        <f t="shared" si="0"/>
        <v>121787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>
        <v>5345</v>
      </c>
      <c r="D17" s="47" t="s">
        <v>901</v>
      </c>
      <c r="E17" s="35">
        <v>45148</v>
      </c>
      <c r="F17" s="36">
        <v>234342</v>
      </c>
      <c r="G17" s="37"/>
      <c r="H17" s="38">
        <v>45148</v>
      </c>
      <c r="I17" s="39">
        <v>2555</v>
      </c>
      <c r="J17" s="40"/>
      <c r="K17" s="65"/>
      <c r="L17" s="55"/>
      <c r="M17" s="42">
        <f>120207+12818+2165</f>
        <v>135190</v>
      </c>
      <c r="N17" s="43">
        <v>91252</v>
      </c>
      <c r="O17" s="499"/>
      <c r="P17" s="49">
        <f t="shared" si="0"/>
        <v>234342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>
        <v>7541</v>
      </c>
      <c r="D18" s="51" t="s">
        <v>902</v>
      </c>
      <c r="E18" s="35">
        <v>45149</v>
      </c>
      <c r="F18" s="36">
        <v>150157</v>
      </c>
      <c r="G18" s="37"/>
      <c r="H18" s="38">
        <v>45149</v>
      </c>
      <c r="I18" s="39">
        <v>1889</v>
      </c>
      <c r="J18" s="40"/>
      <c r="K18" s="58"/>
      <c r="L18" s="49"/>
      <c r="M18" s="42">
        <v>88736</v>
      </c>
      <c r="N18" s="43">
        <v>51991</v>
      </c>
      <c r="P18" s="49">
        <f t="shared" si="0"/>
        <v>150157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>
        <v>18046</v>
      </c>
      <c r="D19" s="47" t="s">
        <v>903</v>
      </c>
      <c r="E19" s="35">
        <v>45150</v>
      </c>
      <c r="F19" s="36">
        <v>186919</v>
      </c>
      <c r="G19" s="37"/>
      <c r="H19" s="38">
        <v>45150</v>
      </c>
      <c r="I19" s="39">
        <v>5426</v>
      </c>
      <c r="J19" s="40">
        <v>45150</v>
      </c>
      <c r="K19" s="344" t="s">
        <v>904</v>
      </c>
      <c r="L19" s="59">
        <v>33661.81</v>
      </c>
      <c r="M19" s="42">
        <f>58832+500+4094</f>
        <v>63426</v>
      </c>
      <c r="N19" s="43">
        <v>66272</v>
      </c>
      <c r="O19" s="499"/>
      <c r="P19" s="49">
        <f t="shared" si="0"/>
        <v>186831.81</v>
      </c>
      <c r="Q19" s="404">
        <f t="shared" si="1"/>
        <v>-87.190000000002328</v>
      </c>
      <c r="R19" s="46">
        <v>0</v>
      </c>
      <c r="S19" s="233" t="s">
        <v>97</v>
      </c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>
        <v>6175</v>
      </c>
      <c r="D20" s="47" t="s">
        <v>906</v>
      </c>
      <c r="E20" s="35">
        <v>45151</v>
      </c>
      <c r="F20" s="36">
        <v>123390</v>
      </c>
      <c r="G20" s="37"/>
      <c r="H20" s="38">
        <v>45151</v>
      </c>
      <c r="I20" s="39">
        <v>900</v>
      </c>
      <c r="J20" s="40"/>
      <c r="K20" s="60"/>
      <c r="L20" s="55"/>
      <c r="M20" s="42">
        <f>22396+38828</f>
        <v>61224</v>
      </c>
      <c r="N20" s="43">
        <v>55091</v>
      </c>
      <c r="P20" s="49">
        <f t="shared" si="0"/>
        <v>123390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>
        <v>16668</v>
      </c>
      <c r="D21" s="47" t="s">
        <v>907</v>
      </c>
      <c r="E21" s="35">
        <v>45152</v>
      </c>
      <c r="F21" s="36">
        <v>152910</v>
      </c>
      <c r="G21" s="37"/>
      <c r="H21" s="38">
        <v>45152</v>
      </c>
      <c r="I21" s="39">
        <v>2662</v>
      </c>
      <c r="J21" s="40"/>
      <c r="K21" s="402"/>
      <c r="L21" s="55"/>
      <c r="M21" s="42">
        <f>1266.34+86406</f>
        <v>87672.34</v>
      </c>
      <c r="N21" s="43">
        <v>45908</v>
      </c>
      <c r="P21" s="49">
        <f t="shared" si="0"/>
        <v>152910.34</v>
      </c>
      <c r="Q21" s="45">
        <f t="shared" si="1"/>
        <v>0.33999999999650754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>
        <v>27406</v>
      </c>
      <c r="D22" s="47" t="s">
        <v>908</v>
      </c>
      <c r="E22" s="35">
        <v>45153</v>
      </c>
      <c r="F22" s="36">
        <v>266059</v>
      </c>
      <c r="G22" s="37"/>
      <c r="H22" s="38">
        <v>45153</v>
      </c>
      <c r="I22" s="359">
        <v>2428</v>
      </c>
      <c r="J22" s="40"/>
      <c r="K22" s="506"/>
      <c r="L22" s="62"/>
      <c r="M22" s="42">
        <f>146959.5+21581.5+2398+1919</f>
        <v>172858</v>
      </c>
      <c r="N22" s="43">
        <v>63367</v>
      </c>
      <c r="P22" s="49">
        <f t="shared" si="0"/>
        <v>266059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>
        <v>13732</v>
      </c>
      <c r="D23" s="47" t="s">
        <v>909</v>
      </c>
      <c r="E23" s="35">
        <v>45154</v>
      </c>
      <c r="F23" s="36">
        <v>131733</v>
      </c>
      <c r="G23" s="37"/>
      <c r="H23" s="38">
        <v>45154</v>
      </c>
      <c r="I23" s="39">
        <v>1868.5</v>
      </c>
      <c r="J23" s="64"/>
      <c r="K23" s="65"/>
      <c r="L23" s="55"/>
      <c r="M23" s="42">
        <f>58178.5+1869.48+4400</f>
        <v>64447.98</v>
      </c>
      <c r="N23" s="43">
        <v>51694</v>
      </c>
      <c r="P23" s="49">
        <f t="shared" si="0"/>
        <v>131742.48000000001</v>
      </c>
      <c r="Q23" s="45">
        <f t="shared" si="1"/>
        <v>9.4800000000104774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>
        <v>6259</v>
      </c>
      <c r="D24" s="51" t="s">
        <v>910</v>
      </c>
      <c r="E24" s="35">
        <v>45155</v>
      </c>
      <c r="F24" s="36">
        <v>155989</v>
      </c>
      <c r="G24" s="37"/>
      <c r="H24" s="38">
        <v>45155</v>
      </c>
      <c r="I24" s="39">
        <v>1597</v>
      </c>
      <c r="J24" s="66"/>
      <c r="K24" s="65"/>
      <c r="L24" s="67"/>
      <c r="M24" s="42">
        <f>79382+3699.41</f>
        <v>83081.41</v>
      </c>
      <c r="N24" s="43">
        <v>65052</v>
      </c>
      <c r="P24" s="49">
        <f>N24+M24+L24+I24+C24</f>
        <v>155989.41</v>
      </c>
      <c r="Q24" s="45">
        <f t="shared" si="1"/>
        <v>0.41000000000349246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>
        <v>10785</v>
      </c>
      <c r="D25" s="47" t="s">
        <v>911</v>
      </c>
      <c r="E25" s="35">
        <v>45156</v>
      </c>
      <c r="F25" s="36">
        <v>161486</v>
      </c>
      <c r="G25" s="37"/>
      <c r="H25" s="38">
        <v>45156</v>
      </c>
      <c r="I25" s="39">
        <v>2780.5</v>
      </c>
      <c r="J25" s="64"/>
      <c r="K25" s="65"/>
      <c r="L25" s="68"/>
      <c r="M25" s="42">
        <f>88950+3240</f>
        <v>92190</v>
      </c>
      <c r="N25" s="43">
        <v>55732</v>
      </c>
      <c r="P25" s="69">
        <f t="shared" si="0"/>
        <v>161487.5</v>
      </c>
      <c r="Q25" s="45">
        <f t="shared" si="1"/>
        <v>1.5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45157</v>
      </c>
      <c r="C26" s="33">
        <v>14402.5</v>
      </c>
      <c r="D26" s="47" t="s">
        <v>912</v>
      </c>
      <c r="E26" s="35">
        <v>45157</v>
      </c>
      <c r="F26" s="36">
        <v>177834</v>
      </c>
      <c r="G26" s="37"/>
      <c r="H26" s="38">
        <v>45157</v>
      </c>
      <c r="I26" s="39">
        <v>13081</v>
      </c>
      <c r="J26" s="40">
        <v>45157</v>
      </c>
      <c r="K26" s="537" t="s">
        <v>913</v>
      </c>
      <c r="L26" s="71">
        <v>24773</v>
      </c>
      <c r="M26" s="42">
        <f>55730.5+2590</f>
        <v>58320.5</v>
      </c>
      <c r="N26" s="43">
        <v>67257</v>
      </c>
      <c r="O26" s="2" t="s">
        <v>10</v>
      </c>
      <c r="P26" s="69">
        <f t="shared" si="0"/>
        <v>177834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>
        <v>26314</v>
      </c>
      <c r="D27" s="51" t="s">
        <v>915</v>
      </c>
      <c r="E27" s="35">
        <v>45158</v>
      </c>
      <c r="F27" s="36">
        <v>117266</v>
      </c>
      <c r="G27" s="37"/>
      <c r="H27" s="38">
        <v>45158</v>
      </c>
      <c r="I27" s="39">
        <v>913.5</v>
      </c>
      <c r="J27" s="337"/>
      <c r="K27" s="345"/>
      <c r="L27" s="68"/>
      <c r="M27" s="42">
        <f>11703+23317.5</f>
        <v>35020.5</v>
      </c>
      <c r="N27" s="43">
        <v>55018</v>
      </c>
      <c r="P27" s="69">
        <f t="shared" si="0"/>
        <v>117266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>
        <v>65201</v>
      </c>
      <c r="D28" s="51" t="s">
        <v>916</v>
      </c>
      <c r="E28" s="35">
        <v>45159</v>
      </c>
      <c r="F28" s="36">
        <v>229986</v>
      </c>
      <c r="G28" s="37"/>
      <c r="H28" s="38">
        <v>45159</v>
      </c>
      <c r="I28" s="39">
        <v>3872.5</v>
      </c>
      <c r="J28" s="338"/>
      <c r="K28" s="70"/>
      <c r="L28" s="68"/>
      <c r="M28" s="42">
        <f>18114.5+122997</f>
        <v>141111.5</v>
      </c>
      <c r="N28" s="43">
        <v>34139</v>
      </c>
      <c r="P28" s="69">
        <f t="shared" si="0"/>
        <v>244324</v>
      </c>
      <c r="Q28" s="285">
        <f>P28-F28-144338</f>
        <v>-130000</v>
      </c>
      <c r="R28" s="543">
        <v>144338</v>
      </c>
      <c r="S28" s="233"/>
    </row>
    <row r="29" spans="1:22" ht="18" thickBot="1" x14ac:dyDescent="0.35">
      <c r="A29" s="504" t="s">
        <v>652</v>
      </c>
      <c r="B29" s="32">
        <v>45160</v>
      </c>
      <c r="C29" s="33">
        <v>13817</v>
      </c>
      <c r="D29" s="76" t="s">
        <v>917</v>
      </c>
      <c r="E29" s="35">
        <v>45160</v>
      </c>
      <c r="F29" s="36">
        <v>129901</v>
      </c>
      <c r="G29" s="37"/>
      <c r="H29" s="38">
        <v>45160</v>
      </c>
      <c r="I29" s="39">
        <v>2427</v>
      </c>
      <c r="J29" s="339">
        <v>45160</v>
      </c>
      <c r="K29" s="544" t="s">
        <v>918</v>
      </c>
      <c r="L29" s="68">
        <v>943</v>
      </c>
      <c r="M29" s="42">
        <v>62100</v>
      </c>
      <c r="N29" s="43">
        <v>50617</v>
      </c>
      <c r="P29" s="69">
        <f t="shared" si="0"/>
        <v>129904</v>
      </c>
      <c r="Q29" s="45">
        <f t="shared" si="1"/>
        <v>3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>
        <v>9837</v>
      </c>
      <c r="D30" s="76" t="s">
        <v>919</v>
      </c>
      <c r="E30" s="35">
        <v>45161</v>
      </c>
      <c r="F30" s="36">
        <v>122556</v>
      </c>
      <c r="G30" s="37"/>
      <c r="H30" s="38">
        <v>45161</v>
      </c>
      <c r="I30" s="39">
        <v>3076</v>
      </c>
      <c r="J30" s="338"/>
      <c r="K30" s="65"/>
      <c r="L30" s="49"/>
      <c r="M30" s="42">
        <f>52179+6622+7722</f>
        <v>66523</v>
      </c>
      <c r="N30" s="43">
        <v>43120</v>
      </c>
      <c r="P30" s="69">
        <f t="shared" si="0"/>
        <v>122556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>
        <v>2070</v>
      </c>
      <c r="D31" s="79" t="s">
        <v>920</v>
      </c>
      <c r="E31" s="35">
        <v>45162</v>
      </c>
      <c r="F31" s="36">
        <v>140850</v>
      </c>
      <c r="G31" s="37"/>
      <c r="H31" s="38">
        <v>45162</v>
      </c>
      <c r="I31" s="39">
        <v>1675</v>
      </c>
      <c r="J31" s="338"/>
      <c r="K31" s="347"/>
      <c r="L31" s="68"/>
      <c r="M31" s="42">
        <v>90791</v>
      </c>
      <c r="N31" s="43">
        <v>46314</v>
      </c>
      <c r="P31" s="69">
        <f t="shared" si="0"/>
        <v>140850</v>
      </c>
      <c r="Q31" s="45">
        <f t="shared" si="1"/>
        <v>0</v>
      </c>
      <c r="R31" s="46" t="s">
        <v>10</v>
      </c>
      <c r="S31" s="233"/>
    </row>
    <row r="32" spans="1:22" ht="18" thickBot="1" x14ac:dyDescent="0.35">
      <c r="A32" s="504" t="s">
        <v>655</v>
      </c>
      <c r="B32" s="32">
        <v>45163</v>
      </c>
      <c r="C32" s="33"/>
      <c r="D32" s="305"/>
      <c r="E32" s="35">
        <v>45163</v>
      </c>
      <c r="F32" s="36"/>
      <c r="G32" s="37"/>
      <c r="H32" s="38">
        <v>45163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>
        <v>45164</v>
      </c>
      <c r="C33" s="33"/>
      <c r="D33" s="83"/>
      <c r="E33" s="35">
        <v>45164</v>
      </c>
      <c r="F33" s="36"/>
      <c r="G33" s="37"/>
      <c r="H33" s="38">
        <v>45164</v>
      </c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>
        <v>45165</v>
      </c>
      <c r="C34" s="33"/>
      <c r="D34" s="83"/>
      <c r="E34" s="35">
        <v>45165</v>
      </c>
      <c r="F34" s="36"/>
      <c r="G34" s="37"/>
      <c r="H34" s="38">
        <v>45165</v>
      </c>
      <c r="I34" s="39"/>
      <c r="J34" s="534"/>
      <c r="K34" s="373"/>
      <c r="L34" s="369"/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45166</v>
      </c>
      <c r="C35" s="86"/>
      <c r="D35" s="79"/>
      <c r="E35" s="35">
        <v>45166</v>
      </c>
      <c r="F35" s="36"/>
      <c r="G35" s="37"/>
      <c r="H35" s="38">
        <v>45166</v>
      </c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45167</v>
      </c>
      <c r="C36" s="90"/>
      <c r="D36" s="94"/>
      <c r="E36" s="35">
        <v>45167</v>
      </c>
      <c r="F36" s="36"/>
      <c r="G36" s="92"/>
      <c r="H36" s="38">
        <v>45167</v>
      </c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45168</v>
      </c>
      <c r="C37" s="93"/>
      <c r="D37" s="94"/>
      <c r="E37" s="35">
        <v>45168</v>
      </c>
      <c r="F37" s="36"/>
      <c r="G37" s="92"/>
      <c r="H37" s="38">
        <v>45168</v>
      </c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45169</v>
      </c>
      <c r="C38" s="93"/>
      <c r="D38" s="94"/>
      <c r="E38" s="35">
        <v>45169</v>
      </c>
      <c r="F38" s="36"/>
      <c r="G38" s="92"/>
      <c r="H38" s="38">
        <v>45169</v>
      </c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45170</v>
      </c>
      <c r="C39" s="93"/>
      <c r="D39" s="94"/>
      <c r="E39" s="35">
        <v>45170</v>
      </c>
      <c r="F39" s="97"/>
      <c r="G39" s="92"/>
      <c r="H39" s="38">
        <v>45170</v>
      </c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45171</v>
      </c>
      <c r="C40" s="93"/>
      <c r="D40" s="94"/>
      <c r="E40" s="35">
        <v>45171</v>
      </c>
      <c r="F40" s="97"/>
      <c r="G40" s="37"/>
      <c r="H40" s="38">
        <v>45171</v>
      </c>
      <c r="I40" s="98"/>
      <c r="J40" s="338"/>
      <c r="K40" s="343"/>
      <c r="L40" s="49"/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v>0</v>
      </c>
      <c r="Q41" s="45">
        <f t="shared" ref="Q41:Q47" si="2">P41-F41</f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>
        <v>45150</v>
      </c>
      <c r="K44" s="471" t="s">
        <v>905</v>
      </c>
      <c r="L44" s="49">
        <v>18826.84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>
        <v>45157</v>
      </c>
      <c r="K45" s="343" t="s">
        <v>914</v>
      </c>
      <c r="L45" s="49">
        <v>29180.27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56">
        <f>SUM(M5:M40)</f>
        <v>2257218.23</v>
      </c>
      <c r="N49" s="556">
        <f>SUM(N5:N40)</f>
        <v>1561773</v>
      </c>
      <c r="P49" s="111">
        <f>SUM(P5:P40)</f>
        <v>4465593.54</v>
      </c>
      <c r="Q49" s="568">
        <f>SUM(Q5:Q40)</f>
        <v>-130072.45999999999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57"/>
      <c r="N50" s="557"/>
      <c r="P50" s="44"/>
      <c r="Q50" s="569"/>
      <c r="R50" s="112">
        <f>SUM(R5:R49)</f>
        <v>146522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70">
        <f>M49+N49</f>
        <v>3818991.23</v>
      </c>
      <c r="N53" s="571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457849</v>
      </c>
      <c r="D67" s="520"/>
      <c r="E67" s="521" t="s">
        <v>12</v>
      </c>
      <c r="F67" s="522">
        <f>SUM(F5:F61)</f>
        <v>4449144</v>
      </c>
      <c r="G67" s="523"/>
      <c r="H67" s="521" t="s">
        <v>13</v>
      </c>
      <c r="I67" s="524">
        <f>SUM(I5:I61)</f>
        <v>75650.5</v>
      </c>
      <c r="J67" s="525"/>
      <c r="K67" s="526" t="s">
        <v>14</v>
      </c>
      <c r="L67" s="527">
        <f>SUM(L5:L65)-L26</f>
        <v>184682.52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4" t="s">
        <v>15</v>
      </c>
      <c r="I69" s="565"/>
      <c r="J69" s="154"/>
      <c r="K69" s="566">
        <f>I67+L67</f>
        <v>260333.02</v>
      </c>
      <c r="L69" s="567"/>
      <c r="M69" s="155"/>
      <c r="N69" s="155"/>
      <c r="P69" s="44"/>
      <c r="Q69" s="19"/>
    </row>
    <row r="70" spans="1:17" x14ac:dyDescent="0.25">
      <c r="D70" s="558" t="s">
        <v>16</v>
      </c>
      <c r="E70" s="558"/>
      <c r="F70" s="156">
        <f>F67-K69-C67</f>
        <v>3730961.98</v>
      </c>
      <c r="I70" s="157"/>
      <c r="J70" s="158"/>
    </row>
    <row r="71" spans="1:17" ht="18.75" x14ac:dyDescent="0.3">
      <c r="D71" s="559" t="s">
        <v>17</v>
      </c>
      <c r="E71" s="559"/>
      <c r="F71" s="101">
        <v>0</v>
      </c>
      <c r="I71" s="560" t="s">
        <v>18</v>
      </c>
      <c r="J71" s="561"/>
      <c r="K71" s="562">
        <f>F73+F74+F75</f>
        <v>6877422.6400000006</v>
      </c>
      <c r="L71" s="562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v>0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3730961.98</v>
      </c>
      <c r="H73" s="168"/>
      <c r="I73" s="169" t="s">
        <v>21</v>
      </c>
      <c r="J73" s="170"/>
      <c r="K73" s="563">
        <f>-C4</f>
        <v>-2820551.31</v>
      </c>
      <c r="L73" s="562"/>
      <c r="O73" s="536"/>
    </row>
    <row r="74" spans="1:17" ht="16.5" thickBot="1" x14ac:dyDescent="0.3">
      <c r="D74" s="171" t="s">
        <v>22</v>
      </c>
      <c r="E74" s="152" t="s">
        <v>23</v>
      </c>
      <c r="F74" s="101">
        <v>0</v>
      </c>
    </row>
    <row r="75" spans="1:17" ht="20.25" thickTop="1" thickBot="1" x14ac:dyDescent="0.35">
      <c r="C75" s="172">
        <v>45171</v>
      </c>
      <c r="D75" s="551" t="s">
        <v>24</v>
      </c>
      <c r="E75" s="552"/>
      <c r="F75" s="173">
        <v>3146460.66</v>
      </c>
      <c r="I75" s="553" t="s">
        <v>764</v>
      </c>
      <c r="J75" s="554"/>
      <c r="K75" s="555">
        <f>K71+K73</f>
        <v>4056871.3300000005</v>
      </c>
      <c r="L75" s="555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3"/>
  <sheetViews>
    <sheetView topLeftCell="A12" workbookViewId="0">
      <selection activeCell="E34" sqref="E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516"/>
      <c r="J6" s="236"/>
      <c r="K6" s="237"/>
      <c r="L6" s="218"/>
      <c r="M6" s="237"/>
      <c r="N6" s="227">
        <f t="shared" si="1"/>
        <v>0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516"/>
      <c r="J7" s="236"/>
      <c r="K7" s="237"/>
      <c r="L7" s="218"/>
      <c r="M7" s="237"/>
      <c r="N7" s="227">
        <f t="shared" si="1"/>
        <v>0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516"/>
      <c r="J8" s="236"/>
      <c r="K8" s="237"/>
      <c r="L8" s="218"/>
      <c r="M8" s="237"/>
      <c r="N8" s="227">
        <f t="shared" si="1"/>
        <v>0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516"/>
      <c r="J9" s="236"/>
      <c r="K9" s="237"/>
      <c r="L9" s="218"/>
      <c r="M9" s="237"/>
      <c r="N9" s="227">
        <f t="shared" si="1"/>
        <v>0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516"/>
      <c r="J10" s="236"/>
      <c r="K10" s="237"/>
      <c r="L10" s="218"/>
      <c r="M10" s="237"/>
      <c r="N10" s="227">
        <f t="shared" si="1"/>
        <v>0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516"/>
      <c r="J11" s="236"/>
      <c r="K11" s="237"/>
      <c r="L11" s="218"/>
      <c r="M11" s="237"/>
      <c r="N11" s="227">
        <f t="shared" si="1"/>
        <v>0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516"/>
      <c r="J12" s="236"/>
      <c r="K12" s="237"/>
      <c r="L12" s="218"/>
      <c r="M12" s="237"/>
      <c r="N12" s="227">
        <f t="shared" si="1"/>
        <v>0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516"/>
      <c r="J13" s="236"/>
      <c r="K13" s="237"/>
      <c r="L13" s="218"/>
      <c r="M13" s="237"/>
      <c r="N13" s="227">
        <f t="shared" si="1"/>
        <v>0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516"/>
      <c r="J14" s="236"/>
      <c r="K14" s="237"/>
      <c r="L14" s="218"/>
      <c r="M14" s="237"/>
      <c r="N14" s="227">
        <f t="shared" si="1"/>
        <v>0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516"/>
      <c r="J15" s="236"/>
      <c r="K15" s="237"/>
      <c r="L15" s="218"/>
      <c r="M15" s="237"/>
      <c r="N15" s="227">
        <f t="shared" si="1"/>
        <v>0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516"/>
      <c r="J16" s="236"/>
      <c r="K16" s="237"/>
      <c r="L16" s="218"/>
      <c r="M16" s="237"/>
      <c r="N16" s="227">
        <f t="shared" si="1"/>
        <v>0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516"/>
      <c r="J17" s="236"/>
      <c r="K17" s="237"/>
      <c r="L17" s="218"/>
      <c r="M17" s="237"/>
      <c r="N17" s="227">
        <f t="shared" si="1"/>
        <v>0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516"/>
      <c r="J18" s="236"/>
      <c r="K18" s="237"/>
      <c r="L18" s="218"/>
      <c r="M18" s="237"/>
      <c r="N18" s="227">
        <f t="shared" si="1"/>
        <v>0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/>
      <c r="G19" s="225">
        <f t="shared" si="0"/>
        <v>0</v>
      </c>
      <c r="I19" s="516"/>
      <c r="J19" s="236"/>
      <c r="K19" s="237"/>
      <c r="L19" s="218"/>
      <c r="M19" s="237"/>
      <c r="N19" s="227">
        <f t="shared" si="1"/>
        <v>0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516"/>
      <c r="J20" s="236"/>
      <c r="K20" s="237"/>
      <c r="L20" s="218"/>
      <c r="M20" s="237"/>
      <c r="N20" s="227">
        <f t="shared" si="1"/>
        <v>0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516"/>
      <c r="J21" s="236"/>
      <c r="K21" s="237"/>
      <c r="L21" s="218"/>
      <c r="M21" s="237"/>
      <c r="N21" s="227">
        <f t="shared" si="1"/>
        <v>0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516"/>
      <c r="J22" s="236"/>
      <c r="K22" s="237"/>
      <c r="L22" s="218"/>
      <c r="M22" s="237"/>
      <c r="N22" s="227">
        <f t="shared" si="1"/>
        <v>0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516"/>
      <c r="J23" s="236"/>
      <c r="K23" s="237"/>
      <c r="L23" s="218"/>
      <c r="M23" s="237"/>
      <c r="N23" s="227">
        <f t="shared" si="1"/>
        <v>0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516"/>
      <c r="J24" s="236"/>
      <c r="K24" s="237"/>
      <c r="L24" s="218"/>
      <c r="M24" s="237"/>
      <c r="N24" s="227">
        <f t="shared" si="1"/>
        <v>0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516"/>
      <c r="J25" s="236"/>
      <c r="K25" s="237"/>
      <c r="L25" s="218"/>
      <c r="M25" s="237"/>
      <c r="N25" s="227">
        <f t="shared" si="1"/>
        <v>0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516"/>
      <c r="J26" s="236"/>
      <c r="K26" s="237"/>
      <c r="L26" s="218"/>
      <c r="M26" s="237"/>
      <c r="N26" s="227">
        <f t="shared" si="1"/>
        <v>0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516"/>
      <c r="J27" s="236"/>
      <c r="K27" s="237"/>
      <c r="L27" s="218"/>
      <c r="M27" s="237"/>
      <c r="N27" s="227">
        <f t="shared" si="1"/>
        <v>0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516"/>
      <c r="J28" s="236"/>
      <c r="K28" s="237"/>
      <c r="L28" s="218"/>
      <c r="M28" s="237"/>
      <c r="N28" s="227">
        <f t="shared" si="1"/>
        <v>0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516"/>
      <c r="J29" s="236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516"/>
      <c r="J30" s="236"/>
      <c r="K30" s="237"/>
      <c r="L30" s="224"/>
      <c r="M30" s="101"/>
      <c r="N30" s="227">
        <f t="shared" si="1"/>
        <v>0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516"/>
      <c r="J31" s="236"/>
      <c r="K31" s="237"/>
      <c r="L31" s="224"/>
      <c r="M31" s="101"/>
      <c r="N31" s="227">
        <f t="shared" si="1"/>
        <v>0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0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0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0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0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584" t="s">
        <v>35</v>
      </c>
      <c r="J37" s="585"/>
      <c r="K37" s="491"/>
      <c r="L37" s="491"/>
      <c r="M37" s="101"/>
      <c r="N37" s="227">
        <f t="shared" si="1"/>
        <v>0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586"/>
      <c r="J38" s="587"/>
      <c r="K38" s="490"/>
      <c r="L38" s="218"/>
      <c r="M38" s="101"/>
      <c r="N38" s="227">
        <f t="shared" si="1"/>
        <v>0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588"/>
      <c r="J39" s="589"/>
      <c r="K39" s="84"/>
      <c r="L39" s="238"/>
      <c r="M39" s="84"/>
      <c r="N39" s="227">
        <f t="shared" si="1"/>
        <v>0</v>
      </c>
    </row>
    <row r="40" spans="2:14" ht="15.75" hidden="1" x14ac:dyDescent="0.25">
      <c r="B40" s="540" t="s">
        <v>868</v>
      </c>
      <c r="C40" s="541" t="s">
        <v>869</v>
      </c>
      <c r="D40" s="542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0</v>
      </c>
    </row>
    <row r="41" spans="2:14" ht="15.75" hidden="1" x14ac:dyDescent="0.25">
      <c r="B41" s="538" t="s">
        <v>870</v>
      </c>
      <c r="C41" s="539" t="s">
        <v>871</v>
      </c>
      <c r="D41" s="515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0</v>
      </c>
    </row>
    <row r="42" spans="2:14" ht="15.75" hidden="1" x14ac:dyDescent="0.25">
      <c r="B42" s="540" t="s">
        <v>870</v>
      </c>
      <c r="C42" s="541" t="s">
        <v>872</v>
      </c>
      <c r="D42" s="542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0</v>
      </c>
    </row>
    <row r="43" spans="2:14" ht="15.75" hidden="1" x14ac:dyDescent="0.25">
      <c r="B43" s="538" t="s">
        <v>870</v>
      </c>
      <c r="C43" s="539" t="s">
        <v>873</v>
      </c>
      <c r="D43" s="515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hidden="1" x14ac:dyDescent="0.25">
      <c r="B44" s="540" t="s">
        <v>870</v>
      </c>
      <c r="C44" s="541" t="s">
        <v>874</v>
      </c>
      <c r="D44" s="542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hidden="1" x14ac:dyDescent="0.25">
      <c r="B45" s="538" t="s">
        <v>875</v>
      </c>
      <c r="C45" s="539" t="s">
        <v>876</v>
      </c>
      <c r="D45" s="515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hidden="1" x14ac:dyDescent="0.25">
      <c r="B46" s="538" t="s">
        <v>877</v>
      </c>
      <c r="C46" s="539" t="s">
        <v>878</v>
      </c>
      <c r="D46" s="515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hidden="1" x14ac:dyDescent="0.25">
      <c r="B47" s="538" t="s">
        <v>879</v>
      </c>
      <c r="C47" s="539" t="s">
        <v>880</v>
      </c>
      <c r="D47" s="515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>
        <f>SUM(G3:G66)</f>
        <v>917631.77</v>
      </c>
      <c r="I67" s="590" t="s">
        <v>35</v>
      </c>
      <c r="J67" s="591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4" t="s">
        <v>36</v>
      </c>
      <c r="I68" s="599"/>
      <c r="J68" s="60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81"/>
      <c r="J36" s="582"/>
      <c r="K36" s="582"/>
      <c r="L36" s="583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81"/>
      <c r="J37" s="582"/>
      <c r="K37" s="582"/>
      <c r="L37" s="583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4" t="s">
        <v>35</v>
      </c>
      <c r="J40" s="585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6"/>
      <c r="J41" s="587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8"/>
      <c r="J42" s="589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90" t="s">
        <v>35</v>
      </c>
      <c r="J67" s="591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4" t="s">
        <v>36</v>
      </c>
      <c r="I68" s="592"/>
      <c r="J68" s="593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95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4"/>
      <c r="C1" s="576" t="s">
        <v>120</v>
      </c>
      <c r="D1" s="577"/>
      <c r="E1" s="577"/>
      <c r="F1" s="577"/>
      <c r="G1" s="577"/>
      <c r="H1" s="577"/>
      <c r="I1" s="577"/>
      <c r="J1" s="577"/>
      <c r="K1" s="577"/>
      <c r="L1" s="577"/>
      <c r="M1" s="577"/>
    </row>
    <row r="2" spans="1:18" ht="16.5" thickBot="1" x14ac:dyDescent="0.3">
      <c r="B2" s="57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8" t="s">
        <v>0</v>
      </c>
      <c r="C3" s="579"/>
      <c r="D3" s="14"/>
      <c r="E3" s="15"/>
      <c r="F3" s="16"/>
      <c r="H3" s="580" t="s">
        <v>1</v>
      </c>
      <c r="I3" s="580"/>
      <c r="K3" s="18"/>
      <c r="L3" s="19"/>
      <c r="M3" s="20"/>
      <c r="P3" s="572" t="s">
        <v>2</v>
      </c>
      <c r="R3" s="545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47" t="s">
        <v>5</v>
      </c>
      <c r="F4" s="548"/>
      <c r="H4" s="549" t="s">
        <v>6</v>
      </c>
      <c r="I4" s="550"/>
      <c r="J4" s="25"/>
      <c r="K4" s="26"/>
      <c r="L4" s="27"/>
      <c r="M4" s="28" t="s">
        <v>7</v>
      </c>
      <c r="N4" s="29" t="s">
        <v>8</v>
      </c>
      <c r="P4" s="573"/>
      <c r="Q4" s="30" t="s">
        <v>9</v>
      </c>
      <c r="R4" s="546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56">
        <f>SUM(M5:M40)</f>
        <v>1964337.8699999999</v>
      </c>
      <c r="N49" s="556">
        <f>SUM(N5:N40)</f>
        <v>1314937</v>
      </c>
      <c r="P49" s="111">
        <f>SUM(P5:P40)</f>
        <v>3956557.8699999996</v>
      </c>
      <c r="Q49" s="568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57"/>
      <c r="N50" s="557"/>
      <c r="P50" s="44"/>
      <c r="Q50" s="569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70">
        <f>M49+N49</f>
        <v>3279274.87</v>
      </c>
      <c r="N53" s="571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4" t="s">
        <v>15</v>
      </c>
      <c r="I77" s="565"/>
      <c r="J77" s="154"/>
      <c r="K77" s="566">
        <f>I75+L75</f>
        <v>526980.64000000013</v>
      </c>
      <c r="L77" s="567"/>
      <c r="M77" s="155"/>
      <c r="N77" s="155"/>
      <c r="P77" s="44"/>
      <c r="Q77" s="19"/>
    </row>
    <row r="78" spans="1:17" x14ac:dyDescent="0.25">
      <c r="D78" s="558" t="s">
        <v>16</v>
      </c>
      <c r="E78" s="558"/>
      <c r="F78" s="156">
        <f>F75-K77-C75</f>
        <v>1939381.5999999999</v>
      </c>
      <c r="I78" s="157"/>
      <c r="J78" s="158"/>
    </row>
    <row r="79" spans="1:17" ht="18.75" x14ac:dyDescent="0.3">
      <c r="D79" s="559" t="s">
        <v>17</v>
      </c>
      <c r="E79" s="559"/>
      <c r="F79" s="101">
        <v>-1830849.67</v>
      </c>
      <c r="I79" s="560" t="s">
        <v>18</v>
      </c>
      <c r="J79" s="561"/>
      <c r="K79" s="562">
        <f>F81+F82+F83</f>
        <v>3946521.55</v>
      </c>
      <c r="L79" s="562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63">
        <f>-C4</f>
        <v>-3504178.07</v>
      </c>
      <c r="L81" s="562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51" t="s">
        <v>24</v>
      </c>
      <c r="E83" s="552"/>
      <c r="F83" s="173">
        <v>3720574.62</v>
      </c>
      <c r="I83" s="596" t="s">
        <v>25</v>
      </c>
      <c r="J83" s="597"/>
      <c r="K83" s="598">
        <f>K79+K81</f>
        <v>442343.48</v>
      </c>
      <c r="L83" s="59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81"/>
      <c r="J36" s="582"/>
      <c r="K36" s="582"/>
      <c r="L36" s="583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81"/>
      <c r="J37" s="582"/>
      <c r="K37" s="582"/>
      <c r="L37" s="583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4" t="s">
        <v>35</v>
      </c>
      <c r="J40" s="585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6"/>
      <c r="J41" s="587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8"/>
      <c r="J42" s="589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90" t="s">
        <v>35</v>
      </c>
      <c r="J67" s="591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4" t="s">
        <v>36</v>
      </c>
      <c r="I68" s="599"/>
      <c r="J68" s="60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4"/>
      <c r="C1" s="576" t="s">
        <v>238</v>
      </c>
      <c r="D1" s="577"/>
      <c r="E1" s="577"/>
      <c r="F1" s="577"/>
      <c r="G1" s="577"/>
      <c r="H1" s="577"/>
      <c r="I1" s="577"/>
      <c r="J1" s="577"/>
      <c r="K1" s="577"/>
      <c r="L1" s="577"/>
      <c r="M1" s="577"/>
    </row>
    <row r="2" spans="1:18" ht="16.5" thickBot="1" x14ac:dyDescent="0.3">
      <c r="B2" s="57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8" t="s">
        <v>0</v>
      </c>
      <c r="C3" s="579"/>
      <c r="D3" s="14"/>
      <c r="E3" s="15"/>
      <c r="F3" s="16"/>
      <c r="H3" s="580" t="s">
        <v>1</v>
      </c>
      <c r="I3" s="580"/>
      <c r="K3" s="18"/>
      <c r="L3" s="19"/>
      <c r="M3" s="20"/>
      <c r="P3" s="572" t="s">
        <v>2</v>
      </c>
      <c r="R3" s="601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47" t="s">
        <v>5</v>
      </c>
      <c r="F4" s="548"/>
      <c r="H4" s="549" t="s">
        <v>6</v>
      </c>
      <c r="I4" s="550"/>
      <c r="J4" s="25"/>
      <c r="K4" s="26"/>
      <c r="L4" s="27"/>
      <c r="M4" s="28" t="s">
        <v>7</v>
      </c>
      <c r="N4" s="29" t="s">
        <v>8</v>
      </c>
      <c r="P4" s="573"/>
      <c r="Q4" s="30" t="s">
        <v>9</v>
      </c>
      <c r="R4" s="602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56">
        <f>SUM(M5:M40)</f>
        <v>1803019.98</v>
      </c>
      <c r="N49" s="556">
        <f>SUM(N5:N40)</f>
        <v>1138524</v>
      </c>
      <c r="P49" s="111">
        <f>SUM(P5:P40)</f>
        <v>3684795.48</v>
      </c>
      <c r="Q49" s="568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57"/>
      <c r="N50" s="557"/>
      <c r="P50" s="44"/>
      <c r="Q50" s="569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70">
        <f>M49+N49</f>
        <v>2941543.98</v>
      </c>
      <c r="N53" s="571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4" t="s">
        <v>15</v>
      </c>
      <c r="I77" s="565"/>
      <c r="J77" s="154"/>
      <c r="K77" s="566">
        <f>I75+L75</f>
        <v>646140.08000000031</v>
      </c>
      <c r="L77" s="567"/>
      <c r="M77" s="155"/>
      <c r="N77" s="155"/>
      <c r="P77" s="44"/>
      <c r="Q77" s="19"/>
    </row>
    <row r="78" spans="1:17" x14ac:dyDescent="0.25">
      <c r="D78" s="558" t="s">
        <v>16</v>
      </c>
      <c r="E78" s="558"/>
      <c r="F78" s="156">
        <f>F75-K77-C75</f>
        <v>1113109.92</v>
      </c>
      <c r="I78" s="157"/>
      <c r="J78" s="158"/>
    </row>
    <row r="79" spans="1:17" ht="18.75" x14ac:dyDescent="0.3">
      <c r="D79" s="559" t="s">
        <v>17</v>
      </c>
      <c r="E79" s="559"/>
      <c r="F79" s="101">
        <v>-1405309.97</v>
      </c>
      <c r="I79" s="560" t="s">
        <v>18</v>
      </c>
      <c r="J79" s="561"/>
      <c r="K79" s="562">
        <f>F81+F82+F83</f>
        <v>3400888.74</v>
      </c>
      <c r="L79" s="562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63">
        <f>-C4</f>
        <v>-3504178.07</v>
      </c>
      <c r="L81" s="562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51" t="s">
        <v>24</v>
      </c>
      <c r="E83" s="552"/>
      <c r="F83" s="173">
        <v>3567993.62</v>
      </c>
      <c r="I83" s="553" t="s">
        <v>220</v>
      </c>
      <c r="J83" s="554"/>
      <c r="K83" s="555">
        <f>K79+K81</f>
        <v>-103289.32999999961</v>
      </c>
      <c r="L83" s="555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81"/>
      <c r="J36" s="582"/>
      <c r="K36" s="582"/>
      <c r="L36" s="583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81"/>
      <c r="J37" s="582"/>
      <c r="K37" s="582"/>
      <c r="L37" s="583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4" t="s">
        <v>35</v>
      </c>
      <c r="J40" s="585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6"/>
      <c r="J41" s="587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8"/>
      <c r="J42" s="589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90" t="s">
        <v>35</v>
      </c>
      <c r="J67" s="591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4" t="s">
        <v>36</v>
      </c>
      <c r="I68" s="599"/>
      <c r="J68" s="60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4"/>
      <c r="C1" s="576" t="s">
        <v>368</v>
      </c>
      <c r="D1" s="577"/>
      <c r="E1" s="577"/>
      <c r="F1" s="577"/>
      <c r="G1" s="577"/>
      <c r="H1" s="577"/>
      <c r="I1" s="577"/>
      <c r="J1" s="577"/>
      <c r="K1" s="577"/>
      <c r="L1" s="577"/>
      <c r="M1" s="577"/>
    </row>
    <row r="2" spans="1:18" ht="16.5" thickBot="1" x14ac:dyDescent="0.3">
      <c r="B2" s="57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8" t="s">
        <v>0</v>
      </c>
      <c r="C3" s="579"/>
      <c r="D3" s="14"/>
      <c r="E3" s="15"/>
      <c r="F3" s="16"/>
      <c r="H3" s="580" t="s">
        <v>1</v>
      </c>
      <c r="I3" s="580"/>
      <c r="K3" s="18"/>
      <c r="L3" s="19"/>
      <c r="M3" s="20"/>
      <c r="P3" s="572" t="s">
        <v>2</v>
      </c>
      <c r="R3" s="601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47" t="s">
        <v>5</v>
      </c>
      <c r="F4" s="548"/>
      <c r="H4" s="549" t="s">
        <v>6</v>
      </c>
      <c r="I4" s="550"/>
      <c r="J4" s="25"/>
      <c r="K4" s="26"/>
      <c r="L4" s="27"/>
      <c r="M4" s="28" t="s">
        <v>7</v>
      </c>
      <c r="N4" s="29" t="s">
        <v>8</v>
      </c>
      <c r="P4" s="573"/>
      <c r="Q4" s="30" t="s">
        <v>9</v>
      </c>
      <c r="R4" s="602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56">
        <f>SUM(M5:M40)</f>
        <v>2051765.3</v>
      </c>
      <c r="N49" s="556">
        <f>SUM(N5:N40)</f>
        <v>1741324</v>
      </c>
      <c r="P49" s="111">
        <f>SUM(P5:P40)</f>
        <v>4831473.13</v>
      </c>
      <c r="Q49" s="568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57"/>
      <c r="N50" s="557"/>
      <c r="P50" s="44"/>
      <c r="Q50" s="569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70">
        <f>M49+N49</f>
        <v>3793089.3</v>
      </c>
      <c r="N53" s="571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64" t="s">
        <v>15</v>
      </c>
      <c r="I79" s="565"/>
      <c r="J79" s="154"/>
      <c r="K79" s="566">
        <f>I77+L77</f>
        <v>739761.38</v>
      </c>
      <c r="L79" s="567"/>
      <c r="M79" s="155"/>
      <c r="N79" s="155"/>
      <c r="P79" s="44"/>
      <c r="Q79" s="19"/>
    </row>
    <row r="80" spans="1:17" x14ac:dyDescent="0.25">
      <c r="D80" s="558" t="s">
        <v>16</v>
      </c>
      <c r="E80" s="558"/>
      <c r="F80" s="156">
        <f>F77-K79-C77</f>
        <v>2011425.4899999998</v>
      </c>
      <c r="I80" s="157"/>
      <c r="J80" s="158"/>
    </row>
    <row r="81" spans="2:17" ht="18.75" x14ac:dyDescent="0.3">
      <c r="D81" s="559" t="s">
        <v>17</v>
      </c>
      <c r="E81" s="559"/>
      <c r="F81" s="101">
        <v>-2021696.34</v>
      </c>
      <c r="I81" s="560" t="s">
        <v>18</v>
      </c>
      <c r="J81" s="561"/>
      <c r="K81" s="562">
        <f>F83+F84+F85</f>
        <v>2945239.9399999995</v>
      </c>
      <c r="L81" s="562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63">
        <f>-C4</f>
        <v>-3567993.62</v>
      </c>
      <c r="L83" s="562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51" t="s">
        <v>24</v>
      </c>
      <c r="E85" s="552"/>
      <c r="F85" s="173">
        <v>3065283.79</v>
      </c>
      <c r="I85" s="553" t="s">
        <v>220</v>
      </c>
      <c r="J85" s="554"/>
      <c r="K85" s="555">
        <f>K81+K83</f>
        <v>-622753.68000000063</v>
      </c>
      <c r="L85" s="555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81"/>
      <c r="J36" s="582"/>
      <c r="K36" s="582"/>
      <c r="L36" s="583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81"/>
      <c r="J37" s="582"/>
      <c r="K37" s="582"/>
      <c r="L37" s="583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84" t="s">
        <v>35</v>
      </c>
      <c r="J40" s="585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86"/>
      <c r="J41" s="587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88"/>
      <c r="J42" s="589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90" t="s">
        <v>35</v>
      </c>
      <c r="J67" s="591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4" t="s">
        <v>36</v>
      </c>
      <c r="I68" s="599"/>
      <c r="J68" s="600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9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6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4"/>
      <c r="C1" s="576" t="s">
        <v>502</v>
      </c>
      <c r="D1" s="577"/>
      <c r="E1" s="577"/>
      <c r="F1" s="577"/>
      <c r="G1" s="577"/>
      <c r="H1" s="577"/>
      <c r="I1" s="577"/>
      <c r="J1" s="577"/>
      <c r="K1" s="577"/>
      <c r="L1" s="577"/>
      <c r="M1" s="577"/>
    </row>
    <row r="2" spans="1:18" ht="16.5" thickBot="1" x14ac:dyDescent="0.3">
      <c r="B2" s="57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8" t="s">
        <v>0</v>
      </c>
      <c r="C3" s="579"/>
      <c r="D3" s="14"/>
      <c r="E3" s="15"/>
      <c r="F3" s="16"/>
      <c r="H3" s="580" t="s">
        <v>1</v>
      </c>
      <c r="I3" s="580"/>
      <c r="K3" s="18"/>
      <c r="L3" s="19"/>
      <c r="M3" s="20"/>
      <c r="P3" s="572" t="s">
        <v>2</v>
      </c>
      <c r="Q3" s="467" t="s">
        <v>509</v>
      </c>
      <c r="R3" s="601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47" t="s">
        <v>5</v>
      </c>
      <c r="F4" s="548"/>
      <c r="H4" s="549" t="s">
        <v>6</v>
      </c>
      <c r="I4" s="550"/>
      <c r="J4" s="25"/>
      <c r="K4" s="26"/>
      <c r="L4" s="27"/>
      <c r="M4" s="28" t="s">
        <v>7</v>
      </c>
      <c r="N4" s="29" t="s">
        <v>8</v>
      </c>
      <c r="P4" s="573"/>
      <c r="Q4" s="30" t="s">
        <v>9</v>
      </c>
      <c r="R4" s="602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56">
        <f>SUM(M5:M40)</f>
        <v>1683911.56</v>
      </c>
      <c r="N49" s="556">
        <f>SUM(N5:N40)</f>
        <v>1355406.15</v>
      </c>
      <c r="P49" s="111">
        <f>SUM(P5:P40)</f>
        <v>3685318.7</v>
      </c>
      <c r="Q49" s="568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57"/>
      <c r="N50" s="557"/>
      <c r="P50" s="44"/>
      <c r="Q50" s="569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70">
        <f>M49+N49</f>
        <v>3039317.71</v>
      </c>
      <c r="N53" s="571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4" t="s">
        <v>15</v>
      </c>
      <c r="I77" s="565"/>
      <c r="J77" s="154"/>
      <c r="K77" s="566">
        <f>I75+L75</f>
        <v>484126.00999999989</v>
      </c>
      <c r="L77" s="567"/>
      <c r="M77" s="155"/>
      <c r="N77" s="155"/>
      <c r="P77" s="44"/>
      <c r="Q77" s="19"/>
    </row>
    <row r="78" spans="1:17" x14ac:dyDescent="0.25">
      <c r="D78" s="558" t="s">
        <v>16</v>
      </c>
      <c r="E78" s="558"/>
      <c r="F78" s="156">
        <f>F75-K77-C75</f>
        <v>1743477.6000000003</v>
      </c>
      <c r="I78" s="157"/>
      <c r="J78" s="158"/>
    </row>
    <row r="79" spans="1:17" ht="18.75" x14ac:dyDescent="0.3">
      <c r="D79" s="559" t="s">
        <v>17</v>
      </c>
      <c r="E79" s="559"/>
      <c r="F79" s="101">
        <v>-1542483.8</v>
      </c>
      <c r="I79" s="560" t="s">
        <v>18</v>
      </c>
      <c r="J79" s="561"/>
      <c r="K79" s="562">
        <f>F81+F82+F83</f>
        <v>4235033.33</v>
      </c>
      <c r="L79" s="562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63">
        <f>-C4</f>
        <v>-3065283.79</v>
      </c>
      <c r="L81" s="562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51" t="s">
        <v>24</v>
      </c>
      <c r="E83" s="552"/>
      <c r="F83" s="173">
        <v>3897967.53</v>
      </c>
      <c r="I83" s="596" t="s">
        <v>25</v>
      </c>
      <c r="J83" s="597"/>
      <c r="K83" s="598">
        <f>K79+K81</f>
        <v>1169749.54</v>
      </c>
      <c r="L83" s="59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2023-09-16T14:47:11Z</dcterms:modified>
</cp:coreProperties>
</file>