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195" yWindow="915" windowWidth="16905" windowHeight="10110" firstSheet="21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4" i="23" l="1"/>
  <c r="M33" i="23"/>
  <c r="M31" i="23"/>
  <c r="M30" i="23" l="1"/>
  <c r="M29" i="23"/>
  <c r="M28" i="23" l="1"/>
  <c r="M27" i="23" l="1"/>
  <c r="M26" i="23"/>
  <c r="M25" i="23" l="1"/>
  <c r="M24" i="23"/>
  <c r="M23" i="23" l="1"/>
  <c r="M22" i="23" l="1"/>
  <c r="M21" i="23"/>
  <c r="M20" i="23"/>
  <c r="M19" i="23"/>
  <c r="Q18" i="23"/>
  <c r="M18" i="23"/>
  <c r="M17" i="23"/>
  <c r="M16" i="23"/>
  <c r="M15" i="23"/>
  <c r="M14" i="23" l="1"/>
  <c r="M13" i="23"/>
  <c r="M12" i="23"/>
  <c r="M11" i="23"/>
  <c r="M10" i="23"/>
  <c r="M9" i="23"/>
  <c r="Q36" i="23" l="1"/>
  <c r="Q37" i="23"/>
  <c r="Q38" i="23"/>
  <c r="M8" i="23"/>
  <c r="M7" i="23"/>
  <c r="Q6" i="23"/>
  <c r="M6" i="23"/>
  <c r="P5" i="23"/>
  <c r="M5" i="23"/>
  <c r="C79" i="24" l="1"/>
  <c r="J11" i="24"/>
  <c r="F4" i="24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3" i="24"/>
  <c r="K57" i="23"/>
  <c r="L51" i="23"/>
  <c r="I51" i="23"/>
  <c r="F51" i="23"/>
  <c r="C51" i="23"/>
  <c r="R40" i="23"/>
  <c r="N40" i="23"/>
  <c r="P39" i="23"/>
  <c r="Q39" i="23" s="1"/>
  <c r="P38" i="23"/>
  <c r="P37" i="23"/>
  <c r="P36" i="23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P20" i="23"/>
  <c r="Q20" i="23" s="1"/>
  <c r="P19" i="23"/>
  <c r="Q19" i="23" s="1"/>
  <c r="P18" i="23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Q8" i="23" s="1"/>
  <c r="P7" i="23"/>
  <c r="Q7" i="23" s="1"/>
  <c r="P6" i="23"/>
  <c r="Q5" i="23"/>
  <c r="E79" i="24" l="1"/>
  <c r="K53" i="23"/>
  <c r="F54" i="23" s="1"/>
  <c r="F57" i="23" s="1"/>
  <c r="K55" i="23" s="1"/>
  <c r="K59" i="23" s="1"/>
  <c r="Q40" i="23"/>
  <c r="M40" i="23"/>
  <c r="E21" i="22"/>
  <c r="E25" i="18"/>
  <c r="M53" i="23" l="1"/>
  <c r="P40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<sst xmlns="http://schemas.openxmlformats.org/spreadsheetml/2006/main" count="1191" uniqueCount="598">
  <si>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</si>
  <si>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</si>
  <si>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</si>
  <si>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</si>
  <si>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</si>
  <si>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</si>
  <si>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</si>
  <si>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</si>
  <si>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</si>
  <si>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</si>
  <si>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</si>
  <si>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</si>
  <si>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</si>
  <si>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</si>
  <si>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</si>
  <si>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</si>
  <si>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</si>
  <si>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</si>
  <si>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</si>
  <si>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</si>
  <si>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</si>
  <si>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</si>
  <si>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</si>
  <si>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</si>
  <si>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</si>
  <si>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</si>
  <si>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</si>
  <si>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</si>
  <si>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</si>
  <si>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</si>
  <si>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</si>
  <si>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</si>
  <si>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</si>
  <si>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</si>
  <si>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</si>
  <si>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</si>
  <si>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</si>
  <si>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</si>
  <si>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</si>
  <si>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</si>
  <si>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</si>
  <si>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</si>
  <si>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</si>
  <si>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</si>
  <si>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</si>
  <si>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</si>
  <si>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</si>
  <si>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</si>
  <si>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</si>
  <si>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</si>
  <si>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</si>
  <si>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</si>
  <si>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</si>
  <si>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</si>
  <si>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</si>
  <si>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</si>
  <si>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</si>
  <si>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</si>
  <si>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</si>
  <si>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</si>
  <si>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</si>
  <si>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</si>
  <si>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</si>
  <si>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</si>
  <si>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</si>
  <si>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</si>
  <si>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</si>
  <si>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</si>
  <si>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</si>
  <si>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</si>
  <si>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</si>
  <si>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</si>
  <si>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</si>
  <si>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</si>
  <si>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</si>
  <si>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</si>
  <si>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</si>
  <si>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</si>
  <si>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</si>
  <si>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</si>
  <si>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</si>
  <si>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</si>
  <si>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</si>
  <si>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</si>
  <si>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</si>
  <si>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</si>
  <si>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</si>
  <si>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</si>
  <si>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</si>
  <si>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</si>
  <si>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</si>
  <si>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</si>
  <si>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</si>
  <si>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</si>
  <si>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</si>
  <si>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</si>
  <si>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</si>
  <si>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</si>
  <si>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</si>
  <si>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</si>
  <si>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</si>
  <si>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</si>
  <si>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</si>
  <si>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</si>
  <si>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</si>
  <si>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</si>
  <si>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</si>
  <si>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</si>
  <si>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</si>
  <si>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</si>
  <si>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</si>
  <si>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</si>
  <si>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</si>
  <si>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</si>
  <si>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</si>
  <si>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</si>
  <si>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</si>
  <si>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</si>
  <si>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</si>
  <si>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</si>
  <si>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</si>
  <si>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</si>
  <si>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</si>
  <si>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</si>
  <si>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</si>
  <si>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</si>
  <si>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</si>
  <si>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</si>
  <si>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</si>
  <si>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</si>
  <si>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</si>
  <si>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</si>
  <si>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</si>
  <si>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</si>
  <si>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</si>
  <si>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</si>
  <si>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</si>
  <si>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</si>
  <si>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</si>
  <si>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</si>
  <si>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</si>
  <si>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</si>
  <si>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</si>
  <si>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</si>
  <si>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</si>
  <si>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</si>
  <si>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</si>
  <si>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</si>
  <si>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</si>
  <si>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</si>
  <si>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</si>
  <si>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</si>
  <si>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</si>
  <si>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</si>
  <si>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</si>
  <si>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</si>
  <si>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</si>
  <si>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</si>
  <si>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</si>
  <si>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</si>
  <si>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</si>
  <si>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</si>
  <si>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</si>
  <si>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</si>
  <si>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</si>
  <si>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</si>
  <si>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</si>
  <si>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</si>
  <si>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</si>
  <si>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</si>
  <si>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</si>
  <si>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</si>
  <si>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</si>
  <si>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</si>
  <si>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</si>
  <si>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</si>
  <si>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</si>
  <si>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</si>
  <si>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</si>
  <si>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</si>
  <si>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</si>
  <si>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</si>
  <si>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</si>
  <si>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</si>
  <si>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</si>
  <si>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</si>
  <si>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</si>
  <si>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</si>
  <si>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</si>
  <si>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</si>
  <si>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</si>
  <si>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</si>
  <si>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</si>
  <si>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</si>
  <si>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</si>
  <si>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</si>
  <si>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</si>
  <si>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</si>
  <si>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</si>
  <si>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</si>
  <si>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</si>
  <si>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</si>
  <si>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</si>
  <si>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</si>
  <si>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</si>
  <si>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</si>
  <si>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</si>
  <si>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</si>
  <si>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</si>
  <si>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</si>
  <si>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</si>
  <si>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</si>
  <si>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</si>
  <si>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</si>
  <si>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</si>
  <si>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</si>
  <si>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</si>
  <si>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</si>
  <si>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</si>
  <si>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</si>
  <si>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</si>
  <si>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</si>
  <si>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</si>
  <si>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</si>
  <si>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</si>
  <si>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</si>
  <si>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</si>
  <si>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</si>
  <si>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</si>
  <si>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</si>
  <si>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</si>
  <si>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</si>
  <si>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</si>
  <si>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</si>
  <si>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</si>
  <si>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</si>
  <si>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</si>
  <si>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</si>
  <si>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</si>
  <si>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</si>
  <si>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</si>
  <si>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</si>
  <si>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</si>
  <si>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</si>
  <si>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</si>
  <si>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</si>
  <si>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</si>
  <si>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</si>
  <si>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</si>
  <si>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</si>
  <si>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</si>
  <si>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</si>
  <si>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</si>
  <si>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</si>
  <si>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</si>
  <si>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</si>
  <si>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</si>
  <si>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</si>
  <si>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</si>
  <si>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</si>
  <si>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</si>
  <si>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</si>
  <si>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</si>
  <si>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</si>
  <si>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</si>
  <si>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</si>
  <si>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</si>
  <si>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</si>
  <si>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</si>
  <si>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</si>
  <si>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</si>
  <si>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</si>
  <si>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</si>
  <si>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</si>
  <si>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</si>
  <si>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</si>
  <si>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</si>
  <si>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</si>
  <si>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</si>
  <si>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</si>
  <si>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</si>
  <si>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</si>
  <si>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</si>
  <si>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</si>
  <si>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</si>
  <si>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</si>
  <si>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</si>
  <si>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</si>
  <si>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</si>
  <si>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</si>
  <si>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</si>
  <si>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</si>
  <si>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</si>
  <si>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</si>
  <si>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</si>
  <si>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</si>
  <si>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</si>
  <si>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</si>
  <si>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</si>
  <si>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</si>
  <si>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</si>
  <si>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</si>
  <si>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</si>
  <si>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</si>
  <si>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</si>
  <si>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</si>
  <si>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</si>
  <si>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</si>
  <si>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</si>
  <si>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</si>
  <si>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</si>
  <si>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</si>
  <si>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</si>
  <si>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</si>
  <si>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</si>
  <si>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</si>
  <si>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</si>
  <si>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</si>
  <si>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</si>
  <si>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</si>
  <si>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</si>
  <si>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</si>
  <si>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</si>
  <si>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</si>
  <si>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</si>
  <si>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</si>
  <si>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</si>
  <si>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</si>
  <si>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</si>
  <si>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</si>
  <si>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</si>
  <si>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</si>
  <si>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</si>
  <si>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</si>
  <si>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</si>
  <si>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</si>
  <si>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</si>
  <si>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</si>
  <si>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</si>
  <si>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</si>
  <si>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</si>
  <si>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</si>
  <si>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</si>
  <si>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</si>
  <si>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</si>
  <si>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</si>
  <si>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</si>
  <si>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</si>
  <si>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</si>
  <si>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</si>
  <si>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</si>
  <si>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</si>
  <si>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</si>
  <si>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</si>
  <si>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</si>
  <si>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</si>
  <si>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</si>
  <si>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</si>
  <si>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</si>
  <si>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</si>
  <si>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</si>
  <si>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</si>
  <si>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</si>
  <si>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</si>
  <si>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</si>
  <si>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</si>
  <si>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</si>
  <si>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</si>
  <si>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</si>
  <si>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</si>
  <si>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</si>
  <si>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</si>
  <si>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</si>
  <si>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</si>
  <si>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</si>
  <si>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</si>
  <si>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</si>
  <si>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</si>
  <si>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</si>
  <si>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</si>
  <si>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</si>
  <si>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</si>
  <si>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</si>
  <si>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</si>
  <si>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</si>
  <si>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</si>
  <si>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</si>
  <si>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</si>
  <si>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</si>
  <si>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</si>
  <si>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</si>
  <si>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</si>
  <si>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</si>
  <si>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</si>
  <si>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</si>
  <si>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</si>
  <si>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</si>
  <si>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</si>
  <si>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</si>
  <si>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</si>
  <si>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</si>
  <si>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</si>
  <si>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</si>
  <si>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</si>
  <si>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</si>
  <si>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</si>
  <si>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</si>
  <si>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</si>
  <si>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</si>
  <si>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</si>
  <si>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</si>
  <si>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</si>
  <si>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</si>
  <si>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</si>
  <si>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</si>
  <si>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</si>
  <si>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</si>
  <si>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</si>
  <si>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</si>
  <si>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</si>
  <si>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</si>
  <si>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</si>
  <si>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</si>
  <si>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</si>
  <si>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</si>
  <si>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</si>
  <si>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</si>
  <si>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</si>
  <si>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</si>
  <si>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</si>
  <si>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</si>
  <si>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</si>
  <si>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</si>
  <si>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</si>
  <si>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</si>
  <si>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</si>
  <si>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</si>
  <si>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</si>
  <si>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</si>
  <si>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</si>
  <si>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</si>
  <si>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</si>
  <si>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</si>
  <si>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</si>
  <si>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</si>
  <si>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</si>
  <si>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</si>
  <si>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</si>
  <si>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</si>
  <si>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</si>
  <si>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</si>
  <si>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</si>
  <si>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</si>
  <si>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</si>
  <si>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</si>
  <si>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</si>
  <si>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</si>
  <si>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</si>
  <si>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</si>
  <si>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</si>
  <si>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</si>
  <si>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</si>
  <si>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</si>
  <si>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</si>
  <si>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</si>
  <si>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</si>
  <si>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</si>
  <si>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</si>
  <si>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</si>
  <si>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</si>
  <si>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</si>
  <si>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</si>
  <si>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</si>
  <si>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</si>
  <si>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</si>
  <si>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</si>
  <si>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</si>
  <si>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</si>
  <si>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</si>
  <si>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</si>
  <si>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</si>
  <si>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</si>
  <si>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</si>
  <si>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</si>
  <si>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</si>
  <si>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</si>
  <si>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</si>
  <si>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</si>
  <si>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</si>
  <si>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</si>
  <si>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</si>
  <si>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</si>
  <si>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</si>
  <si>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</si>
  <si>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</si>
  <si>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</si>
  <si>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</si>
  <si>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</si>
  <si>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</si>
  <si>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</si>
  <si>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</si>
  <si>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</si>
  <si>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</si>
  <si>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</si>
  <si>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</si>
  <si>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</si>
  <si>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</si>
  <si>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</si>
  <si>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</si>
  <si>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</si>
  <si>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</si>
  <si>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</si>
  <si>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</si>
  <si>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</si>
  <si>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</si>
  <si>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</si>
  <si>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</si>
  <si>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</si>
  <si>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</si>
  <si>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</si>
  <si>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</si>
  <si>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</si>
  <si>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</si>
  <si>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</si>
  <si>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</si>
  <si>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</si>
  <si>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</si>
  <si>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</si>
  <si>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</si>
  <si>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</si>
  <si>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</si>
  <si>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</si>
  <si>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</si>
  <si>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</si>
  <si>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</si>
  <si>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</si>
  <si>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</si>
  <si>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</si>
  <si>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</si>
  <si>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</si>
  <si>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</si>
  <si>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</si>
  <si>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</si>
  <si>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</si>
  <si>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</si>
  <si>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</si>
  <si>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</si>
  <si>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</si>
  <si>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</si>
  <si>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</si>
  <si>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</si>
  <si>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</si>
  <si>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</si>
  <si>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</si>
  <si>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</si>
  <si>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</si>
  <si>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</si>
  <si>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</si>
  <si>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</si>
  <si>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</si>
  <si>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</si>
  <si>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</si>
  <si>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</si>
  <si>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</si>
  <si>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</si>
  <si>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</si>
  <si>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</si>
  <si>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</si>
  <si>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</si>
  <si>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</si>
  <si>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</si>
  <si>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</si>
  <si>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</si>
  <si>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</si>
  <si>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</si>
  <si>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</si>
  <si>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</si>
  <si>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</si>
  <si>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</si>
  <si>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</si>
  <si>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</si>
  <si>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</si>
  <si>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</si>
  <si>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</si>
  <si>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</si>
  <si>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</si>
  <si>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</si>
  <si>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</si>
  <si>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</si>
  <si>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</si>
  <si>
    <t xml:space="preserve">compras central </t>
  </si>
  <si>
    <t>NOMINA # 49</t>
  </si>
  <si>
    <t>CHORIZO-ARABE</t>
  </si>
  <si>
    <t>nomina # 50</t>
  </si>
  <si>
    <t>NOMINA # 51</t>
  </si>
  <si>
    <t>MANCHEGO GOUDA</t>
  </si>
  <si>
    <t>AGUINALDOS</t>
  </si>
  <si>
    <t>NOMINA #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</si>
</sst>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9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  <xf numFmtId="166" fontId="19" fillId="0" borderId="10" xfId="0" applyNumberFormat="1" applyFont="1" applyFill="1" applyBorder="1"/>
    <xf numFmtId="44" fontId="17" fillId="15" borderId="23" xfId="1" applyFont="1" applyFill="1" applyBorder="1"/>
    <xf numFmtId="44" fontId="2" fillId="15" borderId="24" xfId="1" applyFont="1" applyFill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00FF99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07"/>
      <c r="C1" s="409" t="s">
        <v>28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18" ht="16.5" thickBot="1" x14ac:dyDescent="0.3">
      <c r="B2" s="408"/>
      <c r="C2" s="2"/>
      <c r="H2" s="4"/>
      <c r="I2" s="5"/>
      <c r="J2" s="6"/>
      <c r="L2" s="7"/>
      <c r="M2" s="5"/>
      <c r="N2" s="8"/>
    </row>
    <row r="3" spans="1:18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27">
        <f>SUM(M5:M39)</f>
        <v>1527030</v>
      </c>
      <c r="N40" s="429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28"/>
      <c r="N41" s="43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50143.28</v>
      </c>
      <c r="L53" s="434"/>
      <c r="M53" s="435">
        <f>N40+M40</f>
        <v>1577043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-1419082.77</v>
      </c>
      <c r="I55" s="439" t="s">
        <v>15</v>
      </c>
      <c r="J55" s="440"/>
      <c r="K55" s="441">
        <f>F57+F58+F59</f>
        <v>296963.46999999997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43">
        <f>-C4</f>
        <v>-221059.7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20" t="s">
        <v>20</v>
      </c>
      <c r="E59" s="421"/>
      <c r="F59" s="129">
        <v>154314.51999999999</v>
      </c>
      <c r="I59" s="422" t="s">
        <v>168</v>
      </c>
      <c r="J59" s="423"/>
      <c r="K59" s="424">
        <f>K55+K57</f>
        <v>75903.76999999996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07"/>
      <c r="C1" s="409" t="s">
        <v>326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7">
        <f>SUM(M5:M39)</f>
        <v>2772689</v>
      </c>
      <c r="N40" s="429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28"/>
      <c r="N41" s="430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60691.69</v>
      </c>
      <c r="L53" s="434"/>
      <c r="M53" s="435">
        <f>N40+M40</f>
        <v>2880043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-2875380.48</v>
      </c>
      <c r="I55" s="439" t="s">
        <v>15</v>
      </c>
      <c r="J55" s="440"/>
      <c r="K55" s="441">
        <f>F57+F58+F59</f>
        <v>247554.74000000008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43">
        <f>-C4</f>
        <v>-149938.81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20" t="s">
        <v>20</v>
      </c>
      <c r="E59" s="421"/>
      <c r="F59" s="129">
        <v>232165.91</v>
      </c>
      <c r="I59" s="422" t="s">
        <v>168</v>
      </c>
      <c r="J59" s="423"/>
      <c r="K59" s="424">
        <f>K55+K57</f>
        <v>97615.93000000008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7"/>
      <c r="C1" s="409" t="s">
        <v>380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7">
        <f>SUM(M5:M39)</f>
        <v>2373103</v>
      </c>
      <c r="N40" s="429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28"/>
      <c r="N41" s="43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79649.720000000016</v>
      </c>
      <c r="L53" s="434"/>
      <c r="M53" s="435">
        <f>N40+M40</f>
        <v>2440411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-2471332.31</v>
      </c>
      <c r="I55" s="439" t="s">
        <v>15</v>
      </c>
      <c r="J55" s="440"/>
      <c r="K55" s="441">
        <f>F57+F58+F59</f>
        <v>214026.38999999972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43">
        <f>-C4</f>
        <v>-232165.91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20" t="s">
        <v>20</v>
      </c>
      <c r="E59" s="421"/>
      <c r="F59" s="129">
        <v>273736.42</v>
      </c>
      <c r="I59" s="422" t="s">
        <v>325</v>
      </c>
      <c r="J59" s="423"/>
      <c r="K59" s="424">
        <f>K55+K57</f>
        <v>-18139.520000000281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07"/>
      <c r="C1" s="409" t="s">
        <v>421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7">
        <f>SUM(M5:M39)</f>
        <v>2375259</v>
      </c>
      <c r="N40" s="429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28"/>
      <c r="N41" s="430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52857.25</v>
      </c>
      <c r="L53" s="434"/>
      <c r="M53" s="435">
        <f>N40+M40</f>
        <v>2436376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-2401197.5699999998</v>
      </c>
      <c r="I55" s="439" t="s">
        <v>15</v>
      </c>
      <c r="J55" s="440"/>
      <c r="K55" s="441">
        <f>F57+F58+F59</f>
        <v>259241.77000000016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43">
        <f>-C4</f>
        <v>-273736.42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20" t="s">
        <v>20</v>
      </c>
      <c r="E59" s="421"/>
      <c r="F59" s="129">
        <v>236400.59</v>
      </c>
      <c r="I59" s="446" t="s">
        <v>325</v>
      </c>
      <c r="J59" s="447"/>
      <c r="K59" s="448">
        <f>K55+K57</f>
        <v>-14494.64999999982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7"/>
      <c r="C1" s="409" t="s">
        <v>465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27">
        <f>SUM(M5:M39)</f>
        <v>3147309.5</v>
      </c>
      <c r="N40" s="429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28"/>
      <c r="N41" s="430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102873.87000000001</v>
      </c>
      <c r="L53" s="434"/>
      <c r="M53" s="435">
        <f>N40+M40</f>
        <v>3223878.5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-3171951.31</v>
      </c>
      <c r="I55" s="439" t="s">
        <v>15</v>
      </c>
      <c r="J55" s="440"/>
      <c r="K55" s="441">
        <f>F57+F58+F59</f>
        <v>265314.0299999998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43">
        <f>-C4</f>
        <v>-236400.59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20" t="s">
        <v>20</v>
      </c>
      <c r="E59" s="421"/>
      <c r="F59" s="129">
        <v>242354.21</v>
      </c>
      <c r="I59" s="446" t="s">
        <v>325</v>
      </c>
      <c r="J59" s="447"/>
      <c r="K59" s="448">
        <f>K55+K57</f>
        <v>28913.439999999799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J40" sqref="J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07"/>
      <c r="C1" s="409" t="s">
        <v>512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549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27">
        <f>SUM(M5:M39)</f>
        <v>2563550</v>
      </c>
      <c r="N40" s="429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28"/>
      <c r="N41" s="430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152307.24</v>
      </c>
      <c r="L53" s="434"/>
      <c r="M53" s="435">
        <f>N40+M40</f>
        <v>2640785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-2793202.57</v>
      </c>
      <c r="I55" s="439" t="s">
        <v>15</v>
      </c>
      <c r="J55" s="440"/>
      <c r="K55" s="441">
        <f>F57+F58+F59</f>
        <v>149047.74999999977</v>
      </c>
      <c r="L55" s="442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43">
        <f>-C4</f>
        <v>-242354.21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20" t="s">
        <v>20</v>
      </c>
      <c r="E59" s="421"/>
      <c r="F59" s="129">
        <v>419424.76</v>
      </c>
      <c r="I59" s="446" t="s">
        <v>325</v>
      </c>
      <c r="J59" s="447"/>
      <c r="K59" s="448">
        <f>K55+K57</f>
        <v>-93306.460000000225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B2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07"/>
      <c r="C1" s="409" t="s">
        <v>550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587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588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27">
        <f>SUM(M5:M39)</f>
        <v>2972555</v>
      </c>
      <c r="N40" s="429">
        <f>SUM(N5:N39)</f>
        <v>108935</v>
      </c>
      <c r="P40" s="32">
        <f t="shared" si="1"/>
        <v>3081490</v>
      </c>
      <c r="Q40" s="284">
        <f>SUM(Q5:Q39)</f>
        <v>39391.210000000006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28"/>
      <c r="N41" s="430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80901.209999999992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84934.209999999992</v>
      </c>
      <c r="L53" s="434"/>
      <c r="M53" s="435">
        <f>N40+M40</f>
        <v>3081490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2986572.79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-2936244.87</v>
      </c>
      <c r="I55" s="439" t="s">
        <v>15</v>
      </c>
      <c r="J55" s="440"/>
      <c r="K55" s="441">
        <f>F57+F58+F59</f>
        <v>437052.46999999991</v>
      </c>
      <c r="L55" s="442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50327.919999999925</v>
      </c>
      <c r="H57" s="22"/>
      <c r="I57" s="124" t="s">
        <v>17</v>
      </c>
      <c r="J57" s="125"/>
      <c r="K57" s="443">
        <f>-C4</f>
        <v>-419424.76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20" t="s">
        <v>20</v>
      </c>
      <c r="E59" s="421"/>
      <c r="F59" s="129">
        <v>315698.55</v>
      </c>
      <c r="I59" s="446" t="s">
        <v>168</v>
      </c>
      <c r="J59" s="447"/>
      <c r="K59" s="448">
        <f>K55+K57</f>
        <v>17627.709999999905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D34" sqref="D34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394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/>
      <c r="E30" s="127"/>
      <c r="F30" s="188">
        <f t="shared" si="0"/>
        <v>160084.97999999998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160084.97999999998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160084.97999999998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160084.97999999998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160084.97999999998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160084.97999999998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160084.97999999998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160084.97999999998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160084.97999999998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160084.97999999998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160084.97999999998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160084.97999999998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160084.97999999998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160084.97999999998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160084.97999999998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160084.97999999998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160084.97999999998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160084.97999999998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160084.97999999998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160084.97999999998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160084.97999999998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160084.97999999998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160084.97999999998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160084.97999999998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160084.97999999998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160084.97999999998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160084.97999999998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160084.97999999998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160084.97999999998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160084.97999999998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160084.97999999998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160084.97999999998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160084.97999999998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160084.97999999998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160084.97999999998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160084.97999999998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160084.97999999998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160084.97999999998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160084.97999999998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160084.97999999998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160084.97999999998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160084.97999999998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160084.97999999998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160084.97999999998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160084.97999999998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160084.97999999998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160084.97999999998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160084.97999999998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160084.97999999998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2776159.8899999997</v>
      </c>
      <c r="F79" s="171">
        <f>F78</f>
        <v>160084.97999999998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81"/>
  <sheetViews>
    <sheetView tabSelected="1" workbookViewId="0">
      <pane xSplit="8" ySplit="4" topLeftCell="N29" activePane="bottomRight" state="frozen"/>
      <selection pane="topRight" activeCell="I1" sqref="I1"/>
      <selection pane="bottomLeft" activeCell="A5" sqref="A5"/>
      <selection pane="bottomRight" activeCell="R34" sqref="R3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174" customWidth="1"/>
    <col min="20" max="20" width="11.42578125" style="7"/>
  </cols>
  <sheetData>
    <row r="1" spans="1:21" ht="23.25" x14ac:dyDescent="0.35">
      <c r="B1" s="407"/>
      <c r="C1" s="409" t="s">
        <v>589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320">
        <v>44893</v>
      </c>
      <c r="C5" s="24">
        <v>3120</v>
      </c>
      <c r="D5" s="321" t="s">
        <v>47</v>
      </c>
      <c r="E5" s="322">
        <v>44893</v>
      </c>
      <c r="F5" s="27">
        <v>153815</v>
      </c>
      <c r="G5" s="323"/>
      <c r="H5" s="324">
        <v>44893</v>
      </c>
      <c r="I5" s="29">
        <v>105</v>
      </c>
      <c r="J5" s="6"/>
      <c r="K5" s="325"/>
      <c r="L5" s="8"/>
      <c r="M5" s="30">
        <f>24500+7666+45000+90000</f>
        <v>167166</v>
      </c>
      <c r="N5" s="31">
        <v>221</v>
      </c>
      <c r="O5" s="314"/>
      <c r="P5" s="32">
        <f>N5+M5+L5+I5+C5</f>
        <v>170612</v>
      </c>
      <c r="Q5" s="12">
        <f>P5-F5</f>
        <v>16797</v>
      </c>
      <c r="R5" s="283">
        <v>16797</v>
      </c>
      <c r="S5" s="369"/>
    </row>
    <row r="6" spans="1:21" ht="18" thickBot="1" x14ac:dyDescent="0.35">
      <c r="A6" s="22"/>
      <c r="B6" s="320">
        <v>44894</v>
      </c>
      <c r="C6" s="24">
        <v>0</v>
      </c>
      <c r="D6" s="326"/>
      <c r="E6" s="322">
        <v>44894</v>
      </c>
      <c r="F6" s="27">
        <v>63844</v>
      </c>
      <c r="G6" s="323"/>
      <c r="H6" s="324">
        <v>44894</v>
      </c>
      <c r="I6" s="29">
        <v>35</v>
      </c>
      <c r="J6" s="36"/>
      <c r="K6" s="327"/>
      <c r="L6" s="38"/>
      <c r="M6" s="30">
        <f>20000+46840</f>
        <v>66840</v>
      </c>
      <c r="N6" s="31">
        <v>7027</v>
      </c>
      <c r="O6" s="314"/>
      <c r="P6" s="32">
        <f>N6+M6+L6+I6+C6</f>
        <v>73902</v>
      </c>
      <c r="Q6" s="12">
        <f t="shared" ref="Q6:Q39" si="0">P6-F6</f>
        <v>10058</v>
      </c>
      <c r="R6" s="283">
        <v>10058</v>
      </c>
      <c r="S6" s="369"/>
      <c r="T6" s="8"/>
    </row>
    <row r="7" spans="1:21" ht="18" thickBot="1" x14ac:dyDescent="0.35">
      <c r="A7" s="22"/>
      <c r="B7" s="320">
        <v>44895</v>
      </c>
      <c r="C7" s="24">
        <v>0</v>
      </c>
      <c r="D7" s="328"/>
      <c r="E7" s="322">
        <v>44895</v>
      </c>
      <c r="F7" s="8">
        <v>97476</v>
      </c>
      <c r="G7" s="323"/>
      <c r="H7" s="324">
        <v>44895</v>
      </c>
      <c r="I7" s="29">
        <v>98</v>
      </c>
      <c r="J7" s="36"/>
      <c r="K7" s="329"/>
      <c r="L7" s="38"/>
      <c r="M7" s="30">
        <f>25000+68474</f>
        <v>93474</v>
      </c>
      <c r="N7" s="31">
        <v>3904</v>
      </c>
      <c r="O7" s="314"/>
      <c r="P7" s="32">
        <f>N7+M7+L7+I7+C7</f>
        <v>97476</v>
      </c>
      <c r="Q7" s="12">
        <f t="shared" si="0"/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>
        <v>0</v>
      </c>
      <c r="D8" s="328"/>
      <c r="E8" s="322">
        <v>44896</v>
      </c>
      <c r="F8" s="27">
        <v>79421</v>
      </c>
      <c r="G8" s="323"/>
      <c r="H8" s="324">
        <v>44896</v>
      </c>
      <c r="I8" s="29">
        <v>165</v>
      </c>
      <c r="J8" s="42"/>
      <c r="K8" s="330"/>
      <c r="L8" s="38"/>
      <c r="M8" s="30">
        <f>60000+30997</f>
        <v>90997</v>
      </c>
      <c r="N8" s="31">
        <v>1044</v>
      </c>
      <c r="O8" s="314"/>
      <c r="P8" s="32">
        <f t="shared" ref="P8:P40" si="1">N8+M8+L8+I8+C8</f>
        <v>92206</v>
      </c>
      <c r="Q8" s="12">
        <f t="shared" si="0"/>
        <v>12785</v>
      </c>
      <c r="R8" s="283">
        <v>12785</v>
      </c>
      <c r="S8" s="369"/>
    </row>
    <row r="9" spans="1:21" ht="18" thickBot="1" x14ac:dyDescent="0.35">
      <c r="A9" s="22"/>
      <c r="B9" s="320">
        <v>44897</v>
      </c>
      <c r="C9" s="24">
        <v>26423</v>
      </c>
      <c r="D9" s="335" t="s">
        <v>590</v>
      </c>
      <c r="E9" s="322">
        <v>44897</v>
      </c>
      <c r="F9" s="27">
        <v>135184</v>
      </c>
      <c r="G9" s="323"/>
      <c r="H9" s="324">
        <v>44897</v>
      </c>
      <c r="I9" s="29">
        <v>0</v>
      </c>
      <c r="J9" s="36"/>
      <c r="K9" s="331"/>
      <c r="L9" s="38"/>
      <c r="M9" s="30">
        <f>51241+60000</f>
        <v>111241</v>
      </c>
      <c r="N9" s="31">
        <v>2520</v>
      </c>
      <c r="O9" s="314"/>
      <c r="P9" s="32">
        <f t="shared" si="1"/>
        <v>140184</v>
      </c>
      <c r="Q9" s="12">
        <f t="shared" si="0"/>
        <v>5000</v>
      </c>
      <c r="R9" s="283">
        <v>5000</v>
      </c>
      <c r="S9" s="369"/>
    </row>
    <row r="10" spans="1:21" ht="18" thickBot="1" x14ac:dyDescent="0.35">
      <c r="A10" s="22"/>
      <c r="B10" s="320">
        <v>44898</v>
      </c>
      <c r="C10" s="24">
        <v>0</v>
      </c>
      <c r="D10" s="326"/>
      <c r="E10" s="322">
        <v>44898</v>
      </c>
      <c r="F10" s="27">
        <v>107195</v>
      </c>
      <c r="G10" s="323"/>
      <c r="H10" s="324">
        <v>44898</v>
      </c>
      <c r="I10" s="29">
        <v>142</v>
      </c>
      <c r="J10" s="36"/>
      <c r="K10" s="332"/>
      <c r="L10" s="46"/>
      <c r="M10" s="30">
        <f>60480+40000</f>
        <v>100480</v>
      </c>
      <c r="N10" s="31">
        <v>10369</v>
      </c>
      <c r="O10" s="314"/>
      <c r="P10" s="32">
        <f>N10+M10+L10+I10+C10</f>
        <v>110991</v>
      </c>
      <c r="Q10" s="12">
        <f t="shared" si="0"/>
        <v>3796</v>
      </c>
      <c r="R10" s="283">
        <v>3796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>
        <v>0</v>
      </c>
      <c r="D11" s="326"/>
      <c r="E11" s="322">
        <v>44899</v>
      </c>
      <c r="F11" s="27">
        <v>110138</v>
      </c>
      <c r="G11" s="323"/>
      <c r="H11" s="324">
        <v>44899</v>
      </c>
      <c r="I11" s="29">
        <v>18</v>
      </c>
      <c r="J11" s="42"/>
      <c r="K11" s="333"/>
      <c r="L11" s="38"/>
      <c r="M11" s="30">
        <f>16994+70000+35000</f>
        <v>121994</v>
      </c>
      <c r="N11" s="31">
        <v>4126</v>
      </c>
      <c r="O11" s="314"/>
      <c r="P11" s="32">
        <f>N11+M11+L11+I11+C11</f>
        <v>126138</v>
      </c>
      <c r="Q11" s="12">
        <f t="shared" si="0"/>
        <v>16000</v>
      </c>
      <c r="R11" s="283">
        <v>16000</v>
      </c>
      <c r="S11" s="369"/>
    </row>
    <row r="12" spans="1:21" ht="18" thickBot="1" x14ac:dyDescent="0.35">
      <c r="A12" s="22"/>
      <c r="B12" s="320">
        <v>44900</v>
      </c>
      <c r="C12" s="24">
        <v>3347</v>
      </c>
      <c r="D12" s="326" t="s">
        <v>47</v>
      </c>
      <c r="E12" s="322">
        <v>44900</v>
      </c>
      <c r="F12" s="27">
        <v>123228</v>
      </c>
      <c r="G12" s="323"/>
      <c r="H12" s="324">
        <v>44900</v>
      </c>
      <c r="I12" s="29">
        <v>172</v>
      </c>
      <c r="J12" s="36">
        <v>44900</v>
      </c>
      <c r="K12" s="334" t="s">
        <v>591</v>
      </c>
      <c r="L12" s="38">
        <v>9500</v>
      </c>
      <c r="M12" s="30">
        <f>77200+17780+14500</f>
        <v>109480</v>
      </c>
      <c r="N12" s="31">
        <v>729</v>
      </c>
      <c r="O12" s="314"/>
      <c r="P12" s="32">
        <f t="shared" si="1"/>
        <v>123228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>
        <v>0</v>
      </c>
      <c r="D13" s="328"/>
      <c r="E13" s="322">
        <v>44901</v>
      </c>
      <c r="F13" s="27">
        <v>80003</v>
      </c>
      <c r="G13" s="323"/>
      <c r="H13" s="324">
        <v>44901</v>
      </c>
      <c r="I13" s="29">
        <v>105</v>
      </c>
      <c r="J13" s="36"/>
      <c r="K13" s="327"/>
      <c r="L13" s="38"/>
      <c r="M13" s="30">
        <f>20000+60298</f>
        <v>80298</v>
      </c>
      <c r="N13" s="31">
        <v>6190</v>
      </c>
      <c r="O13" s="314"/>
      <c r="P13" s="32">
        <f t="shared" si="1"/>
        <v>86593</v>
      </c>
      <c r="Q13" s="12">
        <f t="shared" si="0"/>
        <v>6590</v>
      </c>
      <c r="R13" s="283">
        <v>6590</v>
      </c>
      <c r="S13" s="369"/>
    </row>
    <row r="14" spans="1:21" ht="18" thickBot="1" x14ac:dyDescent="0.35">
      <c r="A14" s="22"/>
      <c r="B14" s="320">
        <v>44902</v>
      </c>
      <c r="C14" s="24">
        <v>965</v>
      </c>
      <c r="D14" s="335" t="s">
        <v>592</v>
      </c>
      <c r="E14" s="322">
        <v>44902</v>
      </c>
      <c r="F14" s="27">
        <v>86227</v>
      </c>
      <c r="G14" s="323"/>
      <c r="H14" s="324">
        <v>44902</v>
      </c>
      <c r="I14" s="29">
        <v>304</v>
      </c>
      <c r="J14" s="36"/>
      <c r="K14" s="330"/>
      <c r="L14" s="38"/>
      <c r="M14" s="30">
        <f>15000+69958</f>
        <v>84958</v>
      </c>
      <c r="N14" s="31">
        <v>0</v>
      </c>
      <c r="O14" s="314"/>
      <c r="P14" s="32">
        <f t="shared" si="1"/>
        <v>86227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>
        <v>15187</v>
      </c>
      <c r="D15" s="335" t="s">
        <v>590</v>
      </c>
      <c r="E15" s="322">
        <v>44903</v>
      </c>
      <c r="F15" s="27">
        <v>85943</v>
      </c>
      <c r="G15" s="323"/>
      <c r="H15" s="324">
        <v>44903</v>
      </c>
      <c r="I15" s="29">
        <v>143</v>
      </c>
      <c r="J15" s="36"/>
      <c r="K15" s="330"/>
      <c r="L15" s="38"/>
      <c r="M15" s="30">
        <f>30000+39204</f>
        <v>69204</v>
      </c>
      <c r="N15" s="31">
        <v>1409</v>
      </c>
      <c r="O15" s="314"/>
      <c r="P15" s="32">
        <f t="shared" si="1"/>
        <v>85943</v>
      </c>
      <c r="Q15" s="12">
        <f t="shared" si="0"/>
        <v>0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>
        <v>570</v>
      </c>
      <c r="D16" s="404" t="s">
        <v>590</v>
      </c>
      <c r="E16" s="322">
        <v>44904</v>
      </c>
      <c r="F16" s="27">
        <v>133146</v>
      </c>
      <c r="G16" s="323"/>
      <c r="H16" s="324">
        <v>44904</v>
      </c>
      <c r="I16" s="29">
        <v>82</v>
      </c>
      <c r="J16" s="36"/>
      <c r="K16" s="330"/>
      <c r="L16" s="8"/>
      <c r="M16" s="30">
        <f>74080+55000</f>
        <v>129080</v>
      </c>
      <c r="N16" s="31">
        <v>3414</v>
      </c>
      <c r="O16" s="314"/>
      <c r="P16" s="32">
        <f t="shared" si="1"/>
        <v>133146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>
        <v>6397</v>
      </c>
      <c r="D17" s="335" t="s">
        <v>590</v>
      </c>
      <c r="E17" s="322">
        <v>44905</v>
      </c>
      <c r="F17" s="27">
        <v>134891</v>
      </c>
      <c r="G17" s="323"/>
      <c r="H17" s="324">
        <v>44905</v>
      </c>
      <c r="I17" s="29">
        <v>175</v>
      </c>
      <c r="J17" s="36">
        <v>44905</v>
      </c>
      <c r="K17" s="336" t="s">
        <v>593</v>
      </c>
      <c r="L17" s="46">
        <v>9500</v>
      </c>
      <c r="M17" s="30">
        <f>35000+75617</f>
        <v>110617</v>
      </c>
      <c r="N17" s="31">
        <v>8202</v>
      </c>
      <c r="O17" s="314"/>
      <c r="P17" s="32">
        <f t="shared" si="1"/>
        <v>134891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>
        <v>0</v>
      </c>
      <c r="D18" s="326"/>
      <c r="E18" s="322">
        <v>44906</v>
      </c>
      <c r="F18" s="27">
        <v>133350</v>
      </c>
      <c r="G18" s="323"/>
      <c r="H18" s="324">
        <v>44906</v>
      </c>
      <c r="I18" s="29">
        <v>385</v>
      </c>
      <c r="J18" s="36"/>
      <c r="K18" s="337"/>
      <c r="L18" s="38"/>
      <c r="M18" s="30">
        <f>10180+35000+80000</f>
        <v>125180</v>
      </c>
      <c r="N18" s="31">
        <v>7785</v>
      </c>
      <c r="O18" s="314"/>
      <c r="P18" s="32">
        <f t="shared" si="1"/>
        <v>133350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>
        <v>0</v>
      </c>
      <c r="D19" s="326"/>
      <c r="E19" s="322">
        <v>44907</v>
      </c>
      <c r="F19" s="27">
        <v>108729</v>
      </c>
      <c r="G19" s="323"/>
      <c r="H19" s="324">
        <v>44907</v>
      </c>
      <c r="I19" s="29">
        <v>111</v>
      </c>
      <c r="J19" s="36"/>
      <c r="K19" s="338"/>
      <c r="L19" s="53"/>
      <c r="M19" s="30">
        <f>80000+26700</f>
        <v>106700</v>
      </c>
      <c r="N19" s="31">
        <v>1919</v>
      </c>
      <c r="O19" s="314"/>
      <c r="P19" s="32">
        <f t="shared" si="1"/>
        <v>108730</v>
      </c>
      <c r="Q19" s="12">
        <f t="shared" si="0"/>
        <v>1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>
        <v>0</v>
      </c>
      <c r="D20" s="326"/>
      <c r="E20" s="322">
        <v>44908</v>
      </c>
      <c r="F20" s="27">
        <v>80811</v>
      </c>
      <c r="G20" s="323"/>
      <c r="H20" s="324">
        <v>44908</v>
      </c>
      <c r="I20" s="29">
        <v>107</v>
      </c>
      <c r="J20" s="36"/>
      <c r="K20" s="339"/>
      <c r="L20" s="46"/>
      <c r="M20" s="30">
        <f>20000+57356</f>
        <v>77356</v>
      </c>
      <c r="N20" s="31">
        <v>3348</v>
      </c>
      <c r="O20" s="314"/>
      <c r="P20" s="32">
        <f t="shared" si="1"/>
        <v>80811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>
        <v>4680</v>
      </c>
      <c r="D21" s="326" t="s">
        <v>47</v>
      </c>
      <c r="E21" s="322">
        <v>44909</v>
      </c>
      <c r="F21" s="27">
        <v>75497</v>
      </c>
      <c r="G21" s="323"/>
      <c r="H21" s="324">
        <v>44909</v>
      </c>
      <c r="I21" s="29">
        <v>128</v>
      </c>
      <c r="J21" s="36"/>
      <c r="K21" s="340"/>
      <c r="L21" s="46"/>
      <c r="M21" s="30">
        <f>69766</f>
        <v>69766</v>
      </c>
      <c r="N21" s="31">
        <v>923</v>
      </c>
      <c r="O21" s="314"/>
      <c r="P21" s="32">
        <f t="shared" si="1"/>
        <v>75497</v>
      </c>
      <c r="Q21" s="12" t="s">
        <v>471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>
        <v>5</v>
      </c>
      <c r="D22" s="326" t="s">
        <v>34</v>
      </c>
      <c r="E22" s="322">
        <v>44910</v>
      </c>
      <c r="F22" s="27">
        <v>110669</v>
      </c>
      <c r="G22" s="323"/>
      <c r="H22" s="324">
        <v>44910</v>
      </c>
      <c r="I22" s="29">
        <v>43</v>
      </c>
      <c r="J22" s="36"/>
      <c r="K22" s="330"/>
      <c r="L22" s="56"/>
      <c r="M22" s="30">
        <f>80000+27621</f>
        <v>107621</v>
      </c>
      <c r="N22" s="31">
        <v>3000</v>
      </c>
      <c r="O22" s="314"/>
      <c r="P22" s="32">
        <f t="shared" si="1"/>
        <v>110669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>
        <v>5522</v>
      </c>
      <c r="D23" s="335" t="s">
        <v>590</v>
      </c>
      <c r="E23" s="322">
        <v>44911</v>
      </c>
      <c r="F23" s="27">
        <v>141817</v>
      </c>
      <c r="G23" s="323"/>
      <c r="H23" s="324">
        <v>44911</v>
      </c>
      <c r="I23" s="29">
        <v>162</v>
      </c>
      <c r="J23" s="57"/>
      <c r="K23" s="341"/>
      <c r="L23" s="46"/>
      <c r="M23" s="30">
        <f>30000+70000+34433</f>
        <v>134433</v>
      </c>
      <c r="N23" s="31">
        <v>1700</v>
      </c>
      <c r="O23" s="314"/>
      <c r="P23" s="32">
        <f t="shared" si="1"/>
        <v>141817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>
        <v>0</v>
      </c>
      <c r="D24" s="328"/>
      <c r="E24" s="322">
        <v>44912</v>
      </c>
      <c r="F24" s="27">
        <v>127889</v>
      </c>
      <c r="G24" s="323"/>
      <c r="H24" s="324">
        <v>44912</v>
      </c>
      <c r="I24" s="29">
        <v>158</v>
      </c>
      <c r="J24" s="342">
        <v>44912</v>
      </c>
      <c r="K24" s="343" t="s">
        <v>594</v>
      </c>
      <c r="L24" s="61">
        <v>9500</v>
      </c>
      <c r="M24" s="30">
        <f>52373+50000</f>
        <v>102373</v>
      </c>
      <c r="N24" s="31">
        <v>15858</v>
      </c>
      <c r="O24" s="314"/>
      <c r="P24" s="32">
        <f t="shared" si="1"/>
        <v>127889</v>
      </c>
      <c r="Q24" s="12">
        <f t="shared" si="0"/>
        <v>0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>
        <v>4894</v>
      </c>
      <c r="D25" s="326" t="s">
        <v>47</v>
      </c>
      <c r="E25" s="322">
        <v>44913</v>
      </c>
      <c r="F25" s="27">
        <v>195366</v>
      </c>
      <c r="G25" s="323"/>
      <c r="H25" s="324">
        <v>44913</v>
      </c>
      <c r="I25" s="29">
        <v>108</v>
      </c>
      <c r="J25" s="62"/>
      <c r="K25" s="344"/>
      <c r="L25" s="64"/>
      <c r="M25" s="30">
        <f>105000+65000+13570</f>
        <v>183570</v>
      </c>
      <c r="N25" s="31">
        <v>6794</v>
      </c>
      <c r="O25" s="314"/>
      <c r="P25" s="32">
        <f t="shared" si="1"/>
        <v>195366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>
        <v>16579</v>
      </c>
      <c r="D26" s="326" t="s">
        <v>590</v>
      </c>
      <c r="E26" s="322">
        <v>44914</v>
      </c>
      <c r="F26" s="27">
        <v>175046</v>
      </c>
      <c r="G26" s="323"/>
      <c r="H26" s="324">
        <v>44914</v>
      </c>
      <c r="I26" s="29">
        <v>85</v>
      </c>
      <c r="J26" s="36"/>
      <c r="K26" s="343"/>
      <c r="L26" s="46"/>
      <c r="M26" s="30">
        <f>25000+110000+22264</f>
        <v>157264</v>
      </c>
      <c r="N26" s="31">
        <v>1118</v>
      </c>
      <c r="O26" s="314"/>
      <c r="P26" s="32">
        <f t="shared" si="1"/>
        <v>175046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>
        <v>2929</v>
      </c>
      <c r="D27" s="328" t="s">
        <v>595</v>
      </c>
      <c r="E27" s="322">
        <v>44915</v>
      </c>
      <c r="F27" s="27">
        <v>104482</v>
      </c>
      <c r="G27" s="323"/>
      <c r="H27" s="324">
        <v>44915</v>
      </c>
      <c r="I27" s="29">
        <v>114</v>
      </c>
      <c r="J27" s="65">
        <v>44915</v>
      </c>
      <c r="K27" s="345" t="s">
        <v>596</v>
      </c>
      <c r="L27" s="64">
        <v>14572</v>
      </c>
      <c r="M27" s="30">
        <f>51031+30000</f>
        <v>81031</v>
      </c>
      <c r="N27" s="31">
        <v>5836</v>
      </c>
      <c r="O27" s="314"/>
      <c r="P27" s="32">
        <f t="shared" si="1"/>
        <v>104482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>
        <v>0</v>
      </c>
      <c r="D28" s="328"/>
      <c r="E28" s="322">
        <v>44916</v>
      </c>
      <c r="F28" s="27">
        <v>116617</v>
      </c>
      <c r="G28" s="323"/>
      <c r="H28" s="324">
        <v>44916</v>
      </c>
      <c r="I28" s="29">
        <v>132</v>
      </c>
      <c r="J28" s="67"/>
      <c r="K28" s="346"/>
      <c r="L28" s="64"/>
      <c r="M28" s="30">
        <f>30000+67736</f>
        <v>97736</v>
      </c>
      <c r="N28" s="31">
        <v>18749</v>
      </c>
      <c r="O28" s="314"/>
      <c r="P28" s="32">
        <f t="shared" si="1"/>
        <v>116617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>
        <v>0</v>
      </c>
      <c r="D29" s="347"/>
      <c r="E29" s="322">
        <v>44917</v>
      </c>
      <c r="F29" s="27">
        <v>185061</v>
      </c>
      <c r="G29" s="323"/>
      <c r="H29" s="324">
        <v>44917</v>
      </c>
      <c r="I29" s="29">
        <v>217</v>
      </c>
      <c r="J29" s="65"/>
      <c r="K29" s="348"/>
      <c r="L29" s="64"/>
      <c r="M29" s="30">
        <f>41376+75000+60000</f>
        <v>176376</v>
      </c>
      <c r="N29" s="31">
        <v>8468</v>
      </c>
      <c r="O29" s="314"/>
      <c r="P29" s="32">
        <f t="shared" si="1"/>
        <v>185061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>
        <v>3198</v>
      </c>
      <c r="D30" s="347" t="s">
        <v>47</v>
      </c>
      <c r="E30" s="322">
        <v>44918</v>
      </c>
      <c r="F30" s="27">
        <v>189471</v>
      </c>
      <c r="G30" s="323"/>
      <c r="H30" s="324">
        <v>44918</v>
      </c>
      <c r="I30" s="29">
        <v>97</v>
      </c>
      <c r="J30" s="71"/>
      <c r="K30" s="349"/>
      <c r="L30" s="73"/>
      <c r="M30" s="30">
        <f>58812+20000+100000</f>
        <v>178812</v>
      </c>
      <c r="N30" s="31">
        <v>7364</v>
      </c>
      <c r="O30" s="314"/>
      <c r="P30" s="32">
        <f t="shared" si="1"/>
        <v>189471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>
        <v>19814</v>
      </c>
      <c r="D31" s="350" t="s">
        <v>590</v>
      </c>
      <c r="E31" s="322">
        <v>44919</v>
      </c>
      <c r="F31" s="27">
        <v>180306</v>
      </c>
      <c r="G31" s="323"/>
      <c r="H31" s="324">
        <v>44919</v>
      </c>
      <c r="I31" s="29">
        <v>84</v>
      </c>
      <c r="J31" s="71">
        <v>44919</v>
      </c>
      <c r="K31" s="351" t="s">
        <v>597</v>
      </c>
      <c r="L31" s="75">
        <v>11900</v>
      </c>
      <c r="M31" s="30">
        <f>40000+65000+30547</f>
        <v>135547</v>
      </c>
      <c r="N31" s="31">
        <v>12961</v>
      </c>
      <c r="O31" s="314"/>
      <c r="P31" s="32">
        <f t="shared" si="1"/>
        <v>180306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24">
        <v>0</v>
      </c>
      <c r="D32" s="402"/>
      <c r="E32" s="397">
        <v>44920</v>
      </c>
      <c r="F32" s="403">
        <v>0</v>
      </c>
      <c r="G32" s="399"/>
      <c r="H32" s="400">
        <v>44920</v>
      </c>
      <c r="I32" s="401">
        <v>0</v>
      </c>
      <c r="J32" s="71"/>
      <c r="K32" s="349"/>
      <c r="L32" s="73"/>
      <c r="M32" s="405">
        <v>0</v>
      </c>
      <c r="N32" s="406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>
        <v>0</v>
      </c>
      <c r="D33" s="353"/>
      <c r="E33" s="322">
        <v>44921</v>
      </c>
      <c r="F33" s="27">
        <v>117457</v>
      </c>
      <c r="G33" s="323"/>
      <c r="H33" s="324">
        <v>44921</v>
      </c>
      <c r="I33" s="29">
        <v>195</v>
      </c>
      <c r="J33" s="71"/>
      <c r="K33" s="351"/>
      <c r="L33" s="78"/>
      <c r="M33" s="30">
        <f>66443+50000</f>
        <v>116443</v>
      </c>
      <c r="N33" s="31">
        <v>819</v>
      </c>
      <c r="O33" s="314"/>
      <c r="P33" s="32">
        <f t="shared" si="1"/>
        <v>117457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>
        <v>0</v>
      </c>
      <c r="D34" s="352"/>
      <c r="E34" s="322">
        <v>44922</v>
      </c>
      <c r="F34" s="27">
        <v>61954</v>
      </c>
      <c r="G34" s="323"/>
      <c r="H34" s="324">
        <v>44922</v>
      </c>
      <c r="I34" s="29">
        <v>60</v>
      </c>
      <c r="J34" s="71"/>
      <c r="K34" s="354"/>
      <c r="L34" s="80"/>
      <c r="M34" s="30">
        <f>20000+36876</f>
        <v>56876</v>
      </c>
      <c r="N34" s="31">
        <v>5018</v>
      </c>
      <c r="O34" s="314"/>
      <c r="P34" s="32">
        <f t="shared" si="1"/>
        <v>61954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>
        <v>0</v>
      </c>
      <c r="D35" s="350"/>
      <c r="E35" s="322">
        <v>44923</v>
      </c>
      <c r="F35" s="27"/>
      <c r="G35" s="323"/>
      <c r="H35" s="324">
        <v>44923</v>
      </c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>
        <v>0</v>
      </c>
      <c r="D36" s="355"/>
      <c r="E36" s="322">
        <v>44924</v>
      </c>
      <c r="F36" s="27"/>
      <c r="G36" s="323"/>
      <c r="H36" s="324">
        <v>44924</v>
      </c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>
        <v>0</v>
      </c>
      <c r="D37" s="352"/>
      <c r="E37" s="322">
        <v>44925</v>
      </c>
      <c r="F37" s="27"/>
      <c r="G37" s="323"/>
      <c r="H37" s="324">
        <v>44925</v>
      </c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>
        <v>0</v>
      </c>
      <c r="D38" s="353"/>
      <c r="E38" s="322">
        <v>44926</v>
      </c>
      <c r="F38" s="27"/>
      <c r="G38" s="323"/>
      <c r="H38" s="324">
        <v>44926</v>
      </c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24">
        <v>0</v>
      </c>
      <c r="D39" s="396"/>
      <c r="E39" s="397">
        <v>44927</v>
      </c>
      <c r="F39" s="398"/>
      <c r="G39" s="399"/>
      <c r="H39" s="400">
        <v>44927</v>
      </c>
      <c r="I39" s="401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.75" thickTop="1" thickBot="1" x14ac:dyDescent="0.35">
      <c r="A40" s="22"/>
      <c r="B40" s="320">
        <v>44928</v>
      </c>
      <c r="C40" s="24">
        <v>0</v>
      </c>
      <c r="D40" s="355"/>
      <c r="E40" s="322">
        <v>44928</v>
      </c>
      <c r="F40" s="359"/>
      <c r="G40" s="323"/>
      <c r="H40" s="324">
        <v>44928</v>
      </c>
      <c r="I40" s="86"/>
      <c r="J40" s="71"/>
      <c r="K40" s="360"/>
      <c r="L40" s="73"/>
      <c r="M40" s="427">
        <f>SUM(M5:M39)</f>
        <v>3242913</v>
      </c>
      <c r="N40" s="429">
        <f>SUM(N5:N39)</f>
        <v>150815</v>
      </c>
      <c r="P40" s="32">
        <f t="shared" si="1"/>
        <v>3393728</v>
      </c>
      <c r="Q40" s="284">
        <f>SUM(Q5:Q39)</f>
        <v>71027</v>
      </c>
      <c r="R40" s="316">
        <f>SUM(R5:R39)</f>
        <v>71026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28"/>
      <c r="N41" s="430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113630</v>
      </c>
      <c r="D51" s="103"/>
      <c r="E51" s="104" t="s">
        <v>9</v>
      </c>
      <c r="F51" s="105">
        <f>SUM(F5:F50)</f>
        <v>3495033</v>
      </c>
      <c r="G51" s="103"/>
      <c r="H51" s="106" t="s">
        <v>10</v>
      </c>
      <c r="I51" s="107">
        <f>SUM(I5:I50)</f>
        <v>3730</v>
      </c>
      <c r="J51" s="108"/>
      <c r="K51" s="109" t="s">
        <v>11</v>
      </c>
      <c r="L51" s="110">
        <f>SUM(L5:L50)</f>
        <v>54972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58702</v>
      </c>
      <c r="L53" s="434"/>
      <c r="M53" s="435">
        <f>N40+M40</f>
        <v>3393728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3322701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0</v>
      </c>
      <c r="I55" s="439" t="s">
        <v>15</v>
      </c>
      <c r="J55" s="440"/>
      <c r="K55" s="441">
        <f>F57+F58+F59</f>
        <v>3322701</v>
      </c>
      <c r="L55" s="442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3322701</v>
      </c>
      <c r="H57" s="22"/>
      <c r="I57" s="124" t="s">
        <v>17</v>
      </c>
      <c r="J57" s="125"/>
      <c r="K57" s="443">
        <f>-C4</f>
        <v>-315698.55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420" t="s">
        <v>20</v>
      </c>
      <c r="E59" s="421"/>
      <c r="F59" s="129">
        <v>0</v>
      </c>
      <c r="I59" s="446" t="s">
        <v>168</v>
      </c>
      <c r="J59" s="447"/>
      <c r="K59" s="448">
        <f>K55+K57</f>
        <v>3007002.45</v>
      </c>
      <c r="L59" s="44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topLeftCell="A31" workbookViewId="0">
      <selection activeCell="D8" sqref="D8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/>
      <c r="B3" s="378"/>
      <c r="C3" s="256"/>
      <c r="D3" s="391"/>
      <c r="E3" s="256"/>
      <c r="F3" s="152">
        <f>C3-E3</f>
        <v>0</v>
      </c>
      <c r="J3" s="127"/>
    </row>
    <row r="4" spans="1:10" ht="22.5" customHeight="1" x14ac:dyDescent="0.25">
      <c r="A4" s="379"/>
      <c r="B4" s="380"/>
      <c r="C4" s="127"/>
      <c r="D4" s="391"/>
      <c r="E4" s="127"/>
      <c r="F4" s="188">
        <f>C4-E4+F3</f>
        <v>0</v>
      </c>
      <c r="J4" s="256"/>
    </row>
    <row r="5" spans="1:10" ht="21" customHeight="1" x14ac:dyDescent="0.25">
      <c r="A5" s="379"/>
      <c r="B5" s="380"/>
      <c r="C5" s="127"/>
      <c r="D5" s="391"/>
      <c r="E5" s="127"/>
      <c r="F5" s="188">
        <f t="shared" ref="F5:F68" si="0">C5-E5+F4</f>
        <v>0</v>
      </c>
      <c r="J5" s="127"/>
    </row>
    <row r="6" spans="1:10" ht="21" customHeight="1" x14ac:dyDescent="0.3">
      <c r="A6" s="379"/>
      <c r="B6" s="380"/>
      <c r="C6" s="127"/>
      <c r="D6" s="391"/>
      <c r="E6" s="127"/>
      <c r="F6" s="188">
        <f t="shared" si="0"/>
        <v>0</v>
      </c>
      <c r="G6" s="156"/>
      <c r="J6" s="127"/>
    </row>
    <row r="7" spans="1:10" ht="21" customHeight="1" x14ac:dyDescent="0.25">
      <c r="A7" s="379"/>
      <c r="B7" s="380"/>
      <c r="C7" s="127"/>
      <c r="D7" s="391"/>
      <c r="E7" s="127"/>
      <c r="F7" s="188">
        <f t="shared" si="0"/>
        <v>0</v>
      </c>
      <c r="J7" s="127"/>
    </row>
    <row r="8" spans="1:10" ht="21" customHeight="1" x14ac:dyDescent="0.25">
      <c r="A8" s="379"/>
      <c r="B8" s="380"/>
      <c r="C8" s="127"/>
      <c r="D8" s="391"/>
      <c r="E8" s="127"/>
      <c r="F8" s="188">
        <f t="shared" si="0"/>
        <v>0</v>
      </c>
      <c r="J8" s="127"/>
    </row>
    <row r="9" spans="1:10" ht="21" customHeight="1" x14ac:dyDescent="0.25">
      <c r="A9" s="379"/>
      <c r="B9" s="380"/>
      <c r="C9" s="127"/>
      <c r="D9" s="257"/>
      <c r="E9" s="127"/>
      <c r="F9" s="188">
        <f t="shared" si="0"/>
        <v>0</v>
      </c>
      <c r="J9" s="127"/>
    </row>
    <row r="10" spans="1:10" ht="21" customHeight="1" x14ac:dyDescent="0.25">
      <c r="A10" s="379"/>
      <c r="B10" s="380"/>
      <c r="C10" s="127"/>
      <c r="D10" s="257"/>
      <c r="E10" s="127"/>
      <c r="F10" s="188">
        <f t="shared" si="0"/>
        <v>0</v>
      </c>
      <c r="J10" s="33">
        <v>0</v>
      </c>
    </row>
    <row r="11" spans="1:10" ht="21" customHeight="1" x14ac:dyDescent="0.25">
      <c r="A11" s="379"/>
      <c r="B11" s="380"/>
      <c r="C11" s="127"/>
      <c r="D11" s="257"/>
      <c r="E11" s="127"/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/>
      <c r="B12" s="380"/>
      <c r="C12" s="127"/>
      <c r="D12" s="257"/>
      <c r="E12" s="127"/>
      <c r="F12" s="188">
        <f t="shared" si="0"/>
        <v>0</v>
      </c>
      <c r="G12" s="156"/>
    </row>
    <row r="13" spans="1:10" ht="21" customHeight="1" x14ac:dyDescent="0.25">
      <c r="A13" s="379"/>
      <c r="B13" s="380"/>
      <c r="C13" s="127"/>
      <c r="D13" s="257"/>
      <c r="E13" s="127"/>
      <c r="F13" s="188">
        <f t="shared" si="0"/>
        <v>0</v>
      </c>
    </row>
    <row r="14" spans="1:10" ht="21" customHeight="1" x14ac:dyDescent="0.25">
      <c r="A14" s="379"/>
      <c r="B14" s="380"/>
      <c r="C14" s="127"/>
      <c r="D14" s="257"/>
      <c r="E14" s="127"/>
      <c r="F14" s="188">
        <f t="shared" si="0"/>
        <v>0</v>
      </c>
    </row>
    <row r="15" spans="1:10" ht="21" customHeight="1" x14ac:dyDescent="0.25">
      <c r="A15" s="379"/>
      <c r="B15" s="380"/>
      <c r="C15" s="127"/>
      <c r="D15" s="257"/>
      <c r="E15" s="127"/>
      <c r="F15" s="188">
        <f t="shared" si="0"/>
        <v>0</v>
      </c>
    </row>
    <row r="16" spans="1:10" ht="21" customHeight="1" x14ac:dyDescent="0.25">
      <c r="A16" s="379"/>
      <c r="B16" s="380"/>
      <c r="C16" s="127"/>
      <c r="D16" s="257"/>
      <c r="E16" s="127"/>
      <c r="F16" s="188">
        <f t="shared" si="0"/>
        <v>0</v>
      </c>
    </row>
    <row r="17" spans="1:7" ht="21" customHeight="1" x14ac:dyDescent="0.25">
      <c r="A17" s="379"/>
      <c r="B17" s="380"/>
      <c r="C17" s="127"/>
      <c r="D17" s="257"/>
      <c r="E17" s="127"/>
      <c r="F17" s="188">
        <f t="shared" si="0"/>
        <v>0</v>
      </c>
    </row>
    <row r="18" spans="1:7" ht="21" customHeight="1" x14ac:dyDescent="0.25">
      <c r="A18" s="379"/>
      <c r="B18" s="380"/>
      <c r="C18" s="127"/>
      <c r="D18" s="257"/>
      <c r="E18" s="127"/>
      <c r="F18" s="188">
        <f t="shared" si="0"/>
        <v>0</v>
      </c>
    </row>
    <row r="19" spans="1:7" ht="21" customHeight="1" x14ac:dyDescent="0.25">
      <c r="A19" s="379"/>
      <c r="B19" s="380"/>
      <c r="C19" s="127"/>
      <c r="D19" s="257"/>
      <c r="E19" s="127"/>
      <c r="F19" s="188">
        <f t="shared" si="0"/>
        <v>0</v>
      </c>
    </row>
    <row r="20" spans="1:7" ht="21" customHeight="1" x14ac:dyDescent="0.25">
      <c r="A20" s="379"/>
      <c r="B20" s="380"/>
      <c r="C20" s="127"/>
      <c r="D20" s="257"/>
      <c r="E20" s="127"/>
      <c r="F20" s="188">
        <f t="shared" si="0"/>
        <v>0</v>
      </c>
    </row>
    <row r="21" spans="1:7" x14ac:dyDescent="0.25">
      <c r="A21" s="379"/>
      <c r="B21" s="380"/>
      <c r="C21" s="127"/>
      <c r="D21" s="394"/>
      <c r="E21" s="127"/>
      <c r="F21" s="188">
        <f t="shared" si="0"/>
        <v>0</v>
      </c>
    </row>
    <row r="22" spans="1:7" ht="21" customHeight="1" x14ac:dyDescent="0.25">
      <c r="A22" s="379"/>
      <c r="B22" s="380"/>
      <c r="C22" s="127"/>
      <c r="D22" s="257"/>
      <c r="E22" s="127"/>
      <c r="F22" s="188">
        <f t="shared" si="0"/>
        <v>0</v>
      </c>
    </row>
    <row r="23" spans="1:7" ht="21" customHeight="1" x14ac:dyDescent="0.25">
      <c r="A23" s="379"/>
      <c r="B23" s="380"/>
      <c r="C23" s="127"/>
      <c r="D23" s="257"/>
      <c r="E23" s="127"/>
      <c r="F23" s="188">
        <f t="shared" si="0"/>
        <v>0</v>
      </c>
    </row>
    <row r="24" spans="1:7" ht="21" customHeight="1" x14ac:dyDescent="0.3">
      <c r="A24" s="379"/>
      <c r="B24" s="380"/>
      <c r="C24" s="127"/>
      <c r="D24" s="257"/>
      <c r="E24" s="127"/>
      <c r="F24" s="188">
        <f t="shared" si="0"/>
        <v>0</v>
      </c>
      <c r="G24" s="156"/>
    </row>
    <row r="25" spans="1:7" ht="21" customHeight="1" x14ac:dyDescent="0.25">
      <c r="A25" s="379"/>
      <c r="B25" s="380"/>
      <c r="C25" s="127"/>
      <c r="D25" s="257"/>
      <c r="E25" s="127"/>
      <c r="F25" s="188">
        <f t="shared" si="0"/>
        <v>0</v>
      </c>
    </row>
    <row r="26" spans="1:7" ht="21" customHeight="1" x14ac:dyDescent="0.25">
      <c r="A26" s="379"/>
      <c r="B26" s="380"/>
      <c r="C26" s="127"/>
      <c r="D26" s="257"/>
      <c r="E26" s="127"/>
      <c r="F26" s="188">
        <f t="shared" si="0"/>
        <v>0</v>
      </c>
    </row>
    <row r="27" spans="1:7" ht="21" customHeight="1" x14ac:dyDescent="0.25">
      <c r="A27" s="379"/>
      <c r="B27" s="380"/>
      <c r="C27" s="127"/>
      <c r="D27" s="257"/>
      <c r="E27" s="127"/>
      <c r="F27" s="188">
        <f t="shared" si="0"/>
        <v>0</v>
      </c>
    </row>
    <row r="28" spans="1:7" ht="21" customHeight="1" x14ac:dyDescent="0.25">
      <c r="A28" s="379"/>
      <c r="B28" s="380"/>
      <c r="C28" s="127"/>
      <c r="D28" s="257"/>
      <c r="E28" s="127"/>
      <c r="F28" s="188">
        <f t="shared" si="0"/>
        <v>0</v>
      </c>
    </row>
    <row r="29" spans="1:7" ht="21" customHeight="1" x14ac:dyDescent="0.25">
      <c r="A29" s="379"/>
      <c r="B29" s="380"/>
      <c r="C29" s="127"/>
      <c r="D29" s="257"/>
      <c r="E29" s="127"/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0</v>
      </c>
      <c r="D79" s="191"/>
      <c r="E79" s="170">
        <f>SUM(E3:E78)</f>
        <v>0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7"/>
      <c r="C1" s="409" t="s">
        <v>125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45">
        <f>SUM(M5:M39)</f>
        <v>1636108</v>
      </c>
      <c r="N40" s="429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28"/>
      <c r="N41" s="430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45634.280000000006</v>
      </c>
      <c r="L53" s="434"/>
      <c r="M53" s="435">
        <f>N40+M40</f>
        <v>1691783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-1631962.77</v>
      </c>
      <c r="I55" s="439" t="s">
        <v>15</v>
      </c>
      <c r="J55" s="440"/>
      <c r="K55" s="441">
        <f>F57+F58+F59</f>
        <v>238822.13999999996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43">
        <f>-C4</f>
        <v>-154314.51999999999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20" t="s">
        <v>20</v>
      </c>
      <c r="E59" s="421"/>
      <c r="F59" s="129">
        <v>184342.19</v>
      </c>
      <c r="I59" s="422" t="s">
        <v>168</v>
      </c>
      <c r="J59" s="423"/>
      <c r="K59" s="424">
        <f>K55+K57</f>
        <v>84507.619999999966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7"/>
      <c r="C1" s="409" t="s">
        <v>135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27">
        <f>SUM(M5:M39)</f>
        <v>1793435</v>
      </c>
      <c r="N40" s="429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28"/>
      <c r="N41" s="430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31" t="s">
        <v>12</v>
      </c>
      <c r="I49" s="432"/>
      <c r="J49" s="114"/>
      <c r="K49" s="433">
        <f>I47+L47</f>
        <v>90434.03</v>
      </c>
      <c r="L49" s="434"/>
      <c r="M49" s="435">
        <f>N40+M40</f>
        <v>1857430</v>
      </c>
      <c r="N49" s="436"/>
      <c r="P49" s="32"/>
      <c r="Q49" s="8"/>
    </row>
    <row r="50" spans="1:17" ht="15.75" x14ac:dyDescent="0.25">
      <c r="D50" s="437" t="s">
        <v>13</v>
      </c>
      <c r="E50" s="437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38" t="s">
        <v>14</v>
      </c>
      <c r="E51" s="438"/>
      <c r="F51" s="111">
        <v>-1848136.64</v>
      </c>
      <c r="I51" s="439" t="s">
        <v>15</v>
      </c>
      <c r="J51" s="440"/>
      <c r="K51" s="441">
        <f>F53+F54+F55</f>
        <v>195541.70000000007</v>
      </c>
      <c r="L51" s="442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43">
        <f>-C4</f>
        <v>-184342.19</v>
      </c>
      <c r="L53" s="444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20" t="s">
        <v>20</v>
      </c>
      <c r="E55" s="421"/>
      <c r="F55" s="129">
        <v>219417.37</v>
      </c>
      <c r="I55" s="422" t="s">
        <v>226</v>
      </c>
      <c r="J55" s="423"/>
      <c r="K55" s="424">
        <f>K51+K53</f>
        <v>11199.510000000068</v>
      </c>
      <c r="L55" s="424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7"/>
      <c r="C1" s="409" t="s">
        <v>225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27">
        <f>SUM(M5:M39)</f>
        <v>2146671</v>
      </c>
      <c r="N40" s="429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28"/>
      <c r="N41" s="430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91272.77</v>
      </c>
      <c r="L53" s="434"/>
      <c r="M53" s="435">
        <f>N40+M40</f>
        <v>2215261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-2227493.48</v>
      </c>
      <c r="I55" s="439" t="s">
        <v>15</v>
      </c>
      <c r="J55" s="440"/>
      <c r="K55" s="441">
        <f>F57+F58+F59</f>
        <v>261521.34000000003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43">
        <f>-C4</f>
        <v>-219417.37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20" t="s">
        <v>20</v>
      </c>
      <c r="E59" s="421"/>
      <c r="F59" s="129">
        <v>297874.59000000003</v>
      </c>
      <c r="I59" s="422" t="s">
        <v>168</v>
      </c>
      <c r="J59" s="423"/>
      <c r="K59" s="424">
        <f>K55+K57</f>
        <v>42103.97000000003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07"/>
      <c r="C1" s="409" t="s">
        <v>277</v>
      </c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21" ht="16.5" thickBot="1" x14ac:dyDescent="0.3">
      <c r="B2" s="408"/>
      <c r="C2" s="2"/>
      <c r="H2" s="4"/>
      <c r="I2" s="5"/>
      <c r="J2" s="6"/>
      <c r="L2" s="7"/>
      <c r="M2" s="5"/>
      <c r="N2" s="8"/>
    </row>
    <row r="3" spans="1:21" ht="21.75" thickBot="1" x14ac:dyDescent="0.35">
      <c r="B3" s="411" t="s">
        <v>0</v>
      </c>
      <c r="C3" s="412"/>
      <c r="D3" s="9"/>
      <c r="E3" s="10"/>
      <c r="F3" s="10"/>
      <c r="H3" s="413" t="s">
        <v>1</v>
      </c>
      <c r="I3" s="413"/>
      <c r="K3" s="12"/>
      <c r="L3" s="12"/>
      <c r="M3" s="4"/>
      <c r="R3" s="418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14" t="s">
        <v>3</v>
      </c>
      <c r="F4" s="415"/>
      <c r="H4" s="416" t="s">
        <v>4</v>
      </c>
      <c r="I4" s="417"/>
      <c r="J4" s="17"/>
      <c r="K4" s="18"/>
      <c r="L4" s="19"/>
      <c r="M4" s="20" t="s">
        <v>5</v>
      </c>
      <c r="N4" s="21" t="s">
        <v>6</v>
      </c>
      <c r="P4" s="425" t="s">
        <v>7</v>
      </c>
      <c r="Q4" s="426"/>
      <c r="R4" s="419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27">
        <f>SUM(M5:M39)</f>
        <v>2144215</v>
      </c>
      <c r="N40" s="429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28"/>
      <c r="N41" s="430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31" t="s">
        <v>12</v>
      </c>
      <c r="I53" s="432"/>
      <c r="J53" s="114"/>
      <c r="K53" s="433">
        <f>I51+L51</f>
        <v>51231.42</v>
      </c>
      <c r="L53" s="434"/>
      <c r="M53" s="435">
        <f>N40+M40</f>
        <v>2206740</v>
      </c>
      <c r="N53" s="436"/>
      <c r="P53" s="32"/>
      <c r="Q53" s="8"/>
    </row>
    <row r="54" spans="1:17" ht="15.75" x14ac:dyDescent="0.25">
      <c r="D54" s="437" t="s">
        <v>13</v>
      </c>
      <c r="E54" s="437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38" t="s">
        <v>14</v>
      </c>
      <c r="E55" s="438"/>
      <c r="F55" s="111">
        <v>-2251924.65</v>
      </c>
      <c r="I55" s="439" t="s">
        <v>15</v>
      </c>
      <c r="J55" s="440"/>
      <c r="K55" s="441">
        <f>F57+F58+F59</f>
        <v>112552.74000000017</v>
      </c>
      <c r="L55" s="442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43">
        <f>-C4</f>
        <v>-297874.59000000003</v>
      </c>
      <c r="L57" s="444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20" t="s">
        <v>20</v>
      </c>
      <c r="E59" s="421"/>
      <c r="F59" s="129">
        <v>149938.81</v>
      </c>
      <c r="I59" s="422" t="s">
        <v>325</v>
      </c>
      <c r="J59" s="423"/>
      <c r="K59" s="424">
        <f>K55+K57</f>
        <v>-185321.84999999986</v>
      </c>
      <c r="L59" s="424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2023-02-04T21:48:40Z</dcterms:modified>
</cp:coreProperties>
</file>