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0" yWindow="0" windowWidth="16710" windowHeight="10305" firstSheet="8" activeTab="10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    J U N I O     2 0 2 2      " sheetId="11" r:id="rId11"/>
    <sheet name=" REMISIONES   JUNIO   2022   " sheetId="12" r:id="rId12"/>
    <sheet name="    J U L I O     2 0 2 2     " sheetId="13" r:id="rId13"/>
    <sheet name="  REMISIONES   JULIO  2022    " sheetId="14" r:id="rId14"/>
    <sheet name="Hoja3" sheetId="15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1" l="1"/>
  <c r="E79" i="14" l="1"/>
  <c r="C79" i="14"/>
  <c r="J11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P33" i="13"/>
  <c r="P39" i="13"/>
  <c r="M32" i="13"/>
  <c r="M31" i="13" l="1"/>
  <c r="M30" i="13" l="1"/>
  <c r="M29" i="13"/>
  <c r="M28" i="13"/>
  <c r="M27" i="13"/>
  <c r="M26" i="13"/>
  <c r="M25" i="13" l="1"/>
  <c r="M24" i="13"/>
  <c r="M23" i="13"/>
  <c r="M22" i="13"/>
  <c r="M21" i="13" l="1"/>
  <c r="M20" i="13"/>
  <c r="M19" i="13" l="1"/>
  <c r="M18" i="13"/>
  <c r="R40" i="13" l="1"/>
  <c r="M17" i="13"/>
  <c r="M16" i="13"/>
  <c r="M15" i="13"/>
  <c r="F51" i="13" l="1"/>
  <c r="M12" i="13" l="1"/>
  <c r="M13" i="13"/>
  <c r="M11" i="13" l="1"/>
  <c r="M10" i="13"/>
  <c r="M9" i="13" l="1"/>
  <c r="M8" i="13"/>
  <c r="M7" i="13"/>
  <c r="Q34" i="13"/>
  <c r="Q35" i="13"/>
  <c r="Q36" i="13"/>
  <c r="Q37" i="13"/>
  <c r="Q38" i="13"/>
  <c r="Q39" i="13"/>
  <c r="M6" i="13"/>
  <c r="M5" i="13"/>
  <c r="K57" i="13" l="1"/>
  <c r="I51" i="13"/>
  <c r="C51" i="13"/>
  <c r="L51" i="13"/>
  <c r="N40" i="13"/>
  <c r="Q33" i="13"/>
  <c r="P32" i="13"/>
  <c r="Q32" i="13" s="1"/>
  <c r="P31" i="13"/>
  <c r="Q31" i="13" s="1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P14" i="13"/>
  <c r="Q14" i="13" s="1"/>
  <c r="P13" i="13"/>
  <c r="P12" i="13"/>
  <c r="Q12" i="13" s="1"/>
  <c r="P11" i="13"/>
  <c r="Q11" i="13" s="1"/>
  <c r="P10" i="13"/>
  <c r="P9" i="13"/>
  <c r="Q9" i="13" s="1"/>
  <c r="P8" i="13"/>
  <c r="Q8" i="13" s="1"/>
  <c r="P7" i="13"/>
  <c r="Q7" i="13" s="1"/>
  <c r="P6" i="13"/>
  <c r="M40" i="13"/>
  <c r="P40" i="13" l="1"/>
  <c r="Q40" i="13"/>
  <c r="M53" i="13"/>
  <c r="K53" i="13"/>
  <c r="F54" i="13" s="1"/>
  <c r="F57" i="13" s="1"/>
  <c r="K55" i="13" s="1"/>
  <c r="K59" i="13" s="1"/>
  <c r="P5" i="13"/>
  <c r="L45" i="11" l="1"/>
  <c r="M39" i="11" l="1"/>
  <c r="M38" i="11"/>
  <c r="M37" i="11"/>
  <c r="M36" i="11"/>
  <c r="P36" i="11" s="1"/>
  <c r="P35" i="11"/>
  <c r="P37" i="11"/>
  <c r="P38" i="11"/>
  <c r="P39" i="11"/>
  <c r="M35" i="11"/>
  <c r="M34" i="11"/>
  <c r="M33" i="11"/>
  <c r="M32" i="11"/>
  <c r="M31" i="11"/>
  <c r="M30" i="11" l="1"/>
  <c r="M29" i="11"/>
  <c r="M27" i="11"/>
  <c r="M26" i="11"/>
  <c r="M25" i="11"/>
  <c r="M24" i="11"/>
  <c r="M23" i="11"/>
  <c r="M22" i="11" l="1"/>
  <c r="M20" i="11"/>
  <c r="J11" i="12" l="1"/>
  <c r="J14" i="10"/>
  <c r="E10" i="10"/>
  <c r="I42" i="8"/>
  <c r="M19" i="11" l="1"/>
  <c r="M18" i="11"/>
  <c r="M17" i="11"/>
  <c r="M16" i="11" l="1"/>
  <c r="M15" i="11" l="1"/>
  <c r="M14" i="11"/>
  <c r="M13" i="11"/>
  <c r="M12" i="11"/>
  <c r="M11" i="11"/>
  <c r="M10" i="11"/>
  <c r="M9" i="11"/>
  <c r="Q35" i="11"/>
  <c r="Q36" i="11"/>
  <c r="Q37" i="11"/>
  <c r="Q38" i="11"/>
  <c r="Q39" i="11"/>
  <c r="Q7" i="11"/>
  <c r="M8" i="11"/>
  <c r="M7" i="11"/>
  <c r="P7" i="11"/>
  <c r="P8" i="11"/>
  <c r="P9" i="11"/>
  <c r="Q9" i="11" s="1"/>
  <c r="P10" i="11"/>
  <c r="Q10" i="11" s="1"/>
  <c r="M6" i="11"/>
  <c r="M5" i="11"/>
  <c r="E79" i="12" l="1"/>
  <c r="C79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K57" i="11"/>
  <c r="L51" i="11"/>
  <c r="I51" i="11"/>
  <c r="C51" i="11"/>
  <c r="N40" i="1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M40" i="11"/>
  <c r="P5" i="11"/>
  <c r="K53" i="11" l="1"/>
  <c r="F54" i="11" s="1"/>
  <c r="F57" i="11" s="1"/>
  <c r="K55" i="11" s="1"/>
  <c r="K59" i="11" s="1"/>
  <c r="M53" i="11"/>
  <c r="Q5" i="11"/>
  <c r="P6" i="11"/>
  <c r="C51" i="9"/>
  <c r="M29" i="9"/>
  <c r="M28" i="9"/>
  <c r="M27" i="9"/>
  <c r="P40" i="11" l="1"/>
  <c r="Q40" i="11" s="1"/>
  <c r="L40" i="6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N40" i="9"/>
  <c r="Q39" i="9"/>
  <c r="Q38" i="9"/>
  <c r="Q37" i="9"/>
  <c r="Q36" i="9"/>
  <c r="Q35" i="9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<sst xmlns="http://schemas.openxmlformats.org/spreadsheetml/2006/main" count="767" uniqueCount="421">
  <si>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</si>
  <si>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</si>
  <si>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</si>
  <si>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</si>
  <si>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</si>
  <si>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</si>
  <si>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</si>
  <si>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</si>
  <si>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</si>
  <si>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</si>
  <si>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</si>
  <si>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</si>
  <si>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</si>
  <si>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</si>
  <si>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</si>
  <si>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</si>
  <si>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</si>
  <si>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</si>
  <si>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</si>
  <si>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</si>
  <si>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</si>
  <si>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</si>
  <si>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</si>
  <si>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</si>
  <si>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</si>
  <si>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</si>
  <si>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</si>
  <si>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</si>
  <si>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</si>
  <si>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</si>
  <si>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</si>
  <si>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</si>
  <si>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</si>
  <si>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</si>
  <si>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</si>
  <si>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</si>
  <si>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</si>
  <si>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</si>
  <si>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</si>
  <si>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</si>
  <si>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</si>
  <si>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</si>
  <si>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</si>
  <si>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</si>
  <si>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</si>
  <si>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</si>
  <si>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</si>
  <si>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</si>
  <si>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</si>
  <si>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</si>
  <si>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</si>
  <si>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</si>
  <si>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</si>
  <si>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</si>
  <si>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</si>
  <si>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</si>
  <si>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</si>
  <si>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</si>
  <si>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</si>
  <si>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</si>
  <si>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</si>
  <si>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</si>
  <si>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</si>
  <si>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</si>
  <si>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</si>
  <si>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</si>
  <si>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</si>
  <si>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</si>
  <si>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</si>
  <si>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</si>
  <si>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</si>
  <si>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</si>
  <si>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</si>
  <si>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</si>
  <si>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</si>
  <si>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</si>
  <si>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</si>
  <si>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</si>
  <si>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</si>
  <si>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</si>
  <si>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</si>
  <si>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</si>
  <si>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</si>
  <si>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</si>
  <si>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</si>
  <si>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</si>
  <si>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</si>
  <si>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</si>
  <si>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</si>
  <si>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</si>
  <si>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</si>
  <si>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</si>
  <si>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</si>
  <si>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</si>
  <si>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</si>
  <si>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</si>
  <si>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</si>
  <si>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</si>
  <si>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</si>
  <si>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</si>
  <si>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</si>
  <si>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</si>
  <si>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</si>
  <si>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</si>
  <si>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</si>
  <si>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</si>
  <si>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</si>
  <si>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</si>
  <si>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</si>
  <si>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</si>
  <si>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</si>
  <si>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</si>
  <si>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</si>
  <si>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</si>
  <si>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</si>
  <si>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</si>
  <si>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</si>
  <si>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</si>
  <si>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</si>
  <si>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</si>
  <si>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</si>
  <si>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</si>
  <si>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</si>
  <si>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</si>
  <si>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</si>
  <si>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</si>
  <si>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</si>
  <si>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</si>
  <si>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</si>
  <si>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</si>
  <si>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</si>
  <si>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</si>
  <si>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</si>
  <si>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</si>
  <si>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</si>
  <si>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</si>
  <si>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</si>
  <si>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</si>
  <si>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</si>
  <si>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</si>
  <si>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</si>
  <si>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</si>
  <si>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</si>
  <si>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</si>
  <si>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</si>
  <si>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</si>
  <si>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</si>
  <si>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</si>
  <si>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</si>
  <si>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</si>
  <si>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</si>
  <si>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</si>
  <si>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</si>
  <si>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</si>
  <si>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</si>
  <si>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</si>
  <si>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</si>
  <si>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</si>
  <si>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</si>
  <si>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</si>
  <si>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</si>
  <si>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</si>
  <si>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</si>
  <si>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</si>
  <si>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</si>
  <si>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</si>
  <si>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</si>
  <si>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</si>
  <si>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</si>
  <si>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</si>
  <si>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</si>
  <si>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</si>
  <si>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</si>
  <si>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</si>
  <si>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</si>
  <si>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</si>
  <si>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</si>
  <si>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</si>
  <si>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</si>
  <si>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</si>
  <si>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</si>
  <si>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</si>
  <si>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</si>
  <si>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</si>
  <si>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</si>
  <si>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</si>
  <si>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</si>
  <si>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</si>
  <si>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</si>
  <si>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</si>
  <si>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</si>
  <si>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</si>
  <si>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</si>
  <si>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</si>
  <si>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</si>
  <si>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</si>
  <si>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</si>
  <si>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</si>
  <si>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</si>
  <si>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</si>
  <si>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</si>
  <si>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</si>
  <si>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</si>
  <si>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</si>
  <si>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</si>
  <si>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</si>
  <si>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</si>
  <si>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</si>
  <si>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</si>
  <si>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</si>
  <si>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</si>
  <si>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</si>
  <si>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</si>
  <si>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</si>
  <si>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</si>
  <si>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</si>
  <si>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</si>
  <si>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</si>
  <si>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</si>
  <si>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</si>
  <si>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</si>
  <si>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</si>
  <si>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</si>
  <si>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</si>
  <si>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</si>
  <si>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</si>
  <si>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</si>
  <si>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</si>
  <si>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</si>
  <si>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</si>
  <si>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</si>
  <si>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</si>
  <si>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</si>
  <si>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</si>
  <si>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</si>
  <si>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</si>
  <si>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</si>
  <si>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</si>
  <si>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</si>
  <si>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</si>
  <si>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</si>
  <si>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</si>
  <si>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</si>
  <si>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</si>
  <si>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</si>
  <si>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</si>
  <si>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</si>
  <si>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</si>
  <si>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</si>
  <si>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</si>
  <si>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</si>
  <si>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</si>
  <si>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</si>
  <si>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</si>
  <si>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</si>
  <si>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</si>
  <si>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</si>
  <si>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</si>
  <si>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</si>
  <si>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</si>
  <si>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</si>
  <si>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</si>
  <si>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</si>
  <si>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</si>
  <si>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</si>
  <si>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</si>
  <si>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</si>
  <si>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</si>
  <si>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</si>
  <si>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</si>
  <si>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</si>
  <si>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</si>
  <si>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</si>
  <si>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</si>
  <si>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</si>
  <si>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</si>
  <si>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</si>
  <si>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</si>
  <si>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</si>
  <si>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</si>
  <si>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</si>
  <si>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</si>
  <si>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</si>
  <si>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</si>
  <si>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</si>
  <si>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</si>
  <si>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</si>
  <si>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</si>
  <si>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</si>
  <si>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</si>
  <si>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</si>
  <si>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</si>
  <si>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</si>
  <si>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</si>
  <si>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</si>
  <si>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</si>
  <si>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</si>
  <si>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</si>
  <si>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</si>
  <si>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</si>
  <si>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</si>
  <si>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</si>
  <si>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</si>
  <si>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</si>
  <si>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</si>
  <si>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</si>
  <si>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</si>
  <si>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</si>
  <si>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</si>
  <si>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</si>
  <si>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</si>
  <si>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</si>
  <si>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</si>
  <si>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</si>
  <si>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</si>
  <si>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</si>
  <si>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</si>
  <si>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</si>
  <si>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</si>
  <si>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</si>
  <si>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</si>
  <si>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 xml:space="preserve">SEGURO </t>
  </si>
  <si>
    <t>SEGURO</t>
  </si>
  <si>
    <t>COMPRAS CENTRAL-CHORIZO-ARABE</t>
  </si>
  <si>
    <t>BASCULA</t>
  </si>
  <si>
    <t>PERDIDA</t>
  </si>
  <si>
    <t>BALANCE      ABASTO 4 CARNES    H E R R A D U R A    JUNIO        2 0 2 2</t>
  </si>
  <si>
    <t>24008 C</t>
  </si>
  <si>
    <t>24015 C</t>
  </si>
  <si>
    <t>24128 C</t>
  </si>
  <si>
    <t>24224 C</t>
  </si>
  <si>
    <t>24276 C</t>
  </si>
  <si>
    <t>24490 C</t>
  </si>
  <si>
    <t>24532 C</t>
  </si>
  <si>
    <t>24642 C</t>
  </si>
  <si>
    <t>24784 C</t>
  </si>
  <si>
    <t>24797 C</t>
  </si>
  <si>
    <t>24798 C</t>
  </si>
  <si>
    <t>24916 C</t>
  </si>
  <si>
    <t>00019 D</t>
  </si>
  <si>
    <t>00141 D</t>
  </si>
  <si>
    <t>CASERA-ARABE</t>
  </si>
  <si>
    <t>NOMINA # 23</t>
  </si>
  <si>
    <t>NOMIINA # 24</t>
  </si>
  <si>
    <r>
      <t>6-May-22---</t>
    </r>
    <r>
      <rPr>
        <b/>
        <sz val="11"/>
        <color theme="5" tint="-0.499984740745262"/>
        <rFont val="Calibri"/>
        <family val="2"/>
        <scheme val="minor"/>
      </rPr>
      <t>13-May-22</t>
    </r>
  </si>
  <si>
    <t>00238 D</t>
  </si>
  <si>
    <t>00332 D</t>
  </si>
  <si>
    <t>00499 D</t>
  </si>
  <si>
    <t>00500 D</t>
  </si>
  <si>
    <t>00639 D</t>
  </si>
  <si>
    <t>00741 D</t>
  </si>
  <si>
    <t>00887 D</t>
  </si>
  <si>
    <t>00890 D</t>
  </si>
  <si>
    <t>00955 D</t>
  </si>
  <si>
    <t>00959 D</t>
  </si>
  <si>
    <t>00960 D</t>
  </si>
  <si>
    <t>COMPRAS CENTRAL  R-4513-4519-4523-4528-4535-4545-4546-4560-</t>
  </si>
  <si>
    <t>NOMINA # 25</t>
  </si>
  <si>
    <t>ESTHER ALARCON Vacacione</t>
  </si>
  <si>
    <t>COMPRAS CENTRAL  R-4575-4580-4600-4628-4629</t>
  </si>
  <si>
    <t>NOMINA # 26</t>
  </si>
  <si>
    <t>NOMINA # 27</t>
  </si>
  <si>
    <t>SUELDO ESTHER</t>
  </si>
  <si>
    <t>1132 D</t>
  </si>
  <si>
    <t>1344 D</t>
  </si>
  <si>
    <t>1485 D</t>
  </si>
  <si>
    <t>1593 D</t>
  </si>
  <si>
    <t>1680 D</t>
  </si>
  <si>
    <t>1909 D</t>
  </si>
  <si>
    <t>1952 D</t>
  </si>
  <si>
    <t>2070 D</t>
  </si>
  <si>
    <t>2216 D</t>
  </si>
  <si>
    <t>2400 D</t>
  </si>
  <si>
    <t>2603 D</t>
  </si>
  <si>
    <t>2645 D</t>
  </si>
  <si>
    <t>JUNIO</t>
  </si>
  <si>
    <t xml:space="preserve">BASCULAS </t>
  </si>
  <si>
    <t>JUNGHANNS</t>
  </si>
  <si>
    <t>COMISIONES BANCO</t>
  </si>
  <si>
    <t>JULIO</t>
  </si>
  <si>
    <t>BALANCE      ABASTO 4 CARNES    H E R R A D U R A    JULIO        2 0 2 2</t>
  </si>
  <si>
    <t>NOMINA # 28</t>
  </si>
  <si>
    <t>LONGANIZA-TOSTADAS-TOTOPOS-CHORIZO</t>
  </si>
  <si>
    <t>CHORIZO--LONGANIZA</t>
  </si>
  <si>
    <t>SALMON</t>
  </si>
  <si>
    <t>Nomina # 29</t>
  </si>
  <si>
    <t>arabe</t>
  </si>
  <si>
    <t>Nomina # 30</t>
  </si>
  <si>
    <t>Longaniza</t>
  </si>
  <si>
    <t>Nomina # 31</t>
  </si>
  <si>
    <t>02901 D</t>
  </si>
  <si>
    <t>02902 D</t>
  </si>
  <si>
    <t>03073 D</t>
  </si>
  <si>
    <t>03205 D</t>
  </si>
  <si>
    <t>03293 D</t>
  </si>
  <si>
    <t>03316 D</t>
  </si>
  <si>
    <t>03364D</t>
  </si>
  <si>
    <t>03460 D</t>
  </si>
  <si>
    <t>03596 D</t>
  </si>
  <si>
    <t>03727 D</t>
  </si>
  <si>
    <t>03818 D</t>
  </si>
  <si>
    <t>03947 D</t>
  </si>
  <si>
    <t>04046 D</t>
  </si>
  <si>
    <t>04166 D</t>
  </si>
  <si>
    <t>04278 D</t>
  </si>
  <si>
    <t>04333 D</t>
  </si>
  <si>
    <t>04460 D</t>
  </si>
  <si>
    <t>04549 D</t>
  </si>
  <si>
    <t>04657 D</t>
  </si>
  <si>
    <t>04773 D</t>
  </si>
  <si>
    <t>04891 D</t>
  </si>
  <si>
    <t>04978 D</t>
  </si>
  <si>
    <t>05058 D</t>
  </si>
  <si>
    <t>05313 D</t>
  </si>
  <si>
    <t>05349 D</t>
  </si>
  <si>
    <t>05532 D</t>
  </si>
  <si>
    <t>05535 D</t>
  </si>
  <si>
    <t>05582 D</t>
  </si>
  <si>
    <t xml:space="preserve">LUZ </t>
  </si>
  <si>
    <t>Julio</t>
  </si>
  <si>
    <t>comisiones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</si>
</sst>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6" fillId="0" borderId="21" xfId="0" applyFont="1" applyFill="1" applyBorder="1" applyAlignment="1">
      <alignment vertical="center"/>
    </xf>
    <xf numFmtId="0" fontId="19" fillId="0" borderId="28" xfId="0" applyFont="1" applyFill="1" applyBorder="1" applyAlignment="1">
      <alignment horizontal="left"/>
    </xf>
    <xf numFmtId="44" fontId="19" fillId="0" borderId="0" xfId="1" applyFont="1" applyFill="1" applyBorder="1"/>
    <xf numFmtId="0" fontId="19" fillId="7" borderId="25" xfId="0" applyFont="1" applyFill="1" applyBorder="1" applyAlignment="1">
      <alignment horizontal="center"/>
    </xf>
    <xf numFmtId="16" fontId="16" fillId="0" borderId="25" xfId="0" applyNumberFormat="1" applyFont="1" applyFill="1" applyBorder="1" applyAlignment="1">
      <alignment horizontal="left"/>
    </xf>
    <xf numFmtId="44" fontId="2" fillId="0" borderId="0" xfId="0" applyNumberFormat="1" applyFont="1"/>
    <xf numFmtId="164" fontId="46" fillId="0" borderId="63" xfId="0" applyNumberFormat="1" applyFont="1" applyFill="1" applyBorder="1"/>
    <xf numFmtId="44" fontId="51" fillId="0" borderId="63" xfId="1" applyFont="1" applyFill="1" applyBorder="1"/>
    <xf numFmtId="44" fontId="51" fillId="0" borderId="25" xfId="1" applyFont="1" applyFill="1" applyBorder="1"/>
    <xf numFmtId="164" fontId="46" fillId="0" borderId="63" xfId="0" applyNumberFormat="1" applyFont="1" applyFill="1" applyBorder="1" applyAlignment="1">
      <alignment wrapText="1"/>
    </xf>
    <xf numFmtId="164" fontId="52" fillId="0" borderId="25" xfId="0" applyNumberFormat="1" applyFont="1" applyFill="1" applyBorder="1"/>
    <xf numFmtId="164" fontId="45" fillId="0" borderId="25" xfId="0" applyNumberFormat="1" applyFont="1" applyFill="1" applyBorder="1"/>
    <xf numFmtId="44" fontId="48" fillId="0" borderId="25" xfId="1" applyFont="1" applyFill="1" applyBorder="1"/>
    <xf numFmtId="44" fontId="52" fillId="0" borderId="25" xfId="1" applyFont="1" applyFill="1" applyBorder="1"/>
    <xf numFmtId="164" fontId="19" fillId="0" borderId="25" xfId="0" applyNumberFormat="1" applyFont="1" applyFill="1" applyBorder="1"/>
    <xf numFmtId="44" fontId="11" fillId="0" borderId="25" xfId="1" applyFont="1" applyFill="1" applyBorder="1"/>
    <xf numFmtId="164" fontId="45" fillId="0" borderId="63" xfId="0" applyNumberFormat="1" applyFont="1" applyFill="1" applyBorder="1"/>
    <xf numFmtId="44" fontId="48" fillId="0" borderId="63" xfId="1" applyFont="1" applyFill="1" applyBorder="1"/>
    <xf numFmtId="0" fontId="53" fillId="0" borderId="25" xfId="0" applyFont="1" applyFill="1" applyBorder="1" applyAlignment="1">
      <alignment horizontal="left"/>
    </xf>
    <xf numFmtId="15" fontId="2" fillId="0" borderId="64" xfId="0" applyNumberFormat="1" applyFont="1" applyFill="1" applyBorder="1"/>
    <xf numFmtId="0" fontId="11" fillId="0" borderId="25" xfId="0" applyFont="1" applyFill="1" applyBorder="1" applyAlignment="1">
      <alignment horizontal="center"/>
    </xf>
    <xf numFmtId="44" fontId="3" fillId="7" borderId="0" xfId="1" applyFont="1" applyFill="1"/>
    <xf numFmtId="44" fontId="3" fillId="0" borderId="65" xfId="1" applyFont="1" applyFill="1" applyBorder="1"/>
    <xf numFmtId="44" fontId="3" fillId="0" borderId="48" xfId="1" applyFont="1" applyFill="1" applyBorder="1"/>
    <xf numFmtId="44" fontId="54" fillId="0" borderId="0" xfId="1" applyFont="1" applyFill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16" fillId="0" borderId="25" xfId="0" applyFont="1" applyFill="1" applyBorder="1" applyAlignment="1">
      <alignment horizontal="left"/>
    </xf>
    <xf numFmtId="0" fontId="13" fillId="7" borderId="25" xfId="0" applyFont="1" applyFill="1" applyBorder="1" applyAlignment="1">
      <alignment horizontal="center" wrapText="1"/>
    </xf>
    <xf numFmtId="165" fontId="11" fillId="0" borderId="25" xfId="1" applyNumberFormat="1" applyFont="1" applyFill="1" applyBorder="1" applyAlignment="1">
      <alignment horizontal="center"/>
    </xf>
    <xf numFmtId="0" fontId="24" fillId="0" borderId="25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FF99"/>
      <color rgb="FF0000FF"/>
      <color rgb="FF800000"/>
      <color rgb="FFFF66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98298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03250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98107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89439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0637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06584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164907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21443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1630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107632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24777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324"/>
      <c r="C1" s="326" t="s">
        <v>28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18" ht="16.5" thickBot="1" x14ac:dyDescent="0.3">
      <c r="B2" s="325"/>
      <c r="C2" s="3"/>
      <c r="H2" s="5"/>
      <c r="I2" s="6"/>
      <c r="J2" s="7"/>
      <c r="L2" s="8"/>
      <c r="M2" s="6"/>
      <c r="N2" s="9"/>
    </row>
    <row r="3" spans="1:18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6">
        <f>SUM(M5:M39)</f>
        <v>1527030</v>
      </c>
      <c r="N40" s="308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7"/>
      <c r="N41" s="30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50143.28</v>
      </c>
      <c r="L53" s="313"/>
      <c r="M53" s="314">
        <f>N40+M40</f>
        <v>1577043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-1419082.77</v>
      </c>
      <c r="I55" s="318" t="s">
        <v>15</v>
      </c>
      <c r="J55" s="319"/>
      <c r="K55" s="320">
        <f>F57+F58+F59</f>
        <v>296963.46999999997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22">
        <f>-C4</f>
        <v>-221059.7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9" t="s">
        <v>20</v>
      </c>
      <c r="E59" s="300"/>
      <c r="F59" s="134">
        <v>154314.51999999999</v>
      </c>
      <c r="I59" s="301" t="s">
        <v>168</v>
      </c>
      <c r="J59" s="302"/>
      <c r="K59" s="303">
        <f>K55+K57</f>
        <v>75903.76999999996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15"/>
  <sheetViews>
    <sheetView topLeftCell="A19" workbookViewId="0">
      <selection activeCell="E36" sqref="E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0" width="22.28515625" style="1" customWidth="1"/>
    <col min="11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15.75" x14ac:dyDescent="0.25">
      <c r="A3" s="264">
        <v>44683</v>
      </c>
      <c r="B3" s="265" t="s">
        <v>281</v>
      </c>
      <c r="C3" s="266">
        <v>12615</v>
      </c>
      <c r="D3" s="278">
        <v>44687</v>
      </c>
      <c r="E3" s="279">
        <v>12615</v>
      </c>
      <c r="F3" s="158">
        <f>C3-E3</f>
        <v>0</v>
      </c>
      <c r="J3" s="132"/>
    </row>
    <row r="4" spans="1:10" ht="15.75" x14ac:dyDescent="0.25">
      <c r="A4" s="267">
        <v>44684</v>
      </c>
      <c r="B4" s="268" t="s">
        <v>282</v>
      </c>
      <c r="C4" s="132">
        <v>17596.349999999999</v>
      </c>
      <c r="D4" s="278">
        <v>44687</v>
      </c>
      <c r="E4" s="280">
        <v>17596.349999999999</v>
      </c>
      <c r="F4" s="196">
        <f>C4-E4+F3</f>
        <v>0</v>
      </c>
      <c r="J4" s="132"/>
    </row>
    <row r="5" spans="1:10" s="35" customFormat="1" ht="15.75" x14ac:dyDescent="0.25">
      <c r="A5" s="267">
        <v>44684</v>
      </c>
      <c r="B5" s="268" t="s">
        <v>283</v>
      </c>
      <c r="C5" s="132">
        <v>74815.3</v>
      </c>
      <c r="D5" s="278">
        <v>44687</v>
      </c>
      <c r="E5" s="280">
        <v>74815.3</v>
      </c>
      <c r="F5" s="196">
        <f t="shared" ref="F5:F68" si="0">C5-E5+F4</f>
        <v>0</v>
      </c>
      <c r="J5" s="132"/>
    </row>
    <row r="6" spans="1:10" ht="18.75" x14ac:dyDescent="0.3">
      <c r="A6" s="267">
        <v>44684</v>
      </c>
      <c r="B6" s="268" t="s">
        <v>284</v>
      </c>
      <c r="C6" s="132">
        <v>41825.300000000003</v>
      </c>
      <c r="D6" s="278">
        <v>44687</v>
      </c>
      <c r="E6" s="280">
        <v>41825.300000000003</v>
      </c>
      <c r="F6" s="196">
        <f t="shared" si="0"/>
        <v>0</v>
      </c>
      <c r="G6" s="162"/>
      <c r="J6" s="132"/>
    </row>
    <row r="7" spans="1:10" ht="15.75" x14ac:dyDescent="0.25">
      <c r="A7" s="267">
        <v>44685</v>
      </c>
      <c r="B7" s="268" t="s">
        <v>285</v>
      </c>
      <c r="C7" s="132">
        <v>16650.34</v>
      </c>
      <c r="D7" s="278">
        <v>44687</v>
      </c>
      <c r="E7" s="280">
        <v>16650.34</v>
      </c>
      <c r="F7" s="196">
        <f t="shared" si="0"/>
        <v>0</v>
      </c>
      <c r="J7" s="132"/>
    </row>
    <row r="8" spans="1:10" ht="15.75" x14ac:dyDescent="0.25">
      <c r="A8" s="267">
        <v>44686</v>
      </c>
      <c r="B8" s="268" t="s">
        <v>286</v>
      </c>
      <c r="C8" s="132">
        <v>123347.09</v>
      </c>
      <c r="D8" s="278">
        <v>44687</v>
      </c>
      <c r="E8" s="280">
        <v>123347.09</v>
      </c>
      <c r="F8" s="196">
        <f t="shared" si="0"/>
        <v>0</v>
      </c>
      <c r="J8" s="132"/>
    </row>
    <row r="9" spans="1:10" ht="15.75" x14ac:dyDescent="0.25">
      <c r="A9" s="267">
        <v>44686</v>
      </c>
      <c r="B9" s="268" t="s">
        <v>287</v>
      </c>
      <c r="C9" s="132">
        <v>8068.6</v>
      </c>
      <c r="D9" s="278">
        <v>44687</v>
      </c>
      <c r="E9" s="280">
        <v>8068.6</v>
      </c>
      <c r="F9" s="196">
        <f t="shared" si="0"/>
        <v>0</v>
      </c>
      <c r="J9" s="132"/>
    </row>
    <row r="10" spans="1:10" ht="30" x14ac:dyDescent="0.25">
      <c r="A10" s="267">
        <v>44687</v>
      </c>
      <c r="B10" s="268" t="s">
        <v>288</v>
      </c>
      <c r="C10" s="132">
        <v>150685.6</v>
      </c>
      <c r="D10" s="281" t="s">
        <v>344</v>
      </c>
      <c r="E10" s="280">
        <f>108860.3+41825.3</f>
        <v>150685.6</v>
      </c>
      <c r="F10" s="196">
        <f t="shared" si="0"/>
        <v>0</v>
      </c>
      <c r="J10" s="132">
        <v>0</v>
      </c>
    </row>
    <row r="11" spans="1:10" ht="15.75" x14ac:dyDescent="0.25">
      <c r="A11" s="267">
        <v>44687</v>
      </c>
      <c r="B11" s="268" t="s">
        <v>289</v>
      </c>
      <c r="C11" s="132">
        <v>7806</v>
      </c>
      <c r="D11" s="282">
        <v>44694</v>
      </c>
      <c r="E11" s="285">
        <v>7806</v>
      </c>
      <c r="F11" s="196">
        <f t="shared" si="0"/>
        <v>0</v>
      </c>
      <c r="J11" s="132">
        <v>0</v>
      </c>
    </row>
    <row r="12" spans="1:10" ht="18.75" x14ac:dyDescent="0.3">
      <c r="A12" s="267">
        <v>44688</v>
      </c>
      <c r="B12" s="268" t="s">
        <v>290</v>
      </c>
      <c r="C12" s="132">
        <v>3240</v>
      </c>
      <c r="D12" s="282">
        <v>44694</v>
      </c>
      <c r="E12" s="285">
        <v>3240</v>
      </c>
      <c r="F12" s="196">
        <f t="shared" si="0"/>
        <v>0</v>
      </c>
      <c r="G12" s="162"/>
      <c r="J12" s="132">
        <v>0</v>
      </c>
    </row>
    <row r="13" spans="1:10" ht="15.75" x14ac:dyDescent="0.25">
      <c r="A13" s="267">
        <v>44688</v>
      </c>
      <c r="B13" s="268" t="s">
        <v>291</v>
      </c>
      <c r="C13" s="132">
        <v>75100.639999999999</v>
      </c>
      <c r="D13" s="282">
        <v>44694</v>
      </c>
      <c r="E13" s="285">
        <v>75100.639999999999</v>
      </c>
      <c r="F13" s="196">
        <f t="shared" si="0"/>
        <v>0</v>
      </c>
      <c r="J13" s="132">
        <v>0</v>
      </c>
    </row>
    <row r="14" spans="1:10" ht="15.75" x14ac:dyDescent="0.25">
      <c r="A14" s="267">
        <v>44690</v>
      </c>
      <c r="B14" s="268" t="s">
        <v>292</v>
      </c>
      <c r="C14" s="132">
        <v>119272.64</v>
      </c>
      <c r="D14" s="282">
        <v>44694</v>
      </c>
      <c r="E14" s="285">
        <v>119272.64</v>
      </c>
      <c r="F14" s="196">
        <f t="shared" si="0"/>
        <v>0</v>
      </c>
      <c r="J14" s="1">
        <f>SUM(J2:J13)</f>
        <v>0</v>
      </c>
    </row>
    <row r="15" spans="1:10" ht="15.75" x14ac:dyDescent="0.25">
      <c r="A15" s="267">
        <v>44690</v>
      </c>
      <c r="B15" s="268" t="s">
        <v>293</v>
      </c>
      <c r="C15" s="132">
        <v>1299.5999999999999</v>
      </c>
      <c r="D15" s="282">
        <v>44694</v>
      </c>
      <c r="E15" s="285">
        <v>1299.5999999999999</v>
      </c>
      <c r="F15" s="196">
        <f t="shared" si="0"/>
        <v>0</v>
      </c>
    </row>
    <row r="16" spans="1:10" ht="15.75" x14ac:dyDescent="0.25">
      <c r="A16" s="267">
        <v>44690</v>
      </c>
      <c r="B16" s="268" t="s">
        <v>294</v>
      </c>
      <c r="C16" s="132">
        <v>25944</v>
      </c>
      <c r="D16" s="282">
        <v>44694</v>
      </c>
      <c r="E16" s="285">
        <v>25944</v>
      </c>
      <c r="F16" s="196">
        <f t="shared" si="0"/>
        <v>0</v>
      </c>
    </row>
    <row r="17" spans="1:7" ht="15.75" x14ac:dyDescent="0.25">
      <c r="A17" s="267">
        <v>44692</v>
      </c>
      <c r="B17" s="268" t="s">
        <v>295</v>
      </c>
      <c r="C17" s="132">
        <v>111401.12</v>
      </c>
      <c r="D17" s="282">
        <v>44694</v>
      </c>
      <c r="E17" s="285">
        <v>111401.12</v>
      </c>
      <c r="F17" s="196">
        <f t="shared" si="0"/>
        <v>0</v>
      </c>
    </row>
    <row r="18" spans="1:7" ht="15.75" x14ac:dyDescent="0.25">
      <c r="A18" s="267">
        <v>44693</v>
      </c>
      <c r="B18" s="268" t="s">
        <v>296</v>
      </c>
      <c r="C18" s="132">
        <v>35804.199999999997</v>
      </c>
      <c r="D18" s="282">
        <v>44694</v>
      </c>
      <c r="E18" s="285">
        <v>35804.199999999997</v>
      </c>
      <c r="F18" s="196">
        <f t="shared" si="0"/>
        <v>0</v>
      </c>
    </row>
    <row r="19" spans="1:7" ht="15.75" x14ac:dyDescent="0.25">
      <c r="A19" s="267">
        <v>44694</v>
      </c>
      <c r="B19" s="268" t="s">
        <v>297</v>
      </c>
      <c r="C19" s="132">
        <v>1607.16</v>
      </c>
      <c r="D19" s="286">
        <v>44701</v>
      </c>
      <c r="E19" s="287">
        <v>1607.16</v>
      </c>
      <c r="F19" s="196">
        <f t="shared" si="0"/>
        <v>0</v>
      </c>
    </row>
    <row r="20" spans="1:7" ht="15.75" x14ac:dyDescent="0.25">
      <c r="A20" s="267">
        <v>44694</v>
      </c>
      <c r="B20" s="268" t="s">
        <v>298</v>
      </c>
      <c r="C20" s="132">
        <v>110870.6</v>
      </c>
      <c r="D20" s="286">
        <v>44701</v>
      </c>
      <c r="E20" s="287">
        <v>110870.6</v>
      </c>
      <c r="F20" s="196">
        <f t="shared" si="0"/>
        <v>0</v>
      </c>
    </row>
    <row r="21" spans="1:7" ht="15.75" x14ac:dyDescent="0.25">
      <c r="A21" s="267">
        <v>44695</v>
      </c>
      <c r="B21" s="268" t="s">
        <v>299</v>
      </c>
      <c r="C21" s="132">
        <v>130766.36</v>
      </c>
      <c r="D21" s="286">
        <v>44701</v>
      </c>
      <c r="E21" s="287">
        <v>130766.36</v>
      </c>
      <c r="F21" s="196">
        <f t="shared" si="0"/>
        <v>0</v>
      </c>
    </row>
    <row r="22" spans="1:7" ht="15.75" x14ac:dyDescent="0.25">
      <c r="A22" s="267">
        <v>44697</v>
      </c>
      <c r="B22" s="268" t="s">
        <v>300</v>
      </c>
      <c r="C22" s="132">
        <v>114866.53</v>
      </c>
      <c r="D22" s="286">
        <v>44701</v>
      </c>
      <c r="E22" s="287">
        <v>114866.53</v>
      </c>
      <c r="F22" s="196">
        <f t="shared" si="0"/>
        <v>0</v>
      </c>
    </row>
    <row r="23" spans="1:7" ht="15.75" x14ac:dyDescent="0.25">
      <c r="A23" s="267">
        <v>44698</v>
      </c>
      <c r="B23" s="268" t="s">
        <v>301</v>
      </c>
      <c r="C23" s="132">
        <v>6227.2</v>
      </c>
      <c r="D23" s="286">
        <v>44701</v>
      </c>
      <c r="E23" s="287">
        <v>6227.2</v>
      </c>
      <c r="F23" s="196">
        <f t="shared" si="0"/>
        <v>0</v>
      </c>
    </row>
    <row r="24" spans="1:7" ht="18.75" x14ac:dyDescent="0.3">
      <c r="A24" s="267">
        <v>44699</v>
      </c>
      <c r="B24" s="268" t="s">
        <v>302</v>
      </c>
      <c r="C24" s="132">
        <v>66522.98</v>
      </c>
      <c r="D24" s="286">
        <v>44701</v>
      </c>
      <c r="E24" s="287">
        <v>66522.98</v>
      </c>
      <c r="F24" s="196">
        <f t="shared" si="0"/>
        <v>0</v>
      </c>
      <c r="G24" s="162"/>
    </row>
    <row r="25" spans="1:7" ht="15.75" x14ac:dyDescent="0.25">
      <c r="A25" s="267">
        <v>44700</v>
      </c>
      <c r="B25" s="268" t="s">
        <v>303</v>
      </c>
      <c r="C25" s="132">
        <v>98570.79</v>
      </c>
      <c r="D25" s="286">
        <v>44701</v>
      </c>
      <c r="E25" s="287">
        <v>98570.79</v>
      </c>
      <c r="F25" s="196">
        <f t="shared" si="0"/>
        <v>0</v>
      </c>
    </row>
    <row r="26" spans="1:7" ht="15.75" x14ac:dyDescent="0.25">
      <c r="A26" s="267">
        <v>44702</v>
      </c>
      <c r="B26" s="268" t="s">
        <v>304</v>
      </c>
      <c r="C26" s="132">
        <v>94991.4</v>
      </c>
      <c r="D26" s="269">
        <v>44708</v>
      </c>
      <c r="E26" s="132">
        <v>94991.4</v>
      </c>
      <c r="F26" s="196">
        <f t="shared" si="0"/>
        <v>0</v>
      </c>
    </row>
    <row r="27" spans="1:7" ht="15.75" x14ac:dyDescent="0.25">
      <c r="A27" s="267">
        <v>44702</v>
      </c>
      <c r="B27" s="268" t="s">
        <v>305</v>
      </c>
      <c r="C27" s="132">
        <v>39581.199999999997</v>
      </c>
      <c r="D27" s="269">
        <v>44708</v>
      </c>
      <c r="E27" s="132">
        <v>39581.199999999997</v>
      </c>
      <c r="F27" s="196">
        <f t="shared" si="0"/>
        <v>0</v>
      </c>
    </row>
    <row r="28" spans="1:7" ht="15.75" x14ac:dyDescent="0.25">
      <c r="A28" s="267">
        <v>44702</v>
      </c>
      <c r="B28" s="268" t="s">
        <v>306</v>
      </c>
      <c r="C28" s="132">
        <v>83382</v>
      </c>
      <c r="D28" s="269">
        <v>44708</v>
      </c>
      <c r="E28" s="132">
        <v>83382</v>
      </c>
      <c r="F28" s="196">
        <f t="shared" si="0"/>
        <v>0</v>
      </c>
    </row>
    <row r="29" spans="1:7" ht="15.75" x14ac:dyDescent="0.25">
      <c r="A29" s="267">
        <v>44702</v>
      </c>
      <c r="B29" s="268" t="s">
        <v>307</v>
      </c>
      <c r="C29" s="132">
        <v>1534.4</v>
      </c>
      <c r="D29" s="269">
        <v>44708</v>
      </c>
      <c r="E29" s="132">
        <v>1534.4</v>
      </c>
      <c r="F29" s="196">
        <f t="shared" si="0"/>
        <v>0</v>
      </c>
    </row>
    <row r="30" spans="1:7" ht="15.75" x14ac:dyDescent="0.25">
      <c r="A30" s="267">
        <v>44704</v>
      </c>
      <c r="B30" s="268" t="s">
        <v>308</v>
      </c>
      <c r="C30" s="132">
        <v>58225.08</v>
      </c>
      <c r="D30" s="269">
        <v>44708</v>
      </c>
      <c r="E30" s="132">
        <v>58225.08</v>
      </c>
      <c r="F30" s="196">
        <f t="shared" si="0"/>
        <v>0</v>
      </c>
    </row>
    <row r="31" spans="1:7" ht="15.75" x14ac:dyDescent="0.25">
      <c r="A31" s="267">
        <v>44705</v>
      </c>
      <c r="B31" s="268" t="s">
        <v>309</v>
      </c>
      <c r="C31" s="132">
        <v>24879.42</v>
      </c>
      <c r="D31" s="269">
        <v>44708</v>
      </c>
      <c r="E31" s="132">
        <v>24879.42</v>
      </c>
      <c r="F31" s="196">
        <f t="shared" si="0"/>
        <v>0</v>
      </c>
    </row>
    <row r="32" spans="1:7" ht="18.75" x14ac:dyDescent="0.3">
      <c r="A32" s="267">
        <v>44705</v>
      </c>
      <c r="B32" s="268" t="s">
        <v>310</v>
      </c>
      <c r="C32" s="132">
        <v>480</v>
      </c>
      <c r="D32" s="269">
        <v>44708</v>
      </c>
      <c r="E32" s="132">
        <v>480</v>
      </c>
      <c r="F32" s="196">
        <f t="shared" si="0"/>
        <v>0</v>
      </c>
      <c r="G32" s="162"/>
    </row>
    <row r="33" spans="1:6" ht="15.75" x14ac:dyDescent="0.25">
      <c r="A33" s="267">
        <v>44706</v>
      </c>
      <c r="B33" s="268" t="s">
        <v>314</v>
      </c>
      <c r="C33" s="132">
        <v>74281.539999999994</v>
      </c>
      <c r="D33" s="269">
        <v>44708</v>
      </c>
      <c r="E33" s="132">
        <v>74281.539999999994</v>
      </c>
      <c r="F33" s="196">
        <f t="shared" si="0"/>
        <v>0</v>
      </c>
    </row>
    <row r="34" spans="1:6" ht="23.25" customHeight="1" x14ac:dyDescent="0.25">
      <c r="A34" s="267">
        <v>44707</v>
      </c>
      <c r="B34" s="268" t="s">
        <v>315</v>
      </c>
      <c r="C34" s="132">
        <v>152351.15</v>
      </c>
      <c r="D34" s="269">
        <v>44708</v>
      </c>
      <c r="E34" s="132">
        <v>152351.15</v>
      </c>
      <c r="F34" s="196">
        <f t="shared" si="0"/>
        <v>0</v>
      </c>
    </row>
    <row r="35" spans="1:6" ht="18.75" customHeight="1" x14ac:dyDescent="0.25">
      <c r="A35" s="267">
        <v>44709</v>
      </c>
      <c r="B35" s="268" t="s">
        <v>316</v>
      </c>
      <c r="C35" s="132">
        <v>133819.06</v>
      </c>
      <c r="D35" s="283">
        <v>44715</v>
      </c>
      <c r="E35" s="284">
        <v>133819.06</v>
      </c>
      <c r="F35" s="196">
        <f t="shared" si="0"/>
        <v>0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0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0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0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0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0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0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0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2018428.6499999997</v>
      </c>
      <c r="D79" s="189"/>
      <c r="E79" s="178">
        <f>SUM(E3:E78)</f>
        <v>2018428.6499999997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abSelected="1" topLeftCell="A31" workbookViewId="0">
      <selection activeCell="M59" sqref="M59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1" customWidth="1"/>
  </cols>
  <sheetData>
    <row r="1" spans="1:21" ht="23.25" x14ac:dyDescent="0.35">
      <c r="B1" s="324"/>
      <c r="C1" s="326" t="s">
        <v>326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149938.81</v>
      </c>
      <c r="D4" s="18">
        <v>44710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44711</v>
      </c>
      <c r="C5" s="26">
        <v>0</v>
      </c>
      <c r="D5" s="27"/>
      <c r="E5" s="28">
        <v>44711</v>
      </c>
      <c r="F5" s="29">
        <v>68569</v>
      </c>
      <c r="G5" s="2"/>
      <c r="H5" s="30">
        <v>44711</v>
      </c>
      <c r="I5" s="31">
        <v>92</v>
      </c>
      <c r="J5" s="7"/>
      <c r="K5" s="182"/>
      <c r="L5" s="9"/>
      <c r="M5" s="32">
        <f>56619+11000</f>
        <v>67619</v>
      </c>
      <c r="N5" s="33">
        <v>858</v>
      </c>
      <c r="O5" s="2"/>
      <c r="P5" s="34">
        <f>N5+M5+L5+I5+C5</f>
        <v>68569</v>
      </c>
      <c r="Q5" s="13">
        <f>P5-F5</f>
        <v>0</v>
      </c>
      <c r="R5" s="9"/>
    </row>
    <row r="6" spans="1:21" ht="18" thickBot="1" x14ac:dyDescent="0.35">
      <c r="A6" s="24"/>
      <c r="B6" s="25">
        <v>44712</v>
      </c>
      <c r="C6" s="26">
        <v>0</v>
      </c>
      <c r="D6" s="36"/>
      <c r="E6" s="28">
        <v>44712</v>
      </c>
      <c r="F6" s="29">
        <v>48343</v>
      </c>
      <c r="G6" s="2"/>
      <c r="H6" s="30">
        <v>44712</v>
      </c>
      <c r="I6" s="31">
        <v>10</v>
      </c>
      <c r="J6" s="38"/>
      <c r="K6" s="39"/>
      <c r="L6" s="40"/>
      <c r="M6" s="32">
        <f>20000+40505</f>
        <v>60505</v>
      </c>
      <c r="N6" s="33">
        <v>200</v>
      </c>
      <c r="O6" s="2"/>
      <c r="P6" s="34">
        <f t="shared" ref="P6:P39" si="0">N6+M6+L6+I6+C6</f>
        <v>60715</v>
      </c>
      <c r="Q6" s="13">
        <v>0</v>
      </c>
      <c r="R6" s="184">
        <v>12372</v>
      </c>
    </row>
    <row r="7" spans="1:21" ht="18" thickBot="1" x14ac:dyDescent="0.35">
      <c r="A7" s="24"/>
      <c r="B7" s="25">
        <v>44713</v>
      </c>
      <c r="C7" s="26">
        <v>2830</v>
      </c>
      <c r="D7" s="41" t="s">
        <v>341</v>
      </c>
      <c r="E7" s="28">
        <v>44713</v>
      </c>
      <c r="F7" s="29">
        <v>45188</v>
      </c>
      <c r="G7" s="2"/>
      <c r="H7" s="30">
        <v>44713</v>
      </c>
      <c r="I7" s="31">
        <v>87</v>
      </c>
      <c r="J7" s="38"/>
      <c r="K7" s="42"/>
      <c r="L7" s="40"/>
      <c r="M7" s="32">
        <f>27271+15000</f>
        <v>42271</v>
      </c>
      <c r="N7" s="33">
        <v>0</v>
      </c>
      <c r="O7" s="2"/>
      <c r="P7" s="34">
        <f t="shared" si="0"/>
        <v>45188</v>
      </c>
      <c r="Q7" s="13">
        <f t="shared" ref="Q7:Q40" si="1">P7-F7</f>
        <v>0</v>
      </c>
      <c r="R7" s="9"/>
    </row>
    <row r="8" spans="1:21" ht="18" thickBot="1" x14ac:dyDescent="0.35">
      <c r="A8" s="24"/>
      <c r="B8" s="25">
        <v>44714</v>
      </c>
      <c r="C8" s="26">
        <v>0</v>
      </c>
      <c r="D8" s="41"/>
      <c r="E8" s="28">
        <v>44714</v>
      </c>
      <c r="F8" s="29">
        <v>70879</v>
      </c>
      <c r="G8" s="2"/>
      <c r="H8" s="30">
        <v>44714</v>
      </c>
      <c r="I8" s="31">
        <v>30</v>
      </c>
      <c r="J8" s="44"/>
      <c r="K8" s="45"/>
      <c r="L8" s="40"/>
      <c r="M8" s="32">
        <f>41633+40000</f>
        <v>81633</v>
      </c>
      <c r="N8" s="33">
        <v>1977</v>
      </c>
      <c r="O8" s="2"/>
      <c r="P8" s="34">
        <f t="shared" si="0"/>
        <v>83640</v>
      </c>
      <c r="Q8" s="13">
        <v>0</v>
      </c>
      <c r="R8" s="184">
        <v>12761</v>
      </c>
    </row>
    <row r="9" spans="1:21" ht="18" thickBot="1" x14ac:dyDescent="0.35">
      <c r="A9" s="24"/>
      <c r="B9" s="25">
        <v>44715</v>
      </c>
      <c r="C9" s="26">
        <v>12937</v>
      </c>
      <c r="D9" s="41" t="s">
        <v>49</v>
      </c>
      <c r="E9" s="28">
        <v>44715</v>
      </c>
      <c r="F9" s="29">
        <v>99483</v>
      </c>
      <c r="G9" s="2"/>
      <c r="H9" s="30">
        <v>44715</v>
      </c>
      <c r="I9" s="31">
        <v>123</v>
      </c>
      <c r="J9" s="38"/>
      <c r="K9" s="46"/>
      <c r="L9" s="40"/>
      <c r="M9" s="32">
        <f>61192+25000</f>
        <v>86192</v>
      </c>
      <c r="N9" s="33">
        <v>231</v>
      </c>
      <c r="O9" s="2"/>
      <c r="P9" s="34">
        <f t="shared" si="0"/>
        <v>99483</v>
      </c>
      <c r="Q9" s="13">
        <f t="shared" si="1"/>
        <v>0</v>
      </c>
      <c r="R9" s="9"/>
    </row>
    <row r="10" spans="1:21" ht="18" thickBot="1" x14ac:dyDescent="0.35">
      <c r="A10" s="24"/>
      <c r="B10" s="25">
        <v>44716</v>
      </c>
      <c r="C10" s="26">
        <v>0</v>
      </c>
      <c r="D10" s="36"/>
      <c r="E10" s="28">
        <v>44716</v>
      </c>
      <c r="F10" s="29">
        <v>104709</v>
      </c>
      <c r="G10" s="2"/>
      <c r="H10" s="30">
        <v>44716</v>
      </c>
      <c r="I10" s="31">
        <v>99</v>
      </c>
      <c r="J10" s="38">
        <v>44716</v>
      </c>
      <c r="K10" s="47" t="s">
        <v>342</v>
      </c>
      <c r="L10" s="48">
        <v>9483</v>
      </c>
      <c r="M10" s="32">
        <f>35000+49514+675</f>
        <v>85189</v>
      </c>
      <c r="N10" s="33">
        <v>9938</v>
      </c>
      <c r="O10" s="2"/>
      <c r="P10" s="34">
        <f t="shared" si="0"/>
        <v>104709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44717</v>
      </c>
      <c r="C11" s="26">
        <v>0</v>
      </c>
      <c r="D11" s="36"/>
      <c r="E11" s="28">
        <v>44717</v>
      </c>
      <c r="F11" s="29">
        <v>122844</v>
      </c>
      <c r="G11" s="2"/>
      <c r="H11" s="30">
        <v>44717</v>
      </c>
      <c r="I11" s="31">
        <v>0</v>
      </c>
      <c r="J11" s="44"/>
      <c r="K11" s="49"/>
      <c r="L11" s="40"/>
      <c r="M11" s="32">
        <f>32526+90000</f>
        <v>122526</v>
      </c>
      <c r="N11" s="33">
        <v>318</v>
      </c>
      <c r="O11" s="2"/>
      <c r="P11" s="34">
        <f>N11+M11+L11+I11+C11</f>
        <v>122844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44718</v>
      </c>
      <c r="C12" s="26">
        <v>3600</v>
      </c>
      <c r="D12" s="36" t="s">
        <v>47</v>
      </c>
      <c r="E12" s="28">
        <v>44718</v>
      </c>
      <c r="F12" s="29">
        <v>87892</v>
      </c>
      <c r="G12" s="2"/>
      <c r="H12" s="30">
        <v>44718</v>
      </c>
      <c r="I12" s="31">
        <v>65</v>
      </c>
      <c r="J12" s="38"/>
      <c r="K12" s="50"/>
      <c r="L12" s="40"/>
      <c r="M12" s="32">
        <f>36227+48000</f>
        <v>84227</v>
      </c>
      <c r="N12" s="33">
        <v>0</v>
      </c>
      <c r="O12" s="2"/>
      <c r="P12" s="34">
        <f t="shared" si="0"/>
        <v>87892</v>
      </c>
      <c r="Q12" s="13">
        <f t="shared" si="1"/>
        <v>0</v>
      </c>
      <c r="R12" s="9"/>
    </row>
    <row r="13" spans="1:21" ht="18" thickBot="1" x14ac:dyDescent="0.35">
      <c r="A13" s="24"/>
      <c r="B13" s="25">
        <v>44719</v>
      </c>
      <c r="C13" s="26">
        <v>800</v>
      </c>
      <c r="D13" s="41" t="s">
        <v>133</v>
      </c>
      <c r="E13" s="28">
        <v>44719</v>
      </c>
      <c r="F13" s="29">
        <v>72961</v>
      </c>
      <c r="G13" s="2"/>
      <c r="H13" s="30">
        <v>44719</v>
      </c>
      <c r="I13" s="31">
        <v>127</v>
      </c>
      <c r="J13" s="38"/>
      <c r="K13" s="39"/>
      <c r="L13" s="40"/>
      <c r="M13" s="32">
        <f>33794+20000</f>
        <v>53794</v>
      </c>
      <c r="N13" s="33">
        <v>18240</v>
      </c>
      <c r="O13" s="2"/>
      <c r="P13" s="34">
        <f t="shared" si="0"/>
        <v>72961</v>
      </c>
      <c r="Q13" s="13">
        <f t="shared" si="1"/>
        <v>0</v>
      </c>
      <c r="R13" s="185"/>
    </row>
    <row r="14" spans="1:21" ht="18" thickBot="1" x14ac:dyDescent="0.35">
      <c r="A14" s="24"/>
      <c r="B14" s="25">
        <v>44720</v>
      </c>
      <c r="C14" s="26">
        <v>0</v>
      </c>
      <c r="D14" s="51"/>
      <c r="E14" s="28">
        <v>44720</v>
      </c>
      <c r="F14" s="29">
        <v>43378</v>
      </c>
      <c r="G14" s="2"/>
      <c r="H14" s="30">
        <v>44720</v>
      </c>
      <c r="I14" s="31">
        <v>60</v>
      </c>
      <c r="J14" s="38"/>
      <c r="K14" s="45"/>
      <c r="L14" s="40"/>
      <c r="M14" s="32">
        <f>28218+15000</f>
        <v>43218</v>
      </c>
      <c r="N14" s="33">
        <v>100</v>
      </c>
      <c r="O14" s="2"/>
      <c r="P14" s="34">
        <f t="shared" si="0"/>
        <v>43378</v>
      </c>
      <c r="Q14" s="13">
        <f t="shared" si="1"/>
        <v>0</v>
      </c>
      <c r="R14" s="185"/>
    </row>
    <row r="15" spans="1:21" ht="18" thickBot="1" x14ac:dyDescent="0.35">
      <c r="A15" s="24"/>
      <c r="B15" s="25">
        <v>44721</v>
      </c>
      <c r="C15" s="26">
        <v>0</v>
      </c>
      <c r="D15" s="51"/>
      <c r="E15" s="28">
        <v>44721</v>
      </c>
      <c r="F15" s="29">
        <v>74534</v>
      </c>
      <c r="G15" s="2"/>
      <c r="H15" s="30">
        <v>44721</v>
      </c>
      <c r="I15" s="31">
        <v>31</v>
      </c>
      <c r="J15" s="38"/>
      <c r="K15" s="45"/>
      <c r="L15" s="40"/>
      <c r="M15" s="32">
        <f>15000+59275</f>
        <v>74275</v>
      </c>
      <c r="N15" s="33">
        <v>228</v>
      </c>
      <c r="P15" s="34">
        <f t="shared" si="0"/>
        <v>74534</v>
      </c>
      <c r="Q15" s="13">
        <f t="shared" si="1"/>
        <v>0</v>
      </c>
      <c r="R15" s="9"/>
    </row>
    <row r="16" spans="1:21" ht="18" thickBot="1" x14ac:dyDescent="0.35">
      <c r="A16" s="24"/>
      <c r="B16" s="25">
        <v>44722</v>
      </c>
      <c r="C16" s="26">
        <v>23100</v>
      </c>
      <c r="D16" s="36" t="s">
        <v>49</v>
      </c>
      <c r="E16" s="28">
        <v>44722</v>
      </c>
      <c r="F16" s="29">
        <v>137137</v>
      </c>
      <c r="G16" s="2"/>
      <c r="H16" s="30">
        <v>44722</v>
      </c>
      <c r="I16" s="31">
        <v>208</v>
      </c>
      <c r="J16" s="38"/>
      <c r="K16" s="45"/>
      <c r="L16" s="9"/>
      <c r="M16" s="32">
        <f>83015+30000</f>
        <v>113015</v>
      </c>
      <c r="N16" s="33">
        <v>814</v>
      </c>
      <c r="P16" s="34">
        <f t="shared" si="0"/>
        <v>137137</v>
      </c>
      <c r="Q16" s="13">
        <f t="shared" si="1"/>
        <v>0</v>
      </c>
      <c r="R16" s="9" t="s">
        <v>8</v>
      </c>
    </row>
    <row r="17" spans="1:18" ht="18" thickBot="1" x14ac:dyDescent="0.35">
      <c r="A17" s="24"/>
      <c r="B17" s="25">
        <v>44723</v>
      </c>
      <c r="C17" s="26">
        <v>3430</v>
      </c>
      <c r="D17" s="41" t="s">
        <v>47</v>
      </c>
      <c r="E17" s="28">
        <v>44723</v>
      </c>
      <c r="F17" s="29">
        <v>91767</v>
      </c>
      <c r="G17" s="2"/>
      <c r="H17" s="30">
        <v>44723</v>
      </c>
      <c r="I17" s="31">
        <v>60</v>
      </c>
      <c r="J17" s="38">
        <v>44723</v>
      </c>
      <c r="K17" s="52" t="s">
        <v>343</v>
      </c>
      <c r="L17" s="48">
        <v>9500</v>
      </c>
      <c r="M17" s="32">
        <f>25000+43046</f>
        <v>68046</v>
      </c>
      <c r="N17" s="33">
        <v>10731</v>
      </c>
      <c r="P17" s="34">
        <f t="shared" si="0"/>
        <v>91767</v>
      </c>
      <c r="Q17" s="13">
        <f t="shared" si="1"/>
        <v>0</v>
      </c>
      <c r="R17" s="9"/>
    </row>
    <row r="18" spans="1:18" ht="18" thickBot="1" x14ac:dyDescent="0.35">
      <c r="A18" s="24"/>
      <c r="B18" s="25">
        <v>44724</v>
      </c>
      <c r="C18" s="26">
        <v>0</v>
      </c>
      <c r="D18" s="36"/>
      <c r="E18" s="28">
        <v>44724</v>
      </c>
      <c r="F18" s="29">
        <v>131350</v>
      </c>
      <c r="G18" s="2"/>
      <c r="H18" s="30">
        <v>44724</v>
      </c>
      <c r="I18" s="31">
        <v>60</v>
      </c>
      <c r="J18" s="38"/>
      <c r="K18" s="53"/>
      <c r="L18" s="40"/>
      <c r="M18" s="32">
        <f>80000+35000+13118</f>
        <v>128118</v>
      </c>
      <c r="N18" s="33">
        <v>3172</v>
      </c>
      <c r="P18" s="34">
        <f t="shared" si="0"/>
        <v>131350</v>
      </c>
      <c r="Q18" s="13">
        <f t="shared" si="1"/>
        <v>0</v>
      </c>
      <c r="R18" s="9"/>
    </row>
    <row r="19" spans="1:18" ht="18" thickBot="1" x14ac:dyDescent="0.35">
      <c r="A19" s="24"/>
      <c r="B19" s="25">
        <v>44725</v>
      </c>
      <c r="C19" s="26">
        <v>0</v>
      </c>
      <c r="D19" s="36"/>
      <c r="E19" s="28">
        <v>44725</v>
      </c>
      <c r="F19" s="29">
        <v>61432</v>
      </c>
      <c r="G19" s="2"/>
      <c r="H19" s="30">
        <v>44725</v>
      </c>
      <c r="I19" s="31">
        <v>33</v>
      </c>
      <c r="J19" s="38"/>
      <c r="K19" s="54"/>
      <c r="L19" s="55"/>
      <c r="M19" s="32">
        <f>43973+17000</f>
        <v>60973</v>
      </c>
      <c r="N19" s="33">
        <v>426</v>
      </c>
      <c r="O19" s="2"/>
      <c r="P19" s="34">
        <f t="shared" si="0"/>
        <v>61432</v>
      </c>
      <c r="Q19" s="13">
        <f t="shared" si="1"/>
        <v>0</v>
      </c>
      <c r="R19" s="9"/>
    </row>
    <row r="20" spans="1:18" ht="18" thickBot="1" x14ac:dyDescent="0.35">
      <c r="A20" s="24"/>
      <c r="B20" s="25">
        <v>44726</v>
      </c>
      <c r="C20" s="26">
        <v>0</v>
      </c>
      <c r="D20" s="36"/>
      <c r="E20" s="28">
        <v>44726</v>
      </c>
      <c r="F20" s="29">
        <v>70660</v>
      </c>
      <c r="G20" s="2"/>
      <c r="H20" s="30">
        <v>44726</v>
      </c>
      <c r="I20" s="31">
        <v>100</v>
      </c>
      <c r="J20" s="38"/>
      <c r="K20" s="56"/>
      <c r="L20" s="48"/>
      <c r="M20" s="32">
        <f>54910+15000</f>
        <v>69910</v>
      </c>
      <c r="N20" s="33">
        <v>650</v>
      </c>
      <c r="P20" s="34">
        <f t="shared" si="0"/>
        <v>70660</v>
      </c>
      <c r="Q20" s="13">
        <f t="shared" si="1"/>
        <v>0</v>
      </c>
      <c r="R20" s="9"/>
    </row>
    <row r="21" spans="1:18" ht="18" thickBot="1" x14ac:dyDescent="0.35">
      <c r="A21" s="24"/>
      <c r="B21" s="25">
        <v>44727</v>
      </c>
      <c r="C21" s="26">
        <v>3657</v>
      </c>
      <c r="D21" s="36" t="s">
        <v>233</v>
      </c>
      <c r="E21" s="28">
        <v>44727</v>
      </c>
      <c r="F21" s="29">
        <v>41088</v>
      </c>
      <c r="G21" s="2"/>
      <c r="H21" s="30">
        <v>44727</v>
      </c>
      <c r="I21" s="31">
        <v>66</v>
      </c>
      <c r="J21" s="38"/>
      <c r="K21" s="57"/>
      <c r="L21" s="48"/>
      <c r="M21" s="32">
        <v>32365</v>
      </c>
      <c r="N21" s="33">
        <v>5000</v>
      </c>
      <c r="P21" s="34">
        <f t="shared" si="0"/>
        <v>41088</v>
      </c>
      <c r="Q21" s="13">
        <f t="shared" si="1"/>
        <v>0</v>
      </c>
      <c r="R21" s="9"/>
    </row>
    <row r="22" spans="1:18" ht="18" thickBot="1" x14ac:dyDescent="0.35">
      <c r="A22" s="24"/>
      <c r="B22" s="25">
        <v>44728</v>
      </c>
      <c r="C22" s="26">
        <v>400</v>
      </c>
      <c r="D22" s="36" t="s">
        <v>47</v>
      </c>
      <c r="E22" s="28">
        <v>44728</v>
      </c>
      <c r="F22" s="29">
        <v>87438</v>
      </c>
      <c r="G22" s="2"/>
      <c r="H22" s="30">
        <v>44728</v>
      </c>
      <c r="I22" s="31">
        <v>58</v>
      </c>
      <c r="J22" s="38"/>
      <c r="K22" s="45"/>
      <c r="L22" s="58"/>
      <c r="M22" s="32">
        <f>26857+40000+20000</f>
        <v>86857</v>
      </c>
      <c r="N22" s="33">
        <v>123</v>
      </c>
      <c r="P22" s="34">
        <f t="shared" si="0"/>
        <v>87438</v>
      </c>
      <c r="Q22" s="13">
        <f t="shared" si="1"/>
        <v>0</v>
      </c>
      <c r="R22" s="9"/>
    </row>
    <row r="23" spans="1:18" ht="18" thickBot="1" x14ac:dyDescent="0.35">
      <c r="A23" s="24"/>
      <c r="B23" s="25">
        <v>44729</v>
      </c>
      <c r="C23" s="26">
        <v>21985</v>
      </c>
      <c r="D23" s="36" t="s">
        <v>356</v>
      </c>
      <c r="E23" s="28">
        <v>44729</v>
      </c>
      <c r="F23" s="29">
        <v>90196</v>
      </c>
      <c r="G23" s="2"/>
      <c r="H23" s="30">
        <v>44729</v>
      </c>
      <c r="I23" s="31">
        <v>95</v>
      </c>
      <c r="J23" s="59"/>
      <c r="K23" s="60"/>
      <c r="L23" s="48"/>
      <c r="M23" s="32">
        <f>15000+42702</f>
        <v>57702</v>
      </c>
      <c r="N23" s="33">
        <v>10414</v>
      </c>
      <c r="P23" s="34">
        <f t="shared" si="0"/>
        <v>90196</v>
      </c>
      <c r="Q23" s="13">
        <f t="shared" si="1"/>
        <v>0</v>
      </c>
      <c r="R23" s="9"/>
    </row>
    <row r="24" spans="1:18" ht="18" thickBot="1" x14ac:dyDescent="0.35">
      <c r="A24" s="24"/>
      <c r="B24" s="25">
        <v>44730</v>
      </c>
      <c r="C24" s="26">
        <v>8</v>
      </c>
      <c r="D24" s="41" t="s">
        <v>34</v>
      </c>
      <c r="E24" s="28">
        <v>44730</v>
      </c>
      <c r="F24" s="29">
        <v>119596</v>
      </c>
      <c r="G24" s="2"/>
      <c r="H24" s="30">
        <v>44730</v>
      </c>
      <c r="I24" s="31">
        <v>326</v>
      </c>
      <c r="J24" s="181">
        <v>44730</v>
      </c>
      <c r="K24" s="62" t="s">
        <v>357</v>
      </c>
      <c r="L24" s="63">
        <v>9500</v>
      </c>
      <c r="M24" s="32">
        <f>80000+20708</f>
        <v>100708</v>
      </c>
      <c r="N24" s="33">
        <v>9054</v>
      </c>
      <c r="P24" s="34">
        <f t="shared" si="0"/>
        <v>119596</v>
      </c>
      <c r="Q24" s="13">
        <f t="shared" si="1"/>
        <v>0</v>
      </c>
      <c r="R24" s="9"/>
    </row>
    <row r="25" spans="1:18" ht="18" thickBot="1" x14ac:dyDescent="0.35">
      <c r="A25" s="24"/>
      <c r="B25" s="25">
        <v>44731</v>
      </c>
      <c r="C25" s="26">
        <v>0</v>
      </c>
      <c r="D25" s="36"/>
      <c r="E25" s="28">
        <v>44731</v>
      </c>
      <c r="F25" s="29">
        <v>139502</v>
      </c>
      <c r="G25" s="2"/>
      <c r="H25" s="30">
        <v>44731</v>
      </c>
      <c r="I25" s="31">
        <v>0</v>
      </c>
      <c r="J25" s="64">
        <v>44731</v>
      </c>
      <c r="K25" s="290" t="s">
        <v>358</v>
      </c>
      <c r="L25" s="66">
        <v>750</v>
      </c>
      <c r="M25" s="32">
        <f>100000+20000+13277</f>
        <v>133277</v>
      </c>
      <c r="N25" s="33">
        <v>5475</v>
      </c>
      <c r="O25" t="s">
        <v>8</v>
      </c>
      <c r="P25" s="34">
        <f t="shared" si="0"/>
        <v>139502</v>
      </c>
      <c r="Q25" s="13">
        <f t="shared" si="1"/>
        <v>0</v>
      </c>
      <c r="R25" s="9"/>
    </row>
    <row r="26" spans="1:18" ht="18" thickBot="1" x14ac:dyDescent="0.35">
      <c r="A26" s="24"/>
      <c r="B26" s="25">
        <v>44732</v>
      </c>
      <c r="C26" s="26">
        <v>0</v>
      </c>
      <c r="D26" s="36"/>
      <c r="E26" s="28">
        <v>44732</v>
      </c>
      <c r="F26" s="29">
        <v>69636</v>
      </c>
      <c r="G26" s="2"/>
      <c r="H26" s="30">
        <v>44732</v>
      </c>
      <c r="I26" s="31">
        <v>42</v>
      </c>
      <c r="J26" s="38"/>
      <c r="K26" s="62"/>
      <c r="L26" s="48"/>
      <c r="M26" s="32">
        <f>53594+16000</f>
        <v>69594</v>
      </c>
      <c r="N26" s="33">
        <v>0</v>
      </c>
      <c r="P26" s="34">
        <f t="shared" si="0"/>
        <v>69636</v>
      </c>
      <c r="Q26" s="13">
        <f t="shared" si="1"/>
        <v>0</v>
      </c>
      <c r="R26" s="9"/>
    </row>
    <row r="27" spans="1:18" ht="18" thickBot="1" x14ac:dyDescent="0.35">
      <c r="A27" s="24"/>
      <c r="B27" s="25">
        <v>44733</v>
      </c>
      <c r="C27" s="26">
        <v>0</v>
      </c>
      <c r="D27" s="41"/>
      <c r="E27" s="28">
        <v>44733</v>
      </c>
      <c r="F27" s="29">
        <v>81627</v>
      </c>
      <c r="G27" s="2"/>
      <c r="H27" s="30">
        <v>44733</v>
      </c>
      <c r="I27" s="31">
        <v>43</v>
      </c>
      <c r="J27" s="67"/>
      <c r="K27" s="68"/>
      <c r="L27" s="66"/>
      <c r="M27" s="32">
        <f>20000+61584</f>
        <v>81584</v>
      </c>
      <c r="N27" s="33">
        <v>0</v>
      </c>
      <c r="P27" s="34">
        <f t="shared" si="0"/>
        <v>81627</v>
      </c>
      <c r="Q27" s="13">
        <f t="shared" si="1"/>
        <v>0</v>
      </c>
      <c r="R27" s="9"/>
    </row>
    <row r="28" spans="1:18" ht="18" thickBot="1" x14ac:dyDescent="0.35">
      <c r="A28" s="24"/>
      <c r="B28" s="25">
        <v>44734</v>
      </c>
      <c r="C28" s="26">
        <v>4031</v>
      </c>
      <c r="D28" s="41" t="s">
        <v>312</v>
      </c>
      <c r="E28" s="28">
        <v>44734</v>
      </c>
      <c r="F28" s="29">
        <v>39410</v>
      </c>
      <c r="G28" s="2"/>
      <c r="H28" s="30">
        <v>44734</v>
      </c>
      <c r="I28" s="31">
        <v>100</v>
      </c>
      <c r="J28" s="69"/>
      <c r="K28" s="70"/>
      <c r="L28" s="66"/>
      <c r="M28" s="32">
        <v>35279</v>
      </c>
      <c r="N28" s="33">
        <v>0</v>
      </c>
      <c r="P28" s="34">
        <f t="shared" si="0"/>
        <v>39410</v>
      </c>
      <c r="Q28" s="13">
        <f t="shared" si="1"/>
        <v>0</v>
      </c>
      <c r="R28" s="9"/>
    </row>
    <row r="29" spans="1:18" ht="18" thickBot="1" x14ac:dyDescent="0.35">
      <c r="A29" s="24"/>
      <c r="B29" s="25">
        <v>44735</v>
      </c>
      <c r="C29" s="26">
        <v>0</v>
      </c>
      <c r="D29" s="71"/>
      <c r="E29" s="28">
        <v>44735</v>
      </c>
      <c r="F29" s="29">
        <v>98023</v>
      </c>
      <c r="G29" s="2"/>
      <c r="H29" s="30">
        <v>44735</v>
      </c>
      <c r="I29" s="31">
        <v>91</v>
      </c>
      <c r="J29" s="67"/>
      <c r="K29" s="72"/>
      <c r="L29" s="66"/>
      <c r="M29" s="32">
        <f>50000+47932</f>
        <v>97932</v>
      </c>
      <c r="N29" s="33">
        <v>0</v>
      </c>
      <c r="P29" s="34">
        <f t="shared" si="0"/>
        <v>98023</v>
      </c>
      <c r="Q29" s="13">
        <f t="shared" si="1"/>
        <v>0</v>
      </c>
      <c r="R29" s="9"/>
    </row>
    <row r="30" spans="1:18" ht="18" thickBot="1" x14ac:dyDescent="0.35">
      <c r="A30" s="24"/>
      <c r="B30" s="25">
        <v>44736</v>
      </c>
      <c r="C30" s="26">
        <v>21294</v>
      </c>
      <c r="D30" s="71" t="s">
        <v>359</v>
      </c>
      <c r="E30" s="28">
        <v>44736</v>
      </c>
      <c r="F30" s="29">
        <v>74310</v>
      </c>
      <c r="G30" s="2"/>
      <c r="H30" s="30">
        <v>44736</v>
      </c>
      <c r="I30" s="31">
        <v>81</v>
      </c>
      <c r="J30" s="73"/>
      <c r="K30" s="74"/>
      <c r="L30" s="75"/>
      <c r="M30" s="32">
        <f>30000+22655</f>
        <v>52655</v>
      </c>
      <c r="N30" s="33">
        <v>280</v>
      </c>
      <c r="P30" s="34">
        <f t="shared" si="0"/>
        <v>74310</v>
      </c>
      <c r="Q30" s="13">
        <f t="shared" si="1"/>
        <v>0</v>
      </c>
      <c r="R30" s="9"/>
    </row>
    <row r="31" spans="1:18" ht="18" thickBot="1" x14ac:dyDescent="0.35">
      <c r="A31" s="24"/>
      <c r="B31" s="25">
        <v>44737</v>
      </c>
      <c r="C31" s="26">
        <v>0</v>
      </c>
      <c r="D31" s="83"/>
      <c r="E31" s="28">
        <v>44737</v>
      </c>
      <c r="F31" s="29">
        <v>120166</v>
      </c>
      <c r="G31" s="2"/>
      <c r="H31" s="30">
        <v>44737</v>
      </c>
      <c r="I31" s="31">
        <v>127</v>
      </c>
      <c r="J31" s="73">
        <v>44737</v>
      </c>
      <c r="K31" s="76" t="s">
        <v>360</v>
      </c>
      <c r="L31" s="77">
        <v>8800</v>
      </c>
      <c r="M31" s="32">
        <f>54179+50000</f>
        <v>104179</v>
      </c>
      <c r="N31" s="33">
        <v>7060</v>
      </c>
      <c r="P31" s="34">
        <f t="shared" si="0"/>
        <v>120166</v>
      </c>
      <c r="Q31" s="13">
        <f t="shared" si="1"/>
        <v>0</v>
      </c>
      <c r="R31" s="9"/>
    </row>
    <row r="32" spans="1:18" ht="18" thickBot="1" x14ac:dyDescent="0.35">
      <c r="A32" s="24"/>
      <c r="B32" s="25">
        <v>44738</v>
      </c>
      <c r="C32" s="26">
        <v>0</v>
      </c>
      <c r="D32" s="78"/>
      <c r="E32" s="28">
        <v>44738</v>
      </c>
      <c r="F32" s="29">
        <v>107843</v>
      </c>
      <c r="G32" s="2"/>
      <c r="H32" s="30">
        <v>44738</v>
      </c>
      <c r="I32" s="31">
        <v>46</v>
      </c>
      <c r="J32" s="73"/>
      <c r="K32" s="74"/>
      <c r="L32" s="75"/>
      <c r="M32" s="32">
        <f>90000+14200</f>
        <v>104200</v>
      </c>
      <c r="N32" s="33">
        <v>3597</v>
      </c>
      <c r="P32" s="34">
        <f t="shared" si="0"/>
        <v>107843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>
        <v>44739</v>
      </c>
      <c r="C33" s="26">
        <v>0</v>
      </c>
      <c r="D33" s="79"/>
      <c r="E33" s="28">
        <v>44739</v>
      </c>
      <c r="F33" s="29">
        <v>44190</v>
      </c>
      <c r="G33" s="2"/>
      <c r="H33" s="30">
        <v>44739</v>
      </c>
      <c r="I33" s="31">
        <v>77</v>
      </c>
      <c r="J33" s="73"/>
      <c r="K33" s="76"/>
      <c r="L33" s="80"/>
      <c r="M33" s="32">
        <f>14000+30113</f>
        <v>44113</v>
      </c>
      <c r="N33" s="33">
        <v>0</v>
      </c>
      <c r="P33" s="34">
        <f t="shared" si="0"/>
        <v>44190</v>
      </c>
      <c r="Q33" s="13">
        <f t="shared" si="1"/>
        <v>0</v>
      </c>
      <c r="R33" s="9"/>
    </row>
    <row r="34" spans="1:18" ht="18" thickBot="1" x14ac:dyDescent="0.35">
      <c r="A34" s="24"/>
      <c r="B34" s="25">
        <v>44740</v>
      </c>
      <c r="C34" s="26">
        <v>0</v>
      </c>
      <c r="D34" s="78"/>
      <c r="E34" s="28">
        <v>44740</v>
      </c>
      <c r="F34" s="29">
        <v>78249</v>
      </c>
      <c r="G34" s="2"/>
      <c r="H34" s="30">
        <v>44740</v>
      </c>
      <c r="I34" s="31">
        <v>94</v>
      </c>
      <c r="J34" s="73"/>
      <c r="K34" s="81"/>
      <c r="L34" s="82"/>
      <c r="M34" s="32">
        <f>20+53155+25000</f>
        <v>78175</v>
      </c>
      <c r="N34" s="33">
        <v>0</v>
      </c>
      <c r="P34" s="34">
        <f t="shared" si="0"/>
        <v>78269</v>
      </c>
      <c r="Q34" s="13">
        <f t="shared" si="1"/>
        <v>20</v>
      </c>
      <c r="R34" s="9" t="s">
        <v>8</v>
      </c>
    </row>
    <row r="35" spans="1:18" ht="18" thickBot="1" x14ac:dyDescent="0.35">
      <c r="A35" s="24"/>
      <c r="B35" s="25">
        <v>44741</v>
      </c>
      <c r="C35" s="26">
        <v>2200</v>
      </c>
      <c r="D35" s="83" t="s">
        <v>312</v>
      </c>
      <c r="E35" s="28">
        <v>44741</v>
      </c>
      <c r="F35" s="29">
        <v>37880</v>
      </c>
      <c r="G35" s="2"/>
      <c r="H35" s="30">
        <v>44741</v>
      </c>
      <c r="I35" s="31">
        <v>163</v>
      </c>
      <c r="J35" s="73"/>
      <c r="K35" s="76"/>
      <c r="L35" s="80"/>
      <c r="M35" s="32">
        <f>15000+20517</f>
        <v>35517</v>
      </c>
      <c r="N35" s="33">
        <v>0</v>
      </c>
      <c r="P35" s="34">
        <f t="shared" si="0"/>
        <v>37880</v>
      </c>
      <c r="Q35" s="13">
        <f t="shared" si="1"/>
        <v>0</v>
      </c>
      <c r="R35" s="9"/>
    </row>
    <row r="36" spans="1:18" ht="18" thickBot="1" x14ac:dyDescent="0.35">
      <c r="A36" s="24"/>
      <c r="B36" s="25">
        <v>44742</v>
      </c>
      <c r="C36" s="26">
        <v>0</v>
      </c>
      <c r="D36" s="84"/>
      <c r="E36" s="28">
        <v>44742</v>
      </c>
      <c r="F36" s="29">
        <v>86524</v>
      </c>
      <c r="G36" s="2"/>
      <c r="H36" s="30">
        <v>44742</v>
      </c>
      <c r="I36" s="31">
        <v>105</v>
      </c>
      <c r="J36" s="73"/>
      <c r="K36" s="221"/>
      <c r="L36" s="80"/>
      <c r="M36" s="32">
        <f>35000+47826</f>
        <v>82826</v>
      </c>
      <c r="N36" s="33">
        <v>3593</v>
      </c>
      <c r="P36" s="34">
        <f t="shared" si="0"/>
        <v>86524</v>
      </c>
      <c r="Q36" s="13">
        <f t="shared" si="1"/>
        <v>0</v>
      </c>
      <c r="R36" s="9"/>
    </row>
    <row r="37" spans="1:18" ht="18" thickBot="1" x14ac:dyDescent="0.35">
      <c r="A37" s="24"/>
      <c r="B37" s="25">
        <v>44743</v>
      </c>
      <c r="C37" s="26">
        <v>0</v>
      </c>
      <c r="D37" s="78"/>
      <c r="E37" s="28">
        <v>44743</v>
      </c>
      <c r="F37" s="29">
        <v>115519</v>
      </c>
      <c r="G37" s="2"/>
      <c r="H37" s="30">
        <v>44743</v>
      </c>
      <c r="I37" s="31">
        <v>57</v>
      </c>
      <c r="J37" s="73"/>
      <c r="K37" s="76"/>
      <c r="L37" s="80"/>
      <c r="M37" s="32">
        <f>25000+60000+28073</f>
        <v>113073</v>
      </c>
      <c r="N37" s="33">
        <v>2389</v>
      </c>
      <c r="P37" s="34">
        <f t="shared" si="0"/>
        <v>115519</v>
      </c>
      <c r="Q37" s="13">
        <f t="shared" si="1"/>
        <v>0</v>
      </c>
    </row>
    <row r="38" spans="1:18" ht="18" thickBot="1" x14ac:dyDescent="0.35">
      <c r="A38" s="24"/>
      <c r="B38" s="25">
        <v>44744</v>
      </c>
      <c r="C38" s="26">
        <v>20</v>
      </c>
      <c r="D38" s="79"/>
      <c r="E38" s="28">
        <v>44744</v>
      </c>
      <c r="F38" s="29">
        <v>94262</v>
      </c>
      <c r="G38" s="2"/>
      <c r="H38" s="30">
        <v>44744</v>
      </c>
      <c r="I38" s="31">
        <v>18</v>
      </c>
      <c r="J38" s="73">
        <v>44744</v>
      </c>
      <c r="K38" s="42" t="s">
        <v>361</v>
      </c>
      <c r="L38" s="80">
        <v>9257</v>
      </c>
      <c r="M38" s="32">
        <f>40000+34953</f>
        <v>74953</v>
      </c>
      <c r="N38" s="33">
        <v>10014</v>
      </c>
      <c r="P38" s="34">
        <f t="shared" si="0"/>
        <v>94262</v>
      </c>
      <c r="Q38" s="13">
        <f t="shared" si="1"/>
        <v>0</v>
      </c>
    </row>
    <row r="39" spans="1:18" ht="18" thickBot="1" x14ac:dyDescent="0.35">
      <c r="A39" s="24"/>
      <c r="B39" s="25">
        <v>44745</v>
      </c>
      <c r="C39" s="26">
        <v>0</v>
      </c>
      <c r="D39" s="79"/>
      <c r="E39" s="28">
        <v>44745</v>
      </c>
      <c r="F39" s="85">
        <v>148947</v>
      </c>
      <c r="G39" s="2"/>
      <c r="H39" s="30">
        <v>44745</v>
      </c>
      <c r="I39" s="31">
        <v>0</v>
      </c>
      <c r="J39" s="73">
        <v>44745</v>
      </c>
      <c r="K39" s="276" t="s">
        <v>362</v>
      </c>
      <c r="L39" s="75">
        <v>286</v>
      </c>
      <c r="M39" s="32">
        <f>90000+45000+11189</f>
        <v>146189</v>
      </c>
      <c r="N39" s="33">
        <v>2472</v>
      </c>
      <c r="P39" s="34">
        <f t="shared" si="0"/>
        <v>148947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6">
        <f>SUM(M5:M39)</f>
        <v>2772689</v>
      </c>
      <c r="N40" s="308">
        <f>SUM(N5:N39)</f>
        <v>107354</v>
      </c>
      <c r="P40" s="34">
        <f>SUM(P5:P39)</f>
        <v>3030685</v>
      </c>
      <c r="Q40" s="13">
        <f t="shared" si="1"/>
        <v>3030685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 t="s">
        <v>375</v>
      </c>
      <c r="K41" s="245" t="s">
        <v>204</v>
      </c>
      <c r="L41" s="75">
        <v>638.99</v>
      </c>
      <c r="M41" s="307"/>
      <c r="N41" s="309"/>
      <c r="P41" s="34"/>
      <c r="Q41" s="9"/>
    </row>
    <row r="42" spans="1:18" ht="17.25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 t="s">
        <v>375</v>
      </c>
      <c r="K42" s="76" t="s">
        <v>376</v>
      </c>
      <c r="L42" s="80">
        <v>928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 t="s">
        <v>375</v>
      </c>
      <c r="K43" s="76" t="s">
        <v>205</v>
      </c>
      <c r="L43" s="80">
        <v>1392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 t="s">
        <v>375</v>
      </c>
      <c r="K44" s="137" t="s">
        <v>377</v>
      </c>
      <c r="L44" s="80">
        <v>1907.04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 t="s">
        <v>375</v>
      </c>
      <c r="K45" s="336" t="s">
        <v>378</v>
      </c>
      <c r="L45" s="80">
        <f>4043.82+481.97+22.39</f>
        <v>4548.18</v>
      </c>
      <c r="M45" s="96"/>
      <c r="N45" s="97"/>
      <c r="P45" s="34"/>
      <c r="Q45" s="9"/>
    </row>
    <row r="46" spans="1:18" ht="18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 t="s">
        <v>379</v>
      </c>
      <c r="K46" s="292" t="s">
        <v>204</v>
      </c>
      <c r="L46" s="80">
        <v>927.48</v>
      </c>
      <c r="M46" s="96"/>
      <c r="N46" s="97"/>
      <c r="P46" s="34"/>
      <c r="Q46" s="9"/>
    </row>
    <row r="47" spans="1:18" ht="18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100292</v>
      </c>
      <c r="D51" s="107"/>
      <c r="E51" s="108" t="s">
        <v>9</v>
      </c>
      <c r="F51" s="109">
        <f>SUM(F5:F50)</f>
        <v>3005532</v>
      </c>
      <c r="G51" s="107"/>
      <c r="H51" s="110" t="s">
        <v>10</v>
      </c>
      <c r="I51" s="111">
        <f>SUM(I5:I50)</f>
        <v>2774</v>
      </c>
      <c r="J51" s="112"/>
      <c r="K51" s="113" t="s">
        <v>11</v>
      </c>
      <c r="L51" s="114">
        <f>SUM(L5:L50)</f>
        <v>57917.69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60691.69</v>
      </c>
      <c r="L53" s="313"/>
      <c r="M53" s="314">
        <f>N40+M40</f>
        <v>2880043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2844548.31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-2747780.48</v>
      </c>
      <c r="I55" s="318" t="s">
        <v>15</v>
      </c>
      <c r="J55" s="319"/>
      <c r="K55" s="320">
        <f>F57+F58+F59</f>
        <v>375154.74000000011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96767.830000000075</v>
      </c>
      <c r="H57" s="24"/>
      <c r="I57" s="129" t="s">
        <v>17</v>
      </c>
      <c r="J57" s="130"/>
      <c r="K57" s="322">
        <f>-C4</f>
        <v>-149938.81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46221</v>
      </c>
    </row>
    <row r="59" spans="1:17" ht="20.25" thickTop="1" thickBot="1" x14ac:dyDescent="0.35">
      <c r="C59" s="133">
        <v>44745</v>
      </c>
      <c r="D59" s="299" t="s">
        <v>20</v>
      </c>
      <c r="E59" s="300"/>
      <c r="F59" s="134">
        <v>232165.91</v>
      </c>
      <c r="I59" s="301" t="s">
        <v>168</v>
      </c>
      <c r="J59" s="302"/>
      <c r="K59" s="303">
        <f>K55+K57</f>
        <v>225215.93000000011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B7:C9">
    <sortCondition ref="B7:B9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8" right="0.17" top="0.4" bottom="0.34" header="0.3" footer="0.3"/>
  <pageSetup paperSize="5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J115"/>
  <sheetViews>
    <sheetView topLeftCell="A19" workbookViewId="0">
      <selection activeCell="B37" sqref="B36:B37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44711</v>
      </c>
      <c r="B3" s="265" t="s">
        <v>327</v>
      </c>
      <c r="C3" s="266">
        <v>180946.3</v>
      </c>
      <c r="D3" s="288">
        <v>44715</v>
      </c>
      <c r="E3" s="289">
        <v>180946.3</v>
      </c>
      <c r="F3" s="158">
        <f>C3-E3</f>
        <v>0</v>
      </c>
      <c r="J3" s="132"/>
    </row>
    <row r="4" spans="1:10" ht="15.75" x14ac:dyDescent="0.25">
      <c r="A4" s="267">
        <v>44711</v>
      </c>
      <c r="B4" s="268" t="s">
        <v>328</v>
      </c>
      <c r="C4" s="132">
        <v>1893.9</v>
      </c>
      <c r="D4" s="288">
        <v>44715</v>
      </c>
      <c r="E4" s="284">
        <v>1893.9</v>
      </c>
      <c r="F4" s="196">
        <f>C4-E4+F3</f>
        <v>0</v>
      </c>
      <c r="J4" s="266"/>
    </row>
    <row r="5" spans="1:10" s="35" customFormat="1" ht="15.75" x14ac:dyDescent="0.25">
      <c r="A5" s="267">
        <v>44712</v>
      </c>
      <c r="B5" s="268" t="s">
        <v>329</v>
      </c>
      <c r="C5" s="132">
        <v>19341.099999999999</v>
      </c>
      <c r="D5" s="288">
        <v>44715</v>
      </c>
      <c r="E5" s="284">
        <v>19341.099999999999</v>
      </c>
      <c r="F5" s="196">
        <f t="shared" ref="F5:F68" si="0">C5-E5+F4</f>
        <v>0</v>
      </c>
      <c r="J5" s="132"/>
    </row>
    <row r="6" spans="1:10" ht="18.75" x14ac:dyDescent="0.3">
      <c r="A6" s="267">
        <v>44713</v>
      </c>
      <c r="B6" s="268" t="s">
        <v>330</v>
      </c>
      <c r="C6" s="132">
        <v>138862.93</v>
      </c>
      <c r="D6" s="288">
        <v>44715</v>
      </c>
      <c r="E6" s="284">
        <v>138862.93</v>
      </c>
      <c r="F6" s="196">
        <f t="shared" si="0"/>
        <v>0</v>
      </c>
      <c r="G6" s="162"/>
      <c r="J6" s="132"/>
    </row>
    <row r="7" spans="1:10" ht="15.75" x14ac:dyDescent="0.25">
      <c r="A7" s="267">
        <v>44714</v>
      </c>
      <c r="B7" s="268" t="s">
        <v>331</v>
      </c>
      <c r="C7" s="132">
        <v>92111.02</v>
      </c>
      <c r="D7" s="288">
        <v>44715</v>
      </c>
      <c r="E7" s="284">
        <v>92111.02</v>
      </c>
      <c r="F7" s="196">
        <f t="shared" si="0"/>
        <v>0</v>
      </c>
      <c r="J7" s="132"/>
    </row>
    <row r="8" spans="1:10" ht="15.75" x14ac:dyDescent="0.25">
      <c r="A8" s="267">
        <v>44715</v>
      </c>
      <c r="B8" s="268" t="s">
        <v>332</v>
      </c>
      <c r="C8" s="132">
        <v>124289.28</v>
      </c>
      <c r="D8" s="269">
        <v>44722</v>
      </c>
      <c r="E8" s="132">
        <v>124289.28</v>
      </c>
      <c r="F8" s="196">
        <f t="shared" si="0"/>
        <v>0</v>
      </c>
      <c r="J8" s="132"/>
    </row>
    <row r="9" spans="1:10" ht="15.75" x14ac:dyDescent="0.25">
      <c r="A9" s="267">
        <v>44716</v>
      </c>
      <c r="B9" s="268" t="s">
        <v>333</v>
      </c>
      <c r="C9" s="132">
        <v>79461.100000000006</v>
      </c>
      <c r="D9" s="269">
        <v>44722</v>
      </c>
      <c r="E9" s="132">
        <v>79461.100000000006</v>
      </c>
      <c r="F9" s="196">
        <f t="shared" si="0"/>
        <v>0</v>
      </c>
      <c r="J9" s="132"/>
    </row>
    <row r="10" spans="1:10" ht="15.75" x14ac:dyDescent="0.25">
      <c r="A10" s="267">
        <v>44716</v>
      </c>
      <c r="B10" s="268" t="s">
        <v>334</v>
      </c>
      <c r="C10" s="132">
        <v>3658</v>
      </c>
      <c r="D10" s="269">
        <v>44722</v>
      </c>
      <c r="E10" s="132">
        <v>3658</v>
      </c>
      <c r="F10" s="196">
        <f t="shared" si="0"/>
        <v>0</v>
      </c>
      <c r="J10" s="117">
        <v>0</v>
      </c>
    </row>
    <row r="11" spans="1:10" ht="15.75" x14ac:dyDescent="0.25">
      <c r="A11" s="267">
        <v>44718</v>
      </c>
      <c r="B11" s="268" t="s">
        <v>335</v>
      </c>
      <c r="C11" s="132">
        <v>3089.44</v>
      </c>
      <c r="D11" s="269">
        <v>44722</v>
      </c>
      <c r="E11" s="132">
        <v>3089.44</v>
      </c>
      <c r="F11" s="196">
        <f t="shared" si="0"/>
        <v>0</v>
      </c>
      <c r="J11" s="277">
        <f>SUM(J3:J10)</f>
        <v>0</v>
      </c>
    </row>
    <row r="12" spans="1:10" ht="18.75" x14ac:dyDescent="0.3">
      <c r="A12" s="267">
        <v>44718</v>
      </c>
      <c r="B12" s="268" t="s">
        <v>336</v>
      </c>
      <c r="C12" s="132">
        <v>93919.32</v>
      </c>
      <c r="D12" s="269">
        <v>44722</v>
      </c>
      <c r="E12" s="132">
        <v>93919.32</v>
      </c>
      <c r="F12" s="196">
        <f t="shared" si="0"/>
        <v>0</v>
      </c>
      <c r="G12" s="162"/>
    </row>
    <row r="13" spans="1:10" ht="15.75" x14ac:dyDescent="0.25">
      <c r="A13" s="267">
        <v>44718</v>
      </c>
      <c r="B13" s="268" t="s">
        <v>337</v>
      </c>
      <c r="C13" s="132">
        <v>8582.7000000000007</v>
      </c>
      <c r="D13" s="269">
        <v>44722</v>
      </c>
      <c r="E13" s="132">
        <v>8582.7000000000007</v>
      </c>
      <c r="F13" s="196">
        <f t="shared" si="0"/>
        <v>0</v>
      </c>
    </row>
    <row r="14" spans="1:10" ht="15.75" x14ac:dyDescent="0.25">
      <c r="A14" s="267">
        <v>44719</v>
      </c>
      <c r="B14" s="268" t="s">
        <v>338</v>
      </c>
      <c r="C14" s="132">
        <v>46680.3</v>
      </c>
      <c r="D14" s="269">
        <v>44722</v>
      </c>
      <c r="E14" s="132">
        <v>46680.3</v>
      </c>
      <c r="F14" s="196">
        <f t="shared" si="0"/>
        <v>0</v>
      </c>
    </row>
    <row r="15" spans="1:10" ht="15.75" x14ac:dyDescent="0.25">
      <c r="A15" s="267">
        <v>44720</v>
      </c>
      <c r="B15" s="268" t="s">
        <v>339</v>
      </c>
      <c r="C15" s="132">
        <v>112979.51</v>
      </c>
      <c r="D15" s="269">
        <v>44722</v>
      </c>
      <c r="E15" s="132">
        <v>112979.51</v>
      </c>
      <c r="F15" s="196">
        <f t="shared" si="0"/>
        <v>0</v>
      </c>
    </row>
    <row r="16" spans="1:10" ht="15.75" x14ac:dyDescent="0.25">
      <c r="A16" s="267">
        <v>44721</v>
      </c>
      <c r="B16" s="268" t="s">
        <v>340</v>
      </c>
      <c r="C16" s="132">
        <v>132421.28</v>
      </c>
      <c r="D16" s="269">
        <v>44722</v>
      </c>
      <c r="E16" s="132">
        <v>132421.28</v>
      </c>
      <c r="F16" s="196">
        <f t="shared" si="0"/>
        <v>0</v>
      </c>
    </row>
    <row r="17" spans="1:7" ht="15.75" x14ac:dyDescent="0.25">
      <c r="A17" s="267">
        <v>44722</v>
      </c>
      <c r="B17" s="268" t="s">
        <v>345</v>
      </c>
      <c r="C17" s="132">
        <v>6456</v>
      </c>
      <c r="D17" s="269">
        <v>44722</v>
      </c>
      <c r="E17" s="132">
        <v>6456</v>
      </c>
      <c r="F17" s="196">
        <f t="shared" si="0"/>
        <v>0</v>
      </c>
    </row>
    <row r="18" spans="1:7" ht="15.75" x14ac:dyDescent="0.25">
      <c r="A18" s="267">
        <v>44723</v>
      </c>
      <c r="B18" s="268" t="s">
        <v>346</v>
      </c>
      <c r="C18" s="132">
        <v>141561.31</v>
      </c>
      <c r="D18" s="269"/>
      <c r="E18" s="132"/>
      <c r="F18" s="196">
        <f t="shared" si="0"/>
        <v>141561.31</v>
      </c>
    </row>
    <row r="19" spans="1:7" ht="15.75" x14ac:dyDescent="0.25">
      <c r="A19" s="267">
        <v>44725</v>
      </c>
      <c r="B19" s="268" t="s">
        <v>347</v>
      </c>
      <c r="C19" s="132">
        <v>88357.89</v>
      </c>
      <c r="D19" s="269"/>
      <c r="E19" s="132"/>
      <c r="F19" s="196">
        <f t="shared" si="0"/>
        <v>229919.2</v>
      </c>
    </row>
    <row r="20" spans="1:7" ht="15.75" x14ac:dyDescent="0.25">
      <c r="A20" s="267">
        <v>44725</v>
      </c>
      <c r="B20" s="268" t="s">
        <v>348</v>
      </c>
      <c r="C20" s="132">
        <v>1800</v>
      </c>
      <c r="D20" s="269"/>
      <c r="E20" s="132"/>
      <c r="F20" s="196">
        <f t="shared" si="0"/>
        <v>231719.2</v>
      </c>
    </row>
    <row r="21" spans="1:7" ht="15.75" x14ac:dyDescent="0.25">
      <c r="A21" s="267">
        <v>44726</v>
      </c>
      <c r="B21" s="268" t="s">
        <v>349</v>
      </c>
      <c r="C21" s="132">
        <v>124846.39999999999</v>
      </c>
      <c r="D21" s="269"/>
      <c r="E21" s="132"/>
      <c r="F21" s="196">
        <f t="shared" si="0"/>
        <v>356565.6</v>
      </c>
    </row>
    <row r="22" spans="1:7" ht="15.75" x14ac:dyDescent="0.25">
      <c r="A22" s="267">
        <v>44727</v>
      </c>
      <c r="B22" s="268" t="s">
        <v>350</v>
      </c>
      <c r="C22" s="132">
        <v>30517.4</v>
      </c>
      <c r="D22" s="269"/>
      <c r="E22" s="132"/>
      <c r="F22" s="196">
        <f t="shared" si="0"/>
        <v>387083</v>
      </c>
    </row>
    <row r="23" spans="1:7" ht="15.75" x14ac:dyDescent="0.25">
      <c r="A23" s="267">
        <v>44728</v>
      </c>
      <c r="B23" s="268" t="s">
        <v>351</v>
      </c>
      <c r="C23" s="132">
        <v>105168.4</v>
      </c>
      <c r="D23" s="269"/>
      <c r="E23" s="132"/>
      <c r="F23" s="196">
        <f t="shared" si="0"/>
        <v>492251.4</v>
      </c>
    </row>
    <row r="24" spans="1:7" ht="18.75" x14ac:dyDescent="0.3">
      <c r="A24" s="267">
        <v>44728</v>
      </c>
      <c r="B24" s="268" t="s">
        <v>352</v>
      </c>
      <c r="C24" s="132">
        <v>1901.8</v>
      </c>
      <c r="D24" s="269"/>
      <c r="E24" s="132"/>
      <c r="F24" s="196">
        <f t="shared" si="0"/>
        <v>494153.2</v>
      </c>
      <c r="G24" s="162"/>
    </row>
    <row r="25" spans="1:7" ht="15.75" x14ac:dyDescent="0.25">
      <c r="A25" s="267">
        <v>44729</v>
      </c>
      <c r="B25" s="268" t="s">
        <v>353</v>
      </c>
      <c r="C25" s="132">
        <v>21748.2</v>
      </c>
      <c r="D25" s="269"/>
      <c r="E25" s="132"/>
      <c r="F25" s="196">
        <f t="shared" si="0"/>
        <v>515901.4</v>
      </c>
    </row>
    <row r="26" spans="1:7" ht="15.75" x14ac:dyDescent="0.25">
      <c r="A26" s="267">
        <v>44729</v>
      </c>
      <c r="B26" s="268" t="s">
        <v>354</v>
      </c>
      <c r="C26" s="132">
        <v>63869.33</v>
      </c>
      <c r="D26" s="269"/>
      <c r="E26" s="132"/>
      <c r="F26" s="196">
        <f t="shared" si="0"/>
        <v>579770.73</v>
      </c>
    </row>
    <row r="27" spans="1:7" ht="18.75" customHeight="1" x14ac:dyDescent="0.25">
      <c r="A27" s="267">
        <v>44729</v>
      </c>
      <c r="B27" s="268" t="s">
        <v>355</v>
      </c>
      <c r="C27" s="132">
        <v>2726.4</v>
      </c>
      <c r="D27" s="269"/>
      <c r="E27" s="132"/>
      <c r="F27" s="196">
        <f t="shared" si="0"/>
        <v>582497.13</v>
      </c>
    </row>
    <row r="28" spans="1:7" ht="18.75" customHeight="1" x14ac:dyDescent="0.25">
      <c r="A28" s="267">
        <v>44730</v>
      </c>
      <c r="B28" s="268" t="s">
        <v>363</v>
      </c>
      <c r="C28" s="132">
        <v>14428.64</v>
      </c>
      <c r="D28" s="269"/>
      <c r="E28" s="132"/>
      <c r="F28" s="196">
        <f t="shared" si="0"/>
        <v>596925.77</v>
      </c>
    </row>
    <row r="29" spans="1:7" ht="18.75" customHeight="1" x14ac:dyDescent="0.25">
      <c r="A29" s="267">
        <v>44732</v>
      </c>
      <c r="B29" s="268" t="s">
        <v>364</v>
      </c>
      <c r="C29" s="132">
        <v>131512.62</v>
      </c>
      <c r="D29" s="269"/>
      <c r="E29" s="132"/>
      <c r="F29" s="196">
        <f t="shared" si="0"/>
        <v>728438.39</v>
      </c>
    </row>
    <row r="30" spans="1:7" ht="18.75" customHeight="1" x14ac:dyDescent="0.25">
      <c r="A30" s="267">
        <v>44733</v>
      </c>
      <c r="B30" s="268" t="s">
        <v>365</v>
      </c>
      <c r="C30" s="132">
        <v>68859.600000000006</v>
      </c>
      <c r="D30" s="267"/>
      <c r="E30" s="132"/>
      <c r="F30" s="196">
        <f t="shared" si="0"/>
        <v>797297.99</v>
      </c>
    </row>
    <row r="31" spans="1:7" ht="18.75" customHeight="1" x14ac:dyDescent="0.25">
      <c r="A31" s="267">
        <v>44734</v>
      </c>
      <c r="B31" s="268" t="s">
        <v>366</v>
      </c>
      <c r="C31" s="132">
        <v>42136.6</v>
      </c>
      <c r="D31" s="269"/>
      <c r="E31" s="132"/>
      <c r="F31" s="196">
        <f t="shared" si="0"/>
        <v>839434.59</v>
      </c>
    </row>
    <row r="32" spans="1:7" ht="18.75" customHeight="1" x14ac:dyDescent="0.3">
      <c r="A32" s="267">
        <v>44735</v>
      </c>
      <c r="B32" s="268" t="s">
        <v>367</v>
      </c>
      <c r="C32" s="132">
        <v>138883.07999999999</v>
      </c>
      <c r="D32" s="269"/>
      <c r="E32" s="132"/>
      <c r="F32" s="196">
        <f t="shared" si="0"/>
        <v>978317.66999999993</v>
      </c>
      <c r="G32" s="162"/>
    </row>
    <row r="33" spans="1:6" ht="18.75" customHeight="1" x14ac:dyDescent="0.25">
      <c r="A33" s="267">
        <v>44737</v>
      </c>
      <c r="B33" s="268" t="s">
        <v>368</v>
      </c>
      <c r="C33" s="132">
        <v>181425.6</v>
      </c>
      <c r="D33" s="269"/>
      <c r="E33" s="132"/>
      <c r="F33" s="196">
        <f t="shared" si="0"/>
        <v>1159743.27</v>
      </c>
    </row>
    <row r="34" spans="1:6" ht="18.75" customHeight="1" x14ac:dyDescent="0.25">
      <c r="A34" s="267">
        <v>44737</v>
      </c>
      <c r="B34" s="268" t="s">
        <v>369</v>
      </c>
      <c r="C34" s="132">
        <v>6873.3</v>
      </c>
      <c r="D34" s="269"/>
      <c r="E34" s="132"/>
      <c r="F34" s="196">
        <f t="shared" si="0"/>
        <v>1166616.57</v>
      </c>
    </row>
    <row r="35" spans="1:6" ht="18.75" customHeight="1" x14ac:dyDescent="0.25">
      <c r="A35" s="267">
        <v>44739</v>
      </c>
      <c r="B35" s="268" t="s">
        <v>370</v>
      </c>
      <c r="C35" s="132">
        <v>41033.42</v>
      </c>
      <c r="D35" s="269"/>
      <c r="E35" s="132"/>
      <c r="F35" s="196">
        <f t="shared" si="0"/>
        <v>1207649.99</v>
      </c>
    </row>
    <row r="36" spans="1:6" ht="18.75" customHeight="1" x14ac:dyDescent="0.25">
      <c r="A36" s="267">
        <v>44740</v>
      </c>
      <c r="B36" s="268" t="s">
        <v>371</v>
      </c>
      <c r="C36" s="132">
        <v>133753.5</v>
      </c>
      <c r="D36" s="269"/>
      <c r="E36" s="132"/>
      <c r="F36" s="196">
        <f t="shared" si="0"/>
        <v>1341403.49</v>
      </c>
    </row>
    <row r="37" spans="1:6" ht="18.75" customHeight="1" x14ac:dyDescent="0.25">
      <c r="A37" s="267">
        <v>44742</v>
      </c>
      <c r="B37" s="268" t="s">
        <v>372</v>
      </c>
      <c r="C37" s="132">
        <v>132774.54</v>
      </c>
      <c r="D37" s="269"/>
      <c r="E37" s="132"/>
      <c r="F37" s="196">
        <f t="shared" si="0"/>
        <v>1474178.03</v>
      </c>
    </row>
    <row r="38" spans="1:6" ht="18.75" customHeight="1" x14ac:dyDescent="0.25">
      <c r="A38" s="267">
        <v>44743</v>
      </c>
      <c r="B38" s="268" t="s">
        <v>373</v>
      </c>
      <c r="C38" s="132">
        <v>86830.49</v>
      </c>
      <c r="D38" s="269"/>
      <c r="E38" s="132"/>
      <c r="F38" s="196">
        <f t="shared" si="0"/>
        <v>1561008.52</v>
      </c>
    </row>
    <row r="39" spans="1:6" ht="18.75" customHeight="1" x14ac:dyDescent="0.25">
      <c r="A39" s="267">
        <v>44744</v>
      </c>
      <c r="B39" s="268" t="s">
        <v>374</v>
      </c>
      <c r="C39" s="132">
        <v>142079.78</v>
      </c>
      <c r="D39" s="269"/>
      <c r="E39" s="132"/>
      <c r="F39" s="196">
        <f t="shared" si="0"/>
        <v>1703088.3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1703088.3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1703088.3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1703088.3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1703088.3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1703088.3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1703088.3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1703088.3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1703088.3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1703088.3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1703088.3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1703088.3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1703088.3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1703088.3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1703088.3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1703088.3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1703088.3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1703088.3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1703088.3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1703088.3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1703088.3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1703088.3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1703088.3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1703088.3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1703088.3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1703088.3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1703088.3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1703088.3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1703088.3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1703088.3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1703088.3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1703088.3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1703088.3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1703088.3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1703088.3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1703088.3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1703088.3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1703088.3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1703088.3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1703088.3</v>
      </c>
    </row>
    <row r="79" spans="1:6" ht="19.5" thickBot="1" x14ac:dyDescent="0.35">
      <c r="A79" s="212"/>
      <c r="B79" s="232"/>
      <c r="C79" s="250">
        <f>SUM(C3:C78)</f>
        <v>2747780.4799999995</v>
      </c>
      <c r="D79" s="189"/>
      <c r="E79" s="178">
        <f>SUM(E3:E78)</f>
        <v>1044692.1799999999</v>
      </c>
      <c r="F79" s="179">
        <f>F78</f>
        <v>1703088.3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99"/>
  </sheetPr>
  <dimension ref="A1:U81"/>
  <sheetViews>
    <sheetView workbookViewId="0">
      <selection activeCell="Q53" sqref="Q5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23.5703125" style="1" bestFit="1" customWidth="1"/>
  </cols>
  <sheetData>
    <row r="1" spans="1:21" ht="23.25" x14ac:dyDescent="0.35">
      <c r="B1" s="324"/>
      <c r="C1" s="326" t="s">
        <v>380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232165.91</v>
      </c>
      <c r="D4" s="18">
        <v>44745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44746</v>
      </c>
      <c r="C5" s="26">
        <v>0</v>
      </c>
      <c r="D5" s="27"/>
      <c r="E5" s="28">
        <v>44746</v>
      </c>
      <c r="F5" s="29">
        <v>75721</v>
      </c>
      <c r="G5" s="2"/>
      <c r="H5" s="30">
        <v>44746</v>
      </c>
      <c r="I5" s="31">
        <v>29</v>
      </c>
      <c r="J5" s="7"/>
      <c r="K5" s="182"/>
      <c r="L5" s="9"/>
      <c r="M5" s="32">
        <f>200+15000+69475</f>
        <v>84675</v>
      </c>
      <c r="N5" s="33">
        <v>0</v>
      </c>
      <c r="O5" s="2"/>
      <c r="P5" s="34">
        <f>N5+M5+L5+I5+C5</f>
        <v>84704</v>
      </c>
      <c r="Q5" s="13">
        <v>0</v>
      </c>
      <c r="R5" s="293">
        <v>8983</v>
      </c>
    </row>
    <row r="6" spans="1:21" ht="18" thickBot="1" x14ac:dyDescent="0.35">
      <c r="A6" s="24"/>
      <c r="B6" s="25">
        <v>44747</v>
      </c>
      <c r="C6" s="26">
        <v>2220</v>
      </c>
      <c r="D6" s="36" t="s">
        <v>47</v>
      </c>
      <c r="E6" s="28">
        <v>44747</v>
      </c>
      <c r="F6" s="29">
        <v>64337</v>
      </c>
      <c r="G6" s="2"/>
      <c r="H6" s="30">
        <v>44747</v>
      </c>
      <c r="I6" s="31">
        <v>15</v>
      </c>
      <c r="J6" s="38"/>
      <c r="K6" s="39"/>
      <c r="L6" s="40"/>
      <c r="M6" s="32">
        <f>20000+52612</f>
        <v>72612</v>
      </c>
      <c r="N6" s="33">
        <v>0</v>
      </c>
      <c r="O6" s="2"/>
      <c r="P6" s="34">
        <f t="shared" ref="P6:P40" si="0">N6+M6+L6+I6+C6</f>
        <v>74847</v>
      </c>
      <c r="Q6" s="13">
        <v>0</v>
      </c>
      <c r="R6" s="184">
        <v>10510</v>
      </c>
    </row>
    <row r="7" spans="1:21" ht="18" thickBot="1" x14ac:dyDescent="0.35">
      <c r="A7" s="24"/>
      <c r="B7" s="25">
        <v>44748</v>
      </c>
      <c r="C7" s="26">
        <v>0</v>
      </c>
      <c r="D7" s="41"/>
      <c r="E7" s="28">
        <v>44748</v>
      </c>
      <c r="F7" s="29">
        <v>55285</v>
      </c>
      <c r="G7" s="2"/>
      <c r="H7" s="30">
        <v>44748</v>
      </c>
      <c r="I7" s="31">
        <v>135</v>
      </c>
      <c r="J7" s="38"/>
      <c r="K7" s="42"/>
      <c r="L7" s="40"/>
      <c r="M7" s="32">
        <f>44893+10000</f>
        <v>54893</v>
      </c>
      <c r="N7" s="33">
        <v>257</v>
      </c>
      <c r="O7" s="2"/>
      <c r="P7" s="34">
        <f t="shared" si="0"/>
        <v>55285</v>
      </c>
      <c r="Q7" s="13">
        <f t="shared" ref="Q7:Q39" si="1">P7-F7</f>
        <v>0</v>
      </c>
      <c r="R7" s="9"/>
    </row>
    <row r="8" spans="1:21" ht="18" thickBot="1" x14ac:dyDescent="0.35">
      <c r="A8" s="24"/>
      <c r="B8" s="25">
        <v>44749</v>
      </c>
      <c r="C8" s="26">
        <v>31689</v>
      </c>
      <c r="D8" s="41" t="s">
        <v>49</v>
      </c>
      <c r="E8" s="28">
        <v>44749</v>
      </c>
      <c r="F8" s="29">
        <v>67572</v>
      </c>
      <c r="G8" s="2"/>
      <c r="H8" s="30">
        <v>44749</v>
      </c>
      <c r="I8" s="31">
        <v>61</v>
      </c>
      <c r="J8" s="44"/>
      <c r="K8" s="45"/>
      <c r="L8" s="40"/>
      <c r="M8" s="32">
        <f>20000+15529</f>
        <v>35529</v>
      </c>
      <c r="N8" s="33">
        <v>293</v>
      </c>
      <c r="O8" s="2"/>
      <c r="P8" s="34">
        <f t="shared" si="0"/>
        <v>67572</v>
      </c>
      <c r="Q8" s="13">
        <f t="shared" si="1"/>
        <v>0</v>
      </c>
      <c r="R8" s="9"/>
    </row>
    <row r="9" spans="1:21" ht="18" thickBot="1" x14ac:dyDescent="0.35">
      <c r="A9" s="24"/>
      <c r="B9" s="25">
        <v>44750</v>
      </c>
      <c r="C9" s="26">
        <v>0</v>
      </c>
      <c r="D9" s="41"/>
      <c r="E9" s="28">
        <v>44750</v>
      </c>
      <c r="F9" s="29">
        <v>87563</v>
      </c>
      <c r="G9" s="2"/>
      <c r="H9" s="30">
        <v>44750</v>
      </c>
      <c r="I9" s="31">
        <v>50</v>
      </c>
      <c r="J9" s="38"/>
      <c r="K9" s="46"/>
      <c r="L9" s="40"/>
      <c r="M9" s="32">
        <f>20000+63428</f>
        <v>83428</v>
      </c>
      <c r="N9" s="33">
        <v>4085</v>
      </c>
      <c r="O9" s="2"/>
      <c r="P9" s="34">
        <f t="shared" si="0"/>
        <v>87563</v>
      </c>
      <c r="Q9" s="13">
        <f t="shared" si="1"/>
        <v>0</v>
      </c>
      <c r="R9" s="9"/>
    </row>
    <row r="10" spans="1:21" ht="18" thickBot="1" x14ac:dyDescent="0.35">
      <c r="A10" s="24"/>
      <c r="B10" s="25">
        <v>44751</v>
      </c>
      <c r="C10" s="26">
        <v>0</v>
      </c>
      <c r="D10" s="36"/>
      <c r="E10" s="28">
        <v>44751</v>
      </c>
      <c r="F10" s="29">
        <v>74393</v>
      </c>
      <c r="G10" s="2"/>
      <c r="H10" s="30">
        <v>44751</v>
      </c>
      <c r="I10" s="31">
        <v>65</v>
      </c>
      <c r="J10" s="38">
        <v>44751</v>
      </c>
      <c r="K10" s="47" t="s">
        <v>381</v>
      </c>
      <c r="L10" s="48">
        <v>10713</v>
      </c>
      <c r="M10" s="32">
        <f>35000+37489</f>
        <v>72489</v>
      </c>
      <c r="N10" s="33">
        <v>7126</v>
      </c>
      <c r="O10" s="2"/>
      <c r="P10" s="34">
        <f t="shared" si="0"/>
        <v>90393</v>
      </c>
      <c r="Q10" s="13">
        <v>0</v>
      </c>
      <c r="R10" s="184">
        <v>16000</v>
      </c>
      <c r="U10" t="s">
        <v>8</v>
      </c>
    </row>
    <row r="11" spans="1:21" ht="18" thickBot="1" x14ac:dyDescent="0.35">
      <c r="A11" s="24"/>
      <c r="B11" s="25">
        <v>44752</v>
      </c>
      <c r="C11" s="26">
        <v>1268</v>
      </c>
      <c r="D11" s="36" t="s">
        <v>382</v>
      </c>
      <c r="E11" s="28">
        <v>44752</v>
      </c>
      <c r="F11" s="29">
        <v>96836</v>
      </c>
      <c r="G11" s="2"/>
      <c r="H11" s="30">
        <v>44752</v>
      </c>
      <c r="I11" s="31">
        <v>20</v>
      </c>
      <c r="J11" s="44"/>
      <c r="K11" s="49"/>
      <c r="L11" s="40"/>
      <c r="M11" s="32">
        <f>13658+80000</f>
        <v>93658</v>
      </c>
      <c r="N11" s="33">
        <v>1890</v>
      </c>
      <c r="O11" s="2"/>
      <c r="P11" s="34">
        <f>N11+M11+L11+I11+C11</f>
        <v>96836</v>
      </c>
      <c r="Q11" s="13">
        <f t="shared" si="1"/>
        <v>0</v>
      </c>
      <c r="R11" s="9" t="s">
        <v>8</v>
      </c>
    </row>
    <row r="12" spans="1:21" ht="18" thickBot="1" x14ac:dyDescent="0.35">
      <c r="A12" s="24"/>
      <c r="B12" s="25">
        <v>44753</v>
      </c>
      <c r="C12" s="26">
        <v>3860</v>
      </c>
      <c r="D12" s="36" t="s">
        <v>383</v>
      </c>
      <c r="E12" s="28">
        <v>44753</v>
      </c>
      <c r="F12" s="29">
        <v>72261</v>
      </c>
      <c r="G12" s="2"/>
      <c r="H12" s="30">
        <v>44753</v>
      </c>
      <c r="I12" s="31">
        <v>104</v>
      </c>
      <c r="J12" s="38"/>
      <c r="K12" s="50"/>
      <c r="L12" s="40"/>
      <c r="M12" s="32">
        <f>23000+41297</f>
        <v>64297</v>
      </c>
      <c r="N12" s="33">
        <v>4000</v>
      </c>
      <c r="O12" s="2"/>
      <c r="P12" s="34">
        <f t="shared" si="0"/>
        <v>72261</v>
      </c>
      <c r="Q12" s="13">
        <f t="shared" si="1"/>
        <v>0</v>
      </c>
      <c r="R12" s="9" t="s">
        <v>8</v>
      </c>
    </row>
    <row r="13" spans="1:21" ht="18" thickBot="1" x14ac:dyDescent="0.35">
      <c r="A13" s="24"/>
      <c r="B13" s="25">
        <v>44754</v>
      </c>
      <c r="C13" s="26">
        <v>1550</v>
      </c>
      <c r="D13" s="41" t="s">
        <v>384</v>
      </c>
      <c r="E13" s="28">
        <v>44754</v>
      </c>
      <c r="F13" s="29">
        <v>61151</v>
      </c>
      <c r="G13" s="2"/>
      <c r="H13" s="30">
        <v>44754</v>
      </c>
      <c r="I13" s="31">
        <v>28</v>
      </c>
      <c r="J13" s="38"/>
      <c r="K13" s="39"/>
      <c r="L13" s="40"/>
      <c r="M13" s="32">
        <f>20000+42573</f>
        <v>62573</v>
      </c>
      <c r="N13" s="33">
        <v>0</v>
      </c>
      <c r="O13" s="2"/>
      <c r="P13" s="34">
        <f t="shared" si="0"/>
        <v>64151</v>
      </c>
      <c r="Q13" s="13">
        <v>0</v>
      </c>
      <c r="R13" s="184">
        <v>3000</v>
      </c>
    </row>
    <row r="14" spans="1:21" ht="18" thickBot="1" x14ac:dyDescent="0.35">
      <c r="A14" s="24"/>
      <c r="B14" s="25">
        <v>44755</v>
      </c>
      <c r="C14" s="26">
        <v>0</v>
      </c>
      <c r="D14" s="51"/>
      <c r="E14" s="28">
        <v>44755</v>
      </c>
      <c r="F14" s="29">
        <v>29742</v>
      </c>
      <c r="G14" s="2"/>
      <c r="H14" s="30">
        <v>44755</v>
      </c>
      <c r="I14" s="31">
        <v>122</v>
      </c>
      <c r="J14" s="38"/>
      <c r="K14" s="45"/>
      <c r="L14" s="40"/>
      <c r="M14" s="32">
        <v>29097</v>
      </c>
      <c r="N14" s="33">
        <v>523</v>
      </c>
      <c r="O14" s="2"/>
      <c r="P14" s="34">
        <f t="shared" si="0"/>
        <v>29742</v>
      </c>
      <c r="Q14" s="13">
        <f t="shared" si="1"/>
        <v>0</v>
      </c>
      <c r="R14" s="185"/>
    </row>
    <row r="15" spans="1:21" ht="18" thickBot="1" x14ac:dyDescent="0.35">
      <c r="A15" s="24"/>
      <c r="B15" s="25">
        <v>44756</v>
      </c>
      <c r="C15" s="26">
        <v>14035</v>
      </c>
      <c r="D15" s="51" t="s">
        <v>49</v>
      </c>
      <c r="E15" s="28">
        <v>44756</v>
      </c>
      <c r="F15" s="29">
        <v>83567</v>
      </c>
      <c r="G15" s="2"/>
      <c r="H15" s="30">
        <v>44756</v>
      </c>
      <c r="I15" s="31">
        <v>94</v>
      </c>
      <c r="J15" s="38"/>
      <c r="K15" s="45"/>
      <c r="L15" s="40"/>
      <c r="M15" s="32">
        <f>20000+51838</f>
        <v>71838</v>
      </c>
      <c r="N15" s="33">
        <v>1600</v>
      </c>
      <c r="P15" s="34">
        <f t="shared" si="0"/>
        <v>87567</v>
      </c>
      <c r="Q15" s="13">
        <v>0</v>
      </c>
      <c r="R15" s="293">
        <v>4000</v>
      </c>
    </row>
    <row r="16" spans="1:21" ht="18" thickBot="1" x14ac:dyDescent="0.35">
      <c r="A16" s="24"/>
      <c r="B16" s="25">
        <v>44757</v>
      </c>
      <c r="C16" s="26">
        <v>0</v>
      </c>
      <c r="D16" s="36"/>
      <c r="E16" s="28">
        <v>44757</v>
      </c>
      <c r="F16" s="29">
        <v>108259</v>
      </c>
      <c r="G16" s="2"/>
      <c r="H16" s="30">
        <v>44757</v>
      </c>
      <c r="I16" s="31">
        <v>86</v>
      </c>
      <c r="J16" s="38"/>
      <c r="K16" s="45"/>
      <c r="L16" s="9"/>
      <c r="M16" s="32">
        <f>55000+56821</f>
        <v>111821</v>
      </c>
      <c r="N16" s="33">
        <v>80</v>
      </c>
      <c r="P16" s="34">
        <f t="shared" si="0"/>
        <v>111987</v>
      </c>
      <c r="Q16" s="13">
        <v>0</v>
      </c>
      <c r="R16" s="293">
        <v>3728</v>
      </c>
    </row>
    <row r="17" spans="1:18" ht="18" thickBot="1" x14ac:dyDescent="0.35">
      <c r="A17" s="24"/>
      <c r="B17" s="25">
        <v>44758</v>
      </c>
      <c r="C17" s="26">
        <v>5</v>
      </c>
      <c r="D17" s="41" t="s">
        <v>34</v>
      </c>
      <c r="E17" s="28">
        <v>44758</v>
      </c>
      <c r="F17" s="29">
        <v>103870</v>
      </c>
      <c r="G17" s="2"/>
      <c r="H17" s="30">
        <v>44758</v>
      </c>
      <c r="I17" s="31">
        <v>130</v>
      </c>
      <c r="J17" s="38">
        <v>44758</v>
      </c>
      <c r="K17" s="52" t="s">
        <v>385</v>
      </c>
      <c r="L17" s="48">
        <v>9500</v>
      </c>
      <c r="M17" s="32">
        <f>40000+48423</f>
        <v>88423</v>
      </c>
      <c r="N17" s="33">
        <v>5812</v>
      </c>
      <c r="P17" s="34">
        <f t="shared" si="0"/>
        <v>103870</v>
      </c>
      <c r="Q17" s="13">
        <f t="shared" si="1"/>
        <v>0</v>
      </c>
      <c r="R17" s="9"/>
    </row>
    <row r="18" spans="1:18" ht="18" thickBot="1" x14ac:dyDescent="0.35">
      <c r="A18" s="24"/>
      <c r="B18" s="25">
        <v>44759</v>
      </c>
      <c r="C18" s="26">
        <v>0</v>
      </c>
      <c r="D18" s="36"/>
      <c r="E18" s="28">
        <v>44759</v>
      </c>
      <c r="F18" s="29">
        <v>174202</v>
      </c>
      <c r="G18" s="2"/>
      <c r="H18" s="30">
        <v>44759</v>
      </c>
      <c r="I18" s="31">
        <v>56</v>
      </c>
      <c r="J18" s="38"/>
      <c r="K18" s="53"/>
      <c r="L18" s="40"/>
      <c r="M18" s="32">
        <f>80000+75000+16489</f>
        <v>171489</v>
      </c>
      <c r="N18" s="33">
        <v>2657</v>
      </c>
      <c r="P18" s="34">
        <f t="shared" si="0"/>
        <v>174202</v>
      </c>
      <c r="Q18" s="13">
        <f t="shared" si="1"/>
        <v>0</v>
      </c>
      <c r="R18" s="9"/>
    </row>
    <row r="19" spans="1:18" ht="18" thickBot="1" x14ac:dyDescent="0.35">
      <c r="A19" s="24"/>
      <c r="B19" s="25">
        <v>44760</v>
      </c>
      <c r="C19" s="26">
        <v>2220</v>
      </c>
      <c r="D19" s="36" t="s">
        <v>47</v>
      </c>
      <c r="E19" s="28">
        <v>44760</v>
      </c>
      <c r="F19" s="29">
        <v>76929</v>
      </c>
      <c r="G19" s="2"/>
      <c r="H19" s="30">
        <v>44760</v>
      </c>
      <c r="I19" s="31">
        <v>76</v>
      </c>
      <c r="J19" s="38"/>
      <c r="K19" s="54"/>
      <c r="L19" s="55"/>
      <c r="M19" s="32">
        <f>10000+59233</f>
        <v>69233</v>
      </c>
      <c r="N19" s="33">
        <v>5400</v>
      </c>
      <c r="O19" s="2"/>
      <c r="P19" s="34">
        <f t="shared" si="0"/>
        <v>76929</v>
      </c>
      <c r="Q19" s="13">
        <f t="shared" si="1"/>
        <v>0</v>
      </c>
      <c r="R19" s="9"/>
    </row>
    <row r="20" spans="1:18" ht="18" thickBot="1" x14ac:dyDescent="0.35">
      <c r="A20" s="24"/>
      <c r="B20" s="25">
        <v>44761</v>
      </c>
      <c r="C20" s="26">
        <v>2800</v>
      </c>
      <c r="D20" s="36" t="s">
        <v>312</v>
      </c>
      <c r="E20" s="28">
        <v>44761</v>
      </c>
      <c r="F20" s="29">
        <v>80274</v>
      </c>
      <c r="G20" s="2"/>
      <c r="H20" s="30">
        <v>44761</v>
      </c>
      <c r="I20" s="31">
        <v>15</v>
      </c>
      <c r="J20" s="38"/>
      <c r="K20" s="56"/>
      <c r="L20" s="48"/>
      <c r="M20" s="32">
        <f>52240+20000</f>
        <v>72240</v>
      </c>
      <c r="N20" s="33">
        <v>5219</v>
      </c>
      <c r="P20" s="34">
        <f t="shared" si="0"/>
        <v>80274</v>
      </c>
      <c r="Q20" s="13">
        <f t="shared" si="1"/>
        <v>0</v>
      </c>
      <c r="R20" s="9"/>
    </row>
    <row r="21" spans="1:18" ht="18" thickBot="1" x14ac:dyDescent="0.35">
      <c r="A21" s="24"/>
      <c r="B21" s="25">
        <v>44762</v>
      </c>
      <c r="C21" s="26">
        <v>0</v>
      </c>
      <c r="D21" s="36"/>
      <c r="E21" s="28">
        <v>44762</v>
      </c>
      <c r="F21" s="29">
        <v>69450</v>
      </c>
      <c r="G21" s="2"/>
      <c r="H21" s="30">
        <v>44762</v>
      </c>
      <c r="I21" s="31">
        <v>85</v>
      </c>
      <c r="J21" s="38"/>
      <c r="K21" s="57"/>
      <c r="L21" s="48"/>
      <c r="M21" s="32">
        <f>52210+15000</f>
        <v>67210</v>
      </c>
      <c r="N21" s="33">
        <v>2155</v>
      </c>
      <c r="P21" s="34">
        <f t="shared" si="0"/>
        <v>69450</v>
      </c>
      <c r="Q21" s="13">
        <f t="shared" si="1"/>
        <v>0</v>
      </c>
      <c r="R21" s="9"/>
    </row>
    <row r="22" spans="1:18" ht="18" thickBot="1" x14ac:dyDescent="0.35">
      <c r="A22" s="24"/>
      <c r="B22" s="25">
        <v>44763</v>
      </c>
      <c r="C22" s="26">
        <v>26231</v>
      </c>
      <c r="D22" s="36" t="s">
        <v>49</v>
      </c>
      <c r="E22" s="28">
        <v>44763</v>
      </c>
      <c r="F22" s="29">
        <v>96352</v>
      </c>
      <c r="G22" s="2"/>
      <c r="H22" s="30">
        <v>44763</v>
      </c>
      <c r="I22" s="31">
        <v>71</v>
      </c>
      <c r="J22" s="38"/>
      <c r="K22" s="45"/>
      <c r="L22" s="58"/>
      <c r="M22" s="32">
        <f>43277+25000</f>
        <v>68277</v>
      </c>
      <c r="N22" s="33">
        <v>1773</v>
      </c>
      <c r="P22" s="34">
        <f t="shared" si="0"/>
        <v>96352</v>
      </c>
      <c r="Q22" s="13">
        <f t="shared" si="1"/>
        <v>0</v>
      </c>
      <c r="R22" s="9"/>
    </row>
    <row r="23" spans="1:18" ht="18" thickBot="1" x14ac:dyDescent="0.35">
      <c r="A23" s="24"/>
      <c r="B23" s="25">
        <v>44764</v>
      </c>
      <c r="C23" s="26">
        <v>0</v>
      </c>
      <c r="D23" s="36"/>
      <c r="E23" s="28">
        <v>44764</v>
      </c>
      <c r="F23" s="29">
        <v>116734</v>
      </c>
      <c r="G23" s="2"/>
      <c r="H23" s="30">
        <v>44764</v>
      </c>
      <c r="I23" s="31">
        <v>148</v>
      </c>
      <c r="J23" s="59"/>
      <c r="K23" s="60"/>
      <c r="L23" s="48"/>
      <c r="M23" s="32">
        <f>45000+50000+20886</f>
        <v>115886</v>
      </c>
      <c r="N23" s="33">
        <v>700</v>
      </c>
      <c r="P23" s="34">
        <f t="shared" si="0"/>
        <v>116734</v>
      </c>
      <c r="Q23" s="13">
        <f t="shared" si="1"/>
        <v>0</v>
      </c>
      <c r="R23" s="9"/>
    </row>
    <row r="24" spans="1:18" ht="18" thickBot="1" x14ac:dyDescent="0.35">
      <c r="A24" s="24"/>
      <c r="B24" s="25">
        <v>44765</v>
      </c>
      <c r="C24" s="26">
        <v>19</v>
      </c>
      <c r="D24" s="41" t="s">
        <v>386</v>
      </c>
      <c r="E24" s="28">
        <v>44765</v>
      </c>
      <c r="F24" s="29">
        <v>119975</v>
      </c>
      <c r="G24" s="2"/>
      <c r="H24" s="30">
        <v>44765</v>
      </c>
      <c r="I24" s="31">
        <v>95</v>
      </c>
      <c r="J24" s="181">
        <v>44765</v>
      </c>
      <c r="K24" s="62" t="s">
        <v>387</v>
      </c>
      <c r="L24" s="63">
        <v>9500</v>
      </c>
      <c r="M24" s="32">
        <f>14453+50000+40000</f>
        <v>104453</v>
      </c>
      <c r="N24" s="33">
        <v>5908</v>
      </c>
      <c r="P24" s="34">
        <f t="shared" si="0"/>
        <v>119975</v>
      </c>
      <c r="Q24" s="13">
        <f t="shared" si="1"/>
        <v>0</v>
      </c>
      <c r="R24" s="9"/>
    </row>
    <row r="25" spans="1:18" ht="18" thickBot="1" x14ac:dyDescent="0.35">
      <c r="A25" s="24"/>
      <c r="B25" s="25">
        <v>44766</v>
      </c>
      <c r="C25" s="26">
        <v>0</v>
      </c>
      <c r="D25" s="36"/>
      <c r="E25" s="28">
        <v>44766</v>
      </c>
      <c r="F25" s="29">
        <v>133851</v>
      </c>
      <c r="G25" s="2"/>
      <c r="H25" s="30">
        <v>44766</v>
      </c>
      <c r="I25" s="31">
        <v>40</v>
      </c>
      <c r="J25" s="64"/>
      <c r="K25" s="290"/>
      <c r="L25" s="66"/>
      <c r="M25" s="32">
        <f>100000+33570</f>
        <v>133570</v>
      </c>
      <c r="N25" s="33">
        <v>241</v>
      </c>
      <c r="O25" t="s">
        <v>8</v>
      </c>
      <c r="P25" s="34">
        <f t="shared" si="0"/>
        <v>133851</v>
      </c>
      <c r="Q25" s="13">
        <f t="shared" si="1"/>
        <v>0</v>
      </c>
      <c r="R25" s="9"/>
    </row>
    <row r="26" spans="1:18" ht="18" thickBot="1" x14ac:dyDescent="0.35">
      <c r="A26" s="24"/>
      <c r="B26" s="25">
        <v>44767</v>
      </c>
      <c r="C26" s="26">
        <v>3750</v>
      </c>
      <c r="D26" s="36" t="s">
        <v>388</v>
      </c>
      <c r="E26" s="28">
        <v>44767</v>
      </c>
      <c r="F26" s="29">
        <v>88776</v>
      </c>
      <c r="G26" s="2"/>
      <c r="H26" s="30">
        <v>44767</v>
      </c>
      <c r="I26" s="31">
        <v>54</v>
      </c>
      <c r="J26" s="38"/>
      <c r="K26" s="62"/>
      <c r="L26" s="48"/>
      <c r="M26" s="32">
        <f>38428+40000</f>
        <v>78428</v>
      </c>
      <c r="N26" s="33">
        <v>6544</v>
      </c>
      <c r="P26" s="34">
        <f t="shared" si="0"/>
        <v>88776</v>
      </c>
      <c r="Q26" s="13">
        <f t="shared" si="1"/>
        <v>0</v>
      </c>
      <c r="R26" s="9"/>
    </row>
    <row r="27" spans="1:18" ht="18" thickBot="1" x14ac:dyDescent="0.35">
      <c r="A27" s="24"/>
      <c r="B27" s="25">
        <v>44768</v>
      </c>
      <c r="C27" s="26">
        <v>0</v>
      </c>
      <c r="D27" s="41"/>
      <c r="E27" s="28">
        <v>44768</v>
      </c>
      <c r="F27" s="29">
        <v>99511</v>
      </c>
      <c r="G27" s="2"/>
      <c r="H27" s="30">
        <v>44768</v>
      </c>
      <c r="I27" s="31">
        <v>120</v>
      </c>
      <c r="J27" s="67"/>
      <c r="K27" s="68"/>
      <c r="L27" s="66"/>
      <c r="M27" s="32">
        <f>29390+20000+50000</f>
        <v>99390</v>
      </c>
      <c r="N27" s="33">
        <v>0</v>
      </c>
      <c r="P27" s="34">
        <f t="shared" si="0"/>
        <v>99510</v>
      </c>
      <c r="Q27" s="296">
        <f t="shared" si="1"/>
        <v>-1</v>
      </c>
      <c r="R27" s="9"/>
    </row>
    <row r="28" spans="1:18" ht="18" thickBot="1" x14ac:dyDescent="0.35">
      <c r="A28" s="24"/>
      <c r="B28" s="25">
        <v>44769</v>
      </c>
      <c r="C28" s="26">
        <v>0</v>
      </c>
      <c r="D28" s="41"/>
      <c r="E28" s="28">
        <v>44769</v>
      </c>
      <c r="F28" s="29">
        <v>38709</v>
      </c>
      <c r="G28" s="2"/>
      <c r="H28" s="30">
        <v>44769</v>
      </c>
      <c r="I28" s="31">
        <v>244</v>
      </c>
      <c r="J28" s="69"/>
      <c r="K28" s="70"/>
      <c r="L28" s="66"/>
      <c r="M28" s="32">
        <f>10000+27658</f>
        <v>37658</v>
      </c>
      <c r="N28" s="33">
        <v>807</v>
      </c>
      <c r="P28" s="34">
        <f t="shared" si="0"/>
        <v>38709</v>
      </c>
      <c r="Q28" s="13">
        <f t="shared" si="1"/>
        <v>0</v>
      </c>
      <c r="R28" s="9"/>
    </row>
    <row r="29" spans="1:18" ht="18" thickBot="1" x14ac:dyDescent="0.35">
      <c r="A29" s="24"/>
      <c r="B29" s="25">
        <v>44770</v>
      </c>
      <c r="C29" s="26">
        <v>18558</v>
      </c>
      <c r="D29" s="71" t="s">
        <v>49</v>
      </c>
      <c r="E29" s="28">
        <v>44770</v>
      </c>
      <c r="F29" s="29">
        <v>68450</v>
      </c>
      <c r="G29" s="2"/>
      <c r="H29" s="30">
        <v>44770</v>
      </c>
      <c r="I29" s="31">
        <v>48</v>
      </c>
      <c r="J29" s="67"/>
      <c r="K29" s="72"/>
      <c r="L29" s="66"/>
      <c r="M29" s="32">
        <f>35756+10000</f>
        <v>45756</v>
      </c>
      <c r="N29" s="33">
        <v>4088</v>
      </c>
      <c r="P29" s="34">
        <f t="shared" si="0"/>
        <v>68450</v>
      </c>
      <c r="Q29" s="13">
        <f t="shared" si="1"/>
        <v>0</v>
      </c>
      <c r="R29" s="9"/>
    </row>
    <row r="30" spans="1:18" ht="18" thickBot="1" x14ac:dyDescent="0.35">
      <c r="A30" s="24"/>
      <c r="B30" s="25">
        <v>44771</v>
      </c>
      <c r="C30" s="26">
        <v>0</v>
      </c>
      <c r="D30" s="71"/>
      <c r="E30" s="28">
        <v>44771</v>
      </c>
      <c r="F30" s="29">
        <v>121452</v>
      </c>
      <c r="G30" s="2"/>
      <c r="H30" s="30">
        <v>44771</v>
      </c>
      <c r="I30" s="31">
        <v>291</v>
      </c>
      <c r="J30" s="73"/>
      <c r="K30" s="74"/>
      <c r="L30" s="75"/>
      <c r="M30" s="32">
        <f>35000+65000+20961</f>
        <v>120961</v>
      </c>
      <c r="N30" s="33">
        <v>200</v>
      </c>
      <c r="P30" s="34">
        <f t="shared" si="0"/>
        <v>121452</v>
      </c>
      <c r="Q30" s="13">
        <f t="shared" si="1"/>
        <v>0</v>
      </c>
      <c r="R30" s="9"/>
    </row>
    <row r="31" spans="1:18" ht="18" thickBot="1" x14ac:dyDescent="0.35">
      <c r="A31" s="24"/>
      <c r="B31" s="25">
        <v>44772</v>
      </c>
      <c r="C31" s="26">
        <v>0</v>
      </c>
      <c r="D31" s="83"/>
      <c r="E31" s="28">
        <v>44772</v>
      </c>
      <c r="F31" s="29">
        <v>142552</v>
      </c>
      <c r="G31" s="2"/>
      <c r="H31" s="30">
        <v>44772</v>
      </c>
      <c r="I31" s="31">
        <v>118</v>
      </c>
      <c r="J31" s="73">
        <v>44772</v>
      </c>
      <c r="K31" s="76" t="s">
        <v>389</v>
      </c>
      <c r="L31" s="77">
        <v>9500</v>
      </c>
      <c r="M31" s="32">
        <f>40000+70000+18287</f>
        <v>128287</v>
      </c>
      <c r="N31" s="33">
        <v>4647</v>
      </c>
      <c r="P31" s="34">
        <f t="shared" si="0"/>
        <v>142552</v>
      </c>
      <c r="Q31" s="13">
        <f t="shared" si="1"/>
        <v>0</v>
      </c>
      <c r="R31" s="9"/>
    </row>
    <row r="32" spans="1:18" ht="18" thickBot="1" x14ac:dyDescent="0.35">
      <c r="A32" s="24"/>
      <c r="B32" s="25">
        <v>44773</v>
      </c>
      <c r="C32" s="26">
        <v>0</v>
      </c>
      <c r="D32" s="78"/>
      <c r="E32" s="28">
        <v>44773</v>
      </c>
      <c r="F32" s="29">
        <v>136330</v>
      </c>
      <c r="G32" s="2"/>
      <c r="H32" s="30">
        <v>44773</v>
      </c>
      <c r="I32" s="31">
        <v>95</v>
      </c>
      <c r="J32" s="73"/>
      <c r="K32" s="74"/>
      <c r="L32" s="75"/>
      <c r="M32" s="32">
        <f>90000+35000+9932</f>
        <v>134932</v>
      </c>
      <c r="N32" s="33">
        <v>1303</v>
      </c>
      <c r="P32" s="34">
        <f t="shared" si="0"/>
        <v>136330</v>
      </c>
      <c r="Q32" s="13">
        <f t="shared" si="1"/>
        <v>0</v>
      </c>
      <c r="R32" s="9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9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44760</v>
      </c>
      <c r="K34" s="81" t="s">
        <v>205</v>
      </c>
      <c r="L34" s="82">
        <v>1392</v>
      </c>
      <c r="M34" s="32">
        <v>0</v>
      </c>
      <c r="N34" s="33">
        <v>0</v>
      </c>
      <c r="P34" s="34">
        <v>0</v>
      </c>
      <c r="Q34" s="13">
        <f t="shared" si="1"/>
        <v>0</v>
      </c>
      <c r="R34" s="9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44771</v>
      </c>
      <c r="K35" s="76" t="s">
        <v>204</v>
      </c>
      <c r="L35" s="80">
        <v>927.48</v>
      </c>
      <c r="M35" s="32">
        <v>0</v>
      </c>
      <c r="N35" s="33">
        <v>0</v>
      </c>
      <c r="P35" s="34">
        <v>0</v>
      </c>
      <c r="Q35" s="13">
        <f t="shared" si="1"/>
        <v>0</v>
      </c>
      <c r="R35" s="9"/>
    </row>
    <row r="36" spans="1:18" ht="19.5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338" t="s">
        <v>419</v>
      </c>
      <c r="K36" s="337" t="s">
        <v>418</v>
      </c>
      <c r="L36" s="80">
        <v>32491</v>
      </c>
      <c r="M36" s="32">
        <v>0</v>
      </c>
      <c r="N36" s="33">
        <v>0</v>
      </c>
      <c r="P36" s="34">
        <v>0</v>
      </c>
      <c r="Q36" s="13">
        <f t="shared" si="1"/>
        <v>0</v>
      </c>
      <c r="R36" s="9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 t="s">
        <v>419</v>
      </c>
      <c r="K37" s="339" t="s">
        <v>420</v>
      </c>
      <c r="L37" s="80">
        <v>3131.24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hidden="1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42"/>
      <c r="L38" s="80"/>
      <c r="M38" s="32">
        <v>0</v>
      </c>
      <c r="N38" s="33">
        <v>0</v>
      </c>
      <c r="P38" s="34"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2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6">
        <f>SUM(M5:M39)</f>
        <v>2373103</v>
      </c>
      <c r="N40" s="308">
        <f>SUM(N5:N39)</f>
        <v>67308</v>
      </c>
      <c r="P40" s="34">
        <f t="shared" si="0"/>
        <v>2440411</v>
      </c>
      <c r="Q40" s="294">
        <f>SUM(Q5:Q39)</f>
        <v>-1</v>
      </c>
      <c r="R40" s="295">
        <f>SUM(R5:R39)</f>
        <v>46221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7"/>
      <c r="N41" s="309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137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291"/>
      <c r="F46" s="245"/>
      <c r="G46" s="261"/>
      <c r="H46" s="37"/>
      <c r="I46" s="95"/>
      <c r="J46" s="73"/>
      <c r="K46" s="292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291"/>
      <c r="F47" s="245"/>
      <c r="G47" s="261"/>
      <c r="H47" s="37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291"/>
      <c r="F48" s="245"/>
      <c r="G48" s="261"/>
      <c r="H48" s="37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291"/>
      <c r="F49" s="245"/>
      <c r="G49" s="261"/>
      <c r="H49" s="37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108205</v>
      </c>
      <c r="D51" s="107"/>
      <c r="E51" s="108" t="s">
        <v>9</v>
      </c>
      <c r="F51" s="109">
        <f>SUM(F5:F50)</f>
        <v>2544104</v>
      </c>
      <c r="G51" s="107"/>
      <c r="H51" s="110" t="s">
        <v>10</v>
      </c>
      <c r="I51" s="111">
        <f>SUM(I5:I50)</f>
        <v>2495</v>
      </c>
      <c r="J51" s="112"/>
      <c r="K51" s="113" t="s">
        <v>11</v>
      </c>
      <c r="L51" s="114">
        <f>SUM(L5:L50)</f>
        <v>77154.720000000016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79649.720000000016</v>
      </c>
      <c r="L53" s="313"/>
      <c r="M53" s="314">
        <f>N40+M40</f>
        <v>2440411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2356249.2799999998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-2471332.31</v>
      </c>
      <c r="I55" s="318" t="s">
        <v>15</v>
      </c>
      <c r="J55" s="319"/>
      <c r="K55" s="320">
        <f>F57+F58+F59</f>
        <v>214026.38999999972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-115083.03000000026</v>
      </c>
      <c r="H57" s="24"/>
      <c r="I57" s="129" t="s">
        <v>17</v>
      </c>
      <c r="J57" s="130"/>
      <c r="K57" s="322">
        <f>-C4</f>
        <v>-232165.91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55373</v>
      </c>
    </row>
    <row r="59" spans="1:17" ht="20.25" thickTop="1" thickBot="1" x14ac:dyDescent="0.35">
      <c r="C59" s="133">
        <v>44773</v>
      </c>
      <c r="D59" s="299" t="s">
        <v>20</v>
      </c>
      <c r="E59" s="300"/>
      <c r="F59" s="134">
        <v>273736.42</v>
      </c>
      <c r="I59" s="301" t="s">
        <v>325</v>
      </c>
      <c r="J59" s="302"/>
      <c r="K59" s="303">
        <f>K55+K57</f>
        <v>-18139.520000000281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31496062992125984" right="0.27559055118110237" top="0.35433070866141736" bottom="0.35433070866141736" header="0.31496062992125984" footer="0.31496062992125984"/>
  <pageSetup paperSize="5" scale="6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J115"/>
  <sheetViews>
    <sheetView topLeftCell="A19" workbookViewId="0">
      <selection activeCell="C30" sqref="C30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9" width="11.42578125" style="117"/>
    <col min="10" max="11" width="17.140625" style="117" customWidth="1"/>
    <col min="12" max="16384" width="11.42578125" style="117"/>
  </cols>
  <sheetData>
    <row r="1" spans="1:10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10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10" ht="20.25" customHeight="1" x14ac:dyDescent="0.25">
      <c r="A3" s="264">
        <v>44746</v>
      </c>
      <c r="B3" s="265" t="s">
        <v>390</v>
      </c>
      <c r="C3" s="266">
        <v>129755.9</v>
      </c>
      <c r="D3" s="288"/>
      <c r="E3" s="289"/>
      <c r="F3" s="158">
        <f>C3-E3</f>
        <v>129755.9</v>
      </c>
      <c r="J3" s="132"/>
    </row>
    <row r="4" spans="1:10" ht="15.75" x14ac:dyDescent="0.25">
      <c r="A4" s="267">
        <v>44746</v>
      </c>
      <c r="B4" s="268" t="s">
        <v>391</v>
      </c>
      <c r="C4" s="132">
        <v>14947.2</v>
      </c>
      <c r="D4" s="288"/>
      <c r="E4" s="284"/>
      <c r="F4" s="196">
        <f>C4-E4+F3</f>
        <v>144703.1</v>
      </c>
      <c r="J4" s="266"/>
    </row>
    <row r="5" spans="1:10" s="35" customFormat="1" ht="15.75" x14ac:dyDescent="0.25">
      <c r="A5" s="267">
        <v>44748</v>
      </c>
      <c r="B5" s="268" t="s">
        <v>392</v>
      </c>
      <c r="C5" s="132">
        <v>92642.6</v>
      </c>
      <c r="D5" s="288"/>
      <c r="E5" s="284"/>
      <c r="F5" s="196">
        <f t="shared" ref="F5:F68" si="0">C5-E5+F4</f>
        <v>237345.7</v>
      </c>
      <c r="J5" s="132"/>
    </row>
    <row r="6" spans="1:10" ht="18.75" x14ac:dyDescent="0.3">
      <c r="A6" s="267">
        <v>44749</v>
      </c>
      <c r="B6" s="268" t="s">
        <v>393</v>
      </c>
      <c r="C6" s="132">
        <v>69904.100000000006</v>
      </c>
      <c r="D6" s="288"/>
      <c r="E6" s="284"/>
      <c r="F6" s="196">
        <f t="shared" si="0"/>
        <v>307249.80000000005</v>
      </c>
      <c r="G6" s="162"/>
      <c r="J6" s="132"/>
    </row>
    <row r="7" spans="1:10" ht="15.75" x14ac:dyDescent="0.25">
      <c r="A7" s="267">
        <v>44750</v>
      </c>
      <c r="B7" s="268" t="s">
        <v>394</v>
      </c>
      <c r="C7" s="132">
        <v>144242.76</v>
      </c>
      <c r="D7" s="288"/>
      <c r="E7" s="284"/>
      <c r="F7" s="196">
        <f t="shared" si="0"/>
        <v>451492.56000000006</v>
      </c>
      <c r="J7" s="132"/>
    </row>
    <row r="8" spans="1:10" ht="15.75" x14ac:dyDescent="0.25">
      <c r="A8" s="267">
        <v>44750</v>
      </c>
      <c r="B8" s="268" t="s">
        <v>395</v>
      </c>
      <c r="C8" s="132">
        <v>5072.6000000000004</v>
      </c>
      <c r="D8" s="269"/>
      <c r="E8" s="132"/>
      <c r="F8" s="196">
        <f t="shared" si="0"/>
        <v>456565.16000000003</v>
      </c>
      <c r="J8" s="132"/>
    </row>
    <row r="9" spans="1:10" ht="15.75" x14ac:dyDescent="0.25">
      <c r="A9" s="267">
        <v>44750</v>
      </c>
      <c r="B9" s="268" t="s">
        <v>396</v>
      </c>
      <c r="C9" s="132">
        <v>265.5</v>
      </c>
      <c r="D9" s="269"/>
      <c r="E9" s="132"/>
      <c r="F9" s="196">
        <f t="shared" si="0"/>
        <v>456830.66000000003</v>
      </c>
      <c r="J9" s="132"/>
    </row>
    <row r="10" spans="1:10" ht="15.75" x14ac:dyDescent="0.25">
      <c r="A10" s="267">
        <v>44751</v>
      </c>
      <c r="B10" s="268" t="s">
        <v>397</v>
      </c>
      <c r="C10" s="132">
        <v>119029.9</v>
      </c>
      <c r="D10" s="269"/>
      <c r="E10" s="132"/>
      <c r="F10" s="196">
        <f t="shared" si="0"/>
        <v>575860.56000000006</v>
      </c>
      <c r="J10" s="117">
        <v>0</v>
      </c>
    </row>
    <row r="11" spans="1:10" ht="15.75" x14ac:dyDescent="0.25">
      <c r="A11" s="267">
        <v>44753</v>
      </c>
      <c r="B11" s="268" t="s">
        <v>398</v>
      </c>
      <c r="C11" s="132">
        <v>86612.94</v>
      </c>
      <c r="D11" s="269"/>
      <c r="E11" s="132"/>
      <c r="F11" s="196">
        <f t="shared" si="0"/>
        <v>662473.5</v>
      </c>
      <c r="J11" s="277">
        <f>SUM(J3:J10)</f>
        <v>0</v>
      </c>
    </row>
    <row r="12" spans="1:10" ht="18.75" x14ac:dyDescent="0.3">
      <c r="A12" s="267">
        <v>44754</v>
      </c>
      <c r="B12" s="268" t="s">
        <v>399</v>
      </c>
      <c r="C12" s="132">
        <v>29055.5</v>
      </c>
      <c r="D12" s="269"/>
      <c r="E12" s="132"/>
      <c r="F12" s="196">
        <f t="shared" si="0"/>
        <v>691529</v>
      </c>
      <c r="G12" s="162"/>
    </row>
    <row r="13" spans="1:10" ht="15.75" x14ac:dyDescent="0.25">
      <c r="A13" s="267">
        <v>44755</v>
      </c>
      <c r="B13" s="268" t="s">
        <v>400</v>
      </c>
      <c r="C13" s="132">
        <v>87559.6</v>
      </c>
      <c r="D13" s="269"/>
      <c r="E13" s="132"/>
      <c r="F13" s="196">
        <f t="shared" si="0"/>
        <v>779088.6</v>
      </c>
    </row>
    <row r="14" spans="1:10" ht="15.75" x14ac:dyDescent="0.25">
      <c r="A14" s="267">
        <v>44756</v>
      </c>
      <c r="B14" s="268" t="s">
        <v>401</v>
      </c>
      <c r="C14" s="132">
        <v>132564.79999999999</v>
      </c>
      <c r="D14" s="269"/>
      <c r="E14" s="132"/>
      <c r="F14" s="196">
        <f t="shared" si="0"/>
        <v>911653.39999999991</v>
      </c>
    </row>
    <row r="15" spans="1:10" ht="15.75" x14ac:dyDescent="0.25">
      <c r="A15" s="267">
        <v>44757</v>
      </c>
      <c r="B15" s="268" t="s">
        <v>402</v>
      </c>
      <c r="C15" s="132">
        <v>44983.4</v>
      </c>
      <c r="D15" s="269"/>
      <c r="E15" s="132"/>
      <c r="F15" s="196">
        <f t="shared" si="0"/>
        <v>956636.79999999993</v>
      </c>
    </row>
    <row r="16" spans="1:10" ht="15.75" x14ac:dyDescent="0.25">
      <c r="A16" s="267">
        <v>44758</v>
      </c>
      <c r="B16" s="268" t="s">
        <v>403</v>
      </c>
      <c r="C16" s="132">
        <v>155220.28</v>
      </c>
      <c r="D16" s="269"/>
      <c r="E16" s="132"/>
      <c r="F16" s="196">
        <f t="shared" si="0"/>
        <v>1111857.0799999998</v>
      </c>
    </row>
    <row r="17" spans="1:7" ht="15.75" x14ac:dyDescent="0.25">
      <c r="A17" s="267">
        <v>44759</v>
      </c>
      <c r="B17" s="268" t="s">
        <v>404</v>
      </c>
      <c r="C17" s="132">
        <v>77061</v>
      </c>
      <c r="D17" s="269"/>
      <c r="E17" s="132"/>
      <c r="F17" s="196">
        <f t="shared" si="0"/>
        <v>1188918.0799999998</v>
      </c>
    </row>
    <row r="18" spans="1:7" ht="15.75" x14ac:dyDescent="0.25">
      <c r="A18" s="267">
        <v>44760</v>
      </c>
      <c r="B18" s="268" t="s">
        <v>405</v>
      </c>
      <c r="C18" s="132">
        <v>78240.2</v>
      </c>
      <c r="D18" s="269"/>
      <c r="E18" s="132"/>
      <c r="F18" s="196">
        <f t="shared" si="0"/>
        <v>1267158.2799999998</v>
      </c>
    </row>
    <row r="19" spans="1:7" ht="15.75" x14ac:dyDescent="0.25">
      <c r="A19" s="267">
        <v>44761</v>
      </c>
      <c r="B19" s="268" t="s">
        <v>406</v>
      </c>
      <c r="C19" s="132">
        <v>16361.3</v>
      </c>
      <c r="D19" s="269"/>
      <c r="E19" s="132"/>
      <c r="F19" s="196">
        <f t="shared" si="0"/>
        <v>1283519.5799999998</v>
      </c>
    </row>
    <row r="20" spans="1:7" ht="15.75" x14ac:dyDescent="0.25">
      <c r="A20" s="267">
        <v>44762</v>
      </c>
      <c r="B20" s="268" t="s">
        <v>407</v>
      </c>
      <c r="C20" s="132">
        <v>162807.84</v>
      </c>
      <c r="D20" s="269"/>
      <c r="E20" s="132"/>
      <c r="F20" s="196">
        <f t="shared" si="0"/>
        <v>1446327.42</v>
      </c>
    </row>
    <row r="21" spans="1:7" ht="15.75" x14ac:dyDescent="0.25">
      <c r="A21" s="267">
        <v>44763</v>
      </c>
      <c r="B21" s="268" t="s">
        <v>408</v>
      </c>
      <c r="C21" s="132">
        <v>144209.19</v>
      </c>
      <c r="D21" s="269"/>
      <c r="E21" s="132"/>
      <c r="F21" s="196">
        <f t="shared" si="0"/>
        <v>1590536.6099999999</v>
      </c>
    </row>
    <row r="22" spans="1:7" ht="15.75" x14ac:dyDescent="0.25">
      <c r="A22" s="267">
        <v>44764</v>
      </c>
      <c r="B22" s="268" t="s">
        <v>409</v>
      </c>
      <c r="C22" s="132">
        <v>120958.88</v>
      </c>
      <c r="D22" s="269"/>
      <c r="E22" s="132"/>
      <c r="F22" s="196">
        <f t="shared" si="0"/>
        <v>1711495.4899999998</v>
      </c>
    </row>
    <row r="23" spans="1:7" ht="15.75" x14ac:dyDescent="0.25">
      <c r="A23" s="267">
        <v>44765</v>
      </c>
      <c r="B23" s="268" t="s">
        <v>410</v>
      </c>
      <c r="C23" s="132">
        <v>135754.06</v>
      </c>
      <c r="D23" s="269"/>
      <c r="E23" s="132"/>
      <c r="F23" s="196">
        <f t="shared" si="0"/>
        <v>1847249.5499999998</v>
      </c>
    </row>
    <row r="24" spans="1:7" ht="18.75" x14ac:dyDescent="0.3">
      <c r="A24" s="267">
        <v>44765</v>
      </c>
      <c r="B24" s="268" t="s">
        <v>411</v>
      </c>
      <c r="C24" s="132">
        <v>4200</v>
      </c>
      <c r="D24" s="269"/>
      <c r="E24" s="132"/>
      <c r="F24" s="196">
        <f t="shared" si="0"/>
        <v>1851449.5499999998</v>
      </c>
      <c r="G24" s="162"/>
    </row>
    <row r="25" spans="1:7" ht="15.75" x14ac:dyDescent="0.25">
      <c r="A25" s="267">
        <v>44767</v>
      </c>
      <c r="B25" s="268" t="s">
        <v>412</v>
      </c>
      <c r="C25" s="132">
        <v>100782.12</v>
      </c>
      <c r="D25" s="269"/>
      <c r="E25" s="132"/>
      <c r="F25" s="196">
        <f t="shared" si="0"/>
        <v>1952231.67</v>
      </c>
    </row>
    <row r="26" spans="1:7" ht="15.75" x14ac:dyDescent="0.25">
      <c r="A26" s="267">
        <v>44769</v>
      </c>
      <c r="B26" s="268" t="s">
        <v>413</v>
      </c>
      <c r="C26" s="132">
        <v>159228.38</v>
      </c>
      <c r="D26" s="269"/>
      <c r="E26" s="132"/>
      <c r="F26" s="196">
        <f t="shared" si="0"/>
        <v>2111460.0499999998</v>
      </c>
    </row>
    <row r="27" spans="1:7" ht="18.75" customHeight="1" x14ac:dyDescent="0.25">
      <c r="A27" s="267">
        <v>44770</v>
      </c>
      <c r="B27" s="268" t="s">
        <v>414</v>
      </c>
      <c r="C27" s="132">
        <v>77241.66</v>
      </c>
      <c r="D27" s="269"/>
      <c r="E27" s="132"/>
      <c r="F27" s="196">
        <f t="shared" si="0"/>
        <v>2188701.71</v>
      </c>
    </row>
    <row r="28" spans="1:7" ht="18.75" customHeight="1" x14ac:dyDescent="0.25">
      <c r="A28" s="267">
        <v>44771</v>
      </c>
      <c r="B28" s="268" t="s">
        <v>415</v>
      </c>
      <c r="C28" s="132">
        <v>126836.5</v>
      </c>
      <c r="D28" s="269"/>
      <c r="E28" s="132"/>
      <c r="F28" s="196">
        <f t="shared" si="0"/>
        <v>2315538.21</v>
      </c>
    </row>
    <row r="29" spans="1:7" ht="18.75" customHeight="1" x14ac:dyDescent="0.25">
      <c r="A29" s="267">
        <v>44771</v>
      </c>
      <c r="B29" s="268" t="s">
        <v>416</v>
      </c>
      <c r="C29" s="132">
        <v>49636.2</v>
      </c>
      <c r="D29" s="269"/>
      <c r="E29" s="132"/>
      <c r="F29" s="196">
        <f t="shared" si="0"/>
        <v>2365174.41</v>
      </c>
    </row>
    <row r="30" spans="1:7" ht="18.75" customHeight="1" x14ac:dyDescent="0.25">
      <c r="A30" s="267">
        <v>44772</v>
      </c>
      <c r="B30" s="268" t="s">
        <v>417</v>
      </c>
      <c r="C30" s="132">
        <v>106157.9</v>
      </c>
      <c r="D30" s="267"/>
      <c r="E30" s="132"/>
      <c r="F30" s="196">
        <f t="shared" si="0"/>
        <v>2471332.31</v>
      </c>
    </row>
    <row r="31" spans="1:7" ht="18.75" customHeight="1" x14ac:dyDescent="0.25">
      <c r="A31" s="267"/>
      <c r="B31" s="268"/>
      <c r="C31" s="132"/>
      <c r="D31" s="269"/>
      <c r="E31" s="132"/>
      <c r="F31" s="196">
        <f t="shared" si="0"/>
        <v>2471332.31</v>
      </c>
    </row>
    <row r="32" spans="1:7" ht="18.75" customHeight="1" x14ac:dyDescent="0.3">
      <c r="A32" s="267"/>
      <c r="B32" s="268"/>
      <c r="C32" s="132"/>
      <c r="D32" s="269"/>
      <c r="E32" s="132"/>
      <c r="F32" s="196">
        <f t="shared" si="0"/>
        <v>2471332.31</v>
      </c>
      <c r="G32" s="162"/>
    </row>
    <row r="33" spans="1:6" ht="18.75" customHeight="1" x14ac:dyDescent="0.25">
      <c r="A33" s="267"/>
      <c r="B33" s="268"/>
      <c r="C33" s="132"/>
      <c r="D33" s="269"/>
      <c r="E33" s="132"/>
      <c r="F33" s="196">
        <f t="shared" si="0"/>
        <v>2471332.31</v>
      </c>
    </row>
    <row r="34" spans="1:6" ht="18.75" customHeight="1" x14ac:dyDescent="0.25">
      <c r="A34" s="267"/>
      <c r="B34" s="268"/>
      <c r="C34" s="132"/>
      <c r="D34" s="269"/>
      <c r="E34" s="132"/>
      <c r="F34" s="196">
        <f t="shared" si="0"/>
        <v>2471332.31</v>
      </c>
    </row>
    <row r="35" spans="1:6" ht="18.75" customHeight="1" x14ac:dyDescent="0.25">
      <c r="A35" s="267"/>
      <c r="B35" s="268"/>
      <c r="C35" s="132"/>
      <c r="D35" s="269"/>
      <c r="E35" s="132"/>
      <c r="F35" s="196">
        <f t="shared" si="0"/>
        <v>2471332.31</v>
      </c>
    </row>
    <row r="36" spans="1:6" ht="18.75" customHeight="1" x14ac:dyDescent="0.25">
      <c r="A36" s="267"/>
      <c r="B36" s="268"/>
      <c r="C36" s="132"/>
      <c r="D36" s="269"/>
      <c r="E36" s="132"/>
      <c r="F36" s="196">
        <f t="shared" si="0"/>
        <v>2471332.31</v>
      </c>
    </row>
    <row r="37" spans="1:6" ht="18.75" customHeight="1" x14ac:dyDescent="0.25">
      <c r="A37" s="267"/>
      <c r="B37" s="268"/>
      <c r="C37" s="132"/>
      <c r="D37" s="269"/>
      <c r="E37" s="132"/>
      <c r="F37" s="196">
        <f t="shared" si="0"/>
        <v>2471332.31</v>
      </c>
    </row>
    <row r="38" spans="1:6" ht="18.75" customHeight="1" x14ac:dyDescent="0.25">
      <c r="A38" s="267"/>
      <c r="B38" s="268"/>
      <c r="C38" s="132"/>
      <c r="D38" s="269"/>
      <c r="E38" s="132"/>
      <c r="F38" s="196">
        <f t="shared" si="0"/>
        <v>2471332.31</v>
      </c>
    </row>
    <row r="39" spans="1:6" ht="18.75" customHeight="1" x14ac:dyDescent="0.25">
      <c r="A39" s="267"/>
      <c r="B39" s="268"/>
      <c r="C39" s="132"/>
      <c r="D39" s="269"/>
      <c r="E39" s="132"/>
      <c r="F39" s="196">
        <f t="shared" si="0"/>
        <v>2471332.31</v>
      </c>
    </row>
    <row r="40" spans="1:6" ht="18.75" customHeight="1" x14ac:dyDescent="0.25">
      <c r="A40" s="267"/>
      <c r="B40" s="268"/>
      <c r="C40" s="132"/>
      <c r="D40" s="269"/>
      <c r="E40" s="86"/>
      <c r="F40" s="196">
        <f t="shared" si="0"/>
        <v>2471332.31</v>
      </c>
    </row>
    <row r="41" spans="1:6" ht="18.75" customHeight="1" x14ac:dyDescent="0.25">
      <c r="A41" s="267"/>
      <c r="B41" s="268"/>
      <c r="C41" s="132"/>
      <c r="D41" s="269"/>
      <c r="E41" s="86"/>
      <c r="F41" s="196">
        <f t="shared" si="0"/>
        <v>2471332.31</v>
      </c>
    </row>
    <row r="42" spans="1:6" ht="18.75" customHeight="1" x14ac:dyDescent="0.25">
      <c r="A42" s="269"/>
      <c r="B42" s="270"/>
      <c r="C42" s="86"/>
      <c r="D42" s="269"/>
      <c r="E42" s="86"/>
      <c r="F42" s="196">
        <f t="shared" si="0"/>
        <v>2471332.31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2471332.31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2471332.31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2471332.31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2471332.31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2471332.31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2471332.31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2471332.31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2471332.31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2471332.31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2471332.31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2471332.31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2471332.31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2471332.31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2471332.31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2471332.31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2471332.31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2471332.31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2471332.31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2471332.31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2471332.31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2471332.31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2471332.31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2471332.31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2471332.31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2471332.31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2471332.31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2471332.31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2471332.31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2471332.31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2471332.31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2471332.31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2471332.31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2471332.31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2471332.31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2471332.31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2471332.31</v>
      </c>
    </row>
    <row r="79" spans="1:6" ht="19.5" thickBot="1" x14ac:dyDescent="0.35">
      <c r="A79" s="212"/>
      <c r="B79" s="232"/>
      <c r="C79" s="250">
        <f>SUM(C3:C78)</f>
        <v>2471332.31</v>
      </c>
      <c r="D79" s="189"/>
      <c r="E79" s="178">
        <f>SUM(E3:E78)</f>
        <v>0</v>
      </c>
      <c r="F79" s="179">
        <f>F78</f>
        <v>2471332.31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4"/>
      <c r="C1" s="326" t="s">
        <v>125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35">
        <f>SUM(M5:M39)</f>
        <v>1636108</v>
      </c>
      <c r="N40" s="308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307"/>
      <c r="N41" s="309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45634.280000000006</v>
      </c>
      <c r="L53" s="313"/>
      <c r="M53" s="314">
        <f>N40+M40</f>
        <v>1691783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-1631962.77</v>
      </c>
      <c r="I55" s="318" t="s">
        <v>15</v>
      </c>
      <c r="J55" s="319"/>
      <c r="K55" s="320">
        <f>F57+F58+F59</f>
        <v>238822.13999999996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22">
        <f>-C4</f>
        <v>-154314.51999999999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9" t="s">
        <v>20</v>
      </c>
      <c r="E59" s="300"/>
      <c r="F59" s="134">
        <v>184342.19</v>
      </c>
      <c r="I59" s="301" t="s">
        <v>168</v>
      </c>
      <c r="J59" s="302"/>
      <c r="K59" s="303">
        <f>K55+K57</f>
        <v>84507.619999999966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37" workbookViewId="0">
      <selection activeCell="K38" sqref="K3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324"/>
      <c r="C1" s="326" t="s">
        <v>135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44627</v>
      </c>
      <c r="K34" s="271" t="s">
        <v>321</v>
      </c>
      <c r="L34" s="274">
        <v>1195.68</v>
      </c>
      <c r="M34" s="32">
        <v>0</v>
      </c>
      <c r="N34" s="33">
        <v>0</v>
      </c>
      <c r="P34" s="34">
        <f t="shared" si="0"/>
        <v>1195.68</v>
      </c>
      <c r="Q34" s="13">
        <f t="shared" si="1"/>
        <v>1195.68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44629</v>
      </c>
      <c r="K35" s="221" t="s">
        <v>317</v>
      </c>
      <c r="L35" s="80">
        <v>3133.5</v>
      </c>
      <c r="M35" s="220">
        <v>0</v>
      </c>
      <c r="N35" s="33">
        <v>0</v>
      </c>
      <c r="P35" s="34">
        <f t="shared" si="0"/>
        <v>3133.5</v>
      </c>
      <c r="Q35" s="13">
        <f t="shared" si="1"/>
        <v>3133.5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44645</v>
      </c>
      <c r="K36" s="273" t="s">
        <v>318</v>
      </c>
      <c r="L36" s="80">
        <v>1392</v>
      </c>
      <c r="M36" s="220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44649</v>
      </c>
      <c r="K37" s="272" t="s">
        <v>319</v>
      </c>
      <c r="L37" s="80">
        <v>1749.14</v>
      </c>
      <c r="M37" s="220">
        <v>0</v>
      </c>
      <c r="N37" s="33">
        <v>0</v>
      </c>
      <c r="P37" s="34">
        <f t="shared" si="0"/>
        <v>1749.14</v>
      </c>
      <c r="Q37" s="13">
        <f t="shared" si="1"/>
        <v>1749.14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275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306">
        <f>SUM(M5:M39)</f>
        <v>1793435</v>
      </c>
      <c r="N40" s="308">
        <f>SUM(N5:N39)</f>
        <v>63995</v>
      </c>
      <c r="P40" s="34">
        <f>SUM(P5:P39)</f>
        <v>2014605.0299999998</v>
      </c>
      <c r="Q40" s="13">
        <f t="shared" si="1"/>
        <v>2014605.0299999998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307"/>
      <c r="N41" s="309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86734.03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10" t="s">
        <v>12</v>
      </c>
      <c r="I49" s="311"/>
      <c r="J49" s="119"/>
      <c r="K49" s="312">
        <f>I47+L47</f>
        <v>90434.03</v>
      </c>
      <c r="L49" s="313"/>
      <c r="M49" s="314">
        <f>N40+M40</f>
        <v>1857430</v>
      </c>
      <c r="N49" s="315"/>
      <c r="P49" s="34"/>
      <c r="Q49" s="9"/>
    </row>
    <row r="50" spans="1:17" ht="15.75" x14ac:dyDescent="0.25">
      <c r="D50" s="316" t="s">
        <v>13</v>
      </c>
      <c r="E50" s="316"/>
      <c r="F50" s="120">
        <f>F47-K49-C47</f>
        <v>1824260.97</v>
      </c>
      <c r="I50" s="121"/>
      <c r="J50" s="122"/>
      <c r="P50" s="34"/>
      <c r="Q50" s="9"/>
    </row>
    <row r="51" spans="1:17" ht="18.75" x14ac:dyDescent="0.3">
      <c r="D51" s="317" t="s">
        <v>14</v>
      </c>
      <c r="E51" s="317"/>
      <c r="F51" s="115">
        <v>-1848136.64</v>
      </c>
      <c r="I51" s="318" t="s">
        <v>15</v>
      </c>
      <c r="J51" s="319"/>
      <c r="K51" s="320">
        <f>F53+F54+F55</f>
        <v>195541.70000000007</v>
      </c>
      <c r="L51" s="321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-23875.669999999925</v>
      </c>
      <c r="H53" s="24"/>
      <c r="I53" s="129" t="s">
        <v>17</v>
      </c>
      <c r="J53" s="130"/>
      <c r="K53" s="322">
        <f>-C4</f>
        <v>-184342.19</v>
      </c>
      <c r="L53" s="323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9" t="s">
        <v>20</v>
      </c>
      <c r="E55" s="300"/>
      <c r="F55" s="134">
        <v>219417.37</v>
      </c>
      <c r="I55" s="301" t="s">
        <v>226</v>
      </c>
      <c r="J55" s="302"/>
      <c r="K55" s="303">
        <f>K51+K53</f>
        <v>11199.510000000068</v>
      </c>
      <c r="L55" s="303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sortState ref="J34:L38">
    <sortCondition ref="J34:J38"/>
  </sortState>
  <mergeCells count="21"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B1:B2"/>
    <mergeCell ref="C1:M1"/>
    <mergeCell ref="B3:C3"/>
    <mergeCell ref="H3:I3"/>
    <mergeCell ref="M40:M41"/>
    <mergeCell ref="D51:E51"/>
    <mergeCell ref="I51:J51"/>
    <mergeCell ref="K51:L51"/>
    <mergeCell ref="K53:L53"/>
    <mergeCell ref="D55:E55"/>
    <mergeCell ref="I55:J55"/>
    <mergeCell ref="K55:L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4" workbookViewId="0">
      <selection activeCell="I44" sqref="I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4"/>
      <c r="C1" s="326" t="s">
        <v>225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44651</v>
      </c>
      <c r="K40" s="245" t="s">
        <v>204</v>
      </c>
      <c r="L40" s="75">
        <f>927.48+128</f>
        <v>1055.48</v>
      </c>
      <c r="M40" s="306">
        <f>SUM(M5:M39)</f>
        <v>2146671</v>
      </c>
      <c r="N40" s="308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44658</v>
      </c>
      <c r="K41" s="76" t="s">
        <v>322</v>
      </c>
      <c r="L41" s="75">
        <v>1195.68</v>
      </c>
      <c r="M41" s="307"/>
      <c r="N41" s="309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44676</v>
      </c>
      <c r="K43" s="246" t="s">
        <v>190</v>
      </c>
      <c r="L43" s="80">
        <v>30225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>
        <v>7</v>
      </c>
      <c r="J44" s="73">
        <v>44681</v>
      </c>
      <c r="K44" s="76" t="s">
        <v>320</v>
      </c>
      <c r="L44" s="80">
        <v>1498.61</v>
      </c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5689</v>
      </c>
      <c r="J51" s="112"/>
      <c r="K51" s="113" t="s">
        <v>11</v>
      </c>
      <c r="L51" s="114">
        <f>SUM(L5:L50)</f>
        <v>85583.77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91272.77</v>
      </c>
      <c r="L53" s="313"/>
      <c r="M53" s="314">
        <f>N40+M40</f>
        <v>2215261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2179879.23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-2227493.48</v>
      </c>
      <c r="I55" s="318" t="s">
        <v>15</v>
      </c>
      <c r="J55" s="319"/>
      <c r="K55" s="320">
        <f>F57+F58+F59</f>
        <v>261521.34000000003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-47614.25</v>
      </c>
      <c r="H57" s="24"/>
      <c r="I57" s="129" t="s">
        <v>17</v>
      </c>
      <c r="J57" s="130"/>
      <c r="K57" s="322">
        <f>-C4</f>
        <v>-219417.37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9" t="s">
        <v>20</v>
      </c>
      <c r="E59" s="300"/>
      <c r="F59" s="134">
        <v>297874.59000000003</v>
      </c>
      <c r="I59" s="301" t="s">
        <v>168</v>
      </c>
      <c r="J59" s="302"/>
      <c r="K59" s="303">
        <f>K55+K57</f>
        <v>42103.97000000003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40:L44">
    <sortCondition ref="J40:J44"/>
  </sortState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15"/>
  <sheetViews>
    <sheetView topLeftCell="A22" workbookViewId="0">
      <selection activeCell="C84" sqref="C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8" width="11.42578125" style="117"/>
    <col min="9" max="9" width="19.5703125" style="1" customWidth="1"/>
    <col min="10" max="16384" width="11.42578125" style="117"/>
  </cols>
  <sheetData>
    <row r="1" spans="1:9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9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9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9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9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  <c r="I5" s="9"/>
    </row>
    <row r="6" spans="1:9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9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9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9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9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9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9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9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9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9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9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9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  <c r="I33" s="115"/>
    </row>
    <row r="34" spans="1:9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  <c r="I34" s="115"/>
    </row>
    <row r="35" spans="1:9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  <c r="I35" s="115"/>
    </row>
    <row r="36" spans="1:9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  <c r="I36" s="115"/>
    </row>
    <row r="37" spans="1:9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  <c r="I37" s="115"/>
    </row>
    <row r="38" spans="1:9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  <c r="I38" s="115"/>
    </row>
    <row r="39" spans="1:9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  <c r="I39" s="115"/>
    </row>
    <row r="40" spans="1:9" ht="15.75" x14ac:dyDescent="0.25">
      <c r="A40" s="248" t="s">
        <v>274</v>
      </c>
      <c r="B40" s="247" t="s">
        <v>275</v>
      </c>
      <c r="C40" s="115">
        <v>101114.1</v>
      </c>
      <c r="D40" s="215">
        <v>44687</v>
      </c>
      <c r="E40" s="216">
        <v>101114.1</v>
      </c>
      <c r="F40" s="196">
        <f t="shared" si="0"/>
        <v>0</v>
      </c>
    </row>
    <row r="41" spans="1:9" ht="15.75" x14ac:dyDescent="0.25">
      <c r="A41" s="248" t="s">
        <v>274</v>
      </c>
      <c r="B41" s="247" t="s">
        <v>276</v>
      </c>
      <c r="C41" s="115">
        <v>28591.200000000001</v>
      </c>
      <c r="D41" s="215">
        <v>44687</v>
      </c>
      <c r="E41" s="216">
        <v>28591.200000000001</v>
      </c>
      <c r="F41" s="196">
        <f t="shared" si="0"/>
        <v>0</v>
      </c>
    </row>
    <row r="42" spans="1:9" ht="15.75" x14ac:dyDescent="0.25">
      <c r="A42" s="211"/>
      <c r="B42" s="194"/>
      <c r="C42" s="195"/>
      <c r="D42" s="200"/>
      <c r="E42" s="195"/>
      <c r="F42" s="196">
        <f t="shared" si="0"/>
        <v>0</v>
      </c>
      <c r="I42" s="1">
        <f>SUM(I41)</f>
        <v>0</v>
      </c>
    </row>
    <row r="43" spans="1:9" ht="16.5" thickBot="1" x14ac:dyDescent="0.3">
      <c r="A43" s="163"/>
      <c r="B43" s="160"/>
      <c r="C43" s="86"/>
      <c r="D43" s="159"/>
      <c r="E43" s="86"/>
      <c r="F43" s="196">
        <f t="shared" si="0"/>
        <v>0</v>
      </c>
    </row>
    <row r="44" spans="1:9" ht="15" hidden="1" customHeight="1" x14ac:dyDescent="0.25">
      <c r="A44" s="164"/>
      <c r="B44" s="165"/>
      <c r="C44" s="166"/>
      <c r="D44" s="159"/>
      <c r="E44" s="86"/>
      <c r="F44" s="196">
        <f t="shared" si="0"/>
        <v>0</v>
      </c>
    </row>
    <row r="45" spans="1:9" ht="16.5" hidden="1" thickBot="1" x14ac:dyDescent="0.3">
      <c r="A45" s="164"/>
      <c r="B45" s="165"/>
      <c r="C45" s="166"/>
      <c r="D45" s="159"/>
      <c r="E45" s="86"/>
      <c r="F45" s="196">
        <f t="shared" si="0"/>
        <v>0</v>
      </c>
    </row>
    <row r="46" spans="1:9" ht="16.5" hidden="1" thickBot="1" x14ac:dyDescent="0.3">
      <c r="A46" s="164"/>
      <c r="B46" s="165"/>
      <c r="C46" s="166"/>
      <c r="D46" s="159"/>
      <c r="E46" s="86"/>
      <c r="F46" s="196">
        <f t="shared" si="0"/>
        <v>0</v>
      </c>
    </row>
    <row r="47" spans="1:9" ht="16.5" hidden="1" thickBot="1" x14ac:dyDescent="0.3">
      <c r="A47" s="164"/>
      <c r="B47" s="165"/>
      <c r="C47" s="166"/>
      <c r="D47" s="159"/>
      <c r="E47" s="86"/>
      <c r="F47" s="196">
        <f t="shared" si="0"/>
        <v>0</v>
      </c>
    </row>
    <row r="48" spans="1:9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2227493.48</v>
      </c>
      <c r="F79" s="179">
        <f>F78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zoomScaleNormal="100"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H67" sqref="H67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324"/>
      <c r="C1" s="326" t="s">
        <v>277</v>
      </c>
      <c r="D1" s="327"/>
      <c r="E1" s="327"/>
      <c r="F1" s="327"/>
      <c r="G1" s="327"/>
      <c r="H1" s="327"/>
      <c r="I1" s="327"/>
      <c r="J1" s="327"/>
      <c r="K1" s="327"/>
      <c r="L1" s="327"/>
      <c r="M1" s="327"/>
    </row>
    <row r="2" spans="1:21" ht="16.5" thickBot="1" x14ac:dyDescent="0.3">
      <c r="B2" s="325"/>
      <c r="C2" s="3"/>
      <c r="H2" s="5"/>
      <c r="I2" s="6"/>
      <c r="J2" s="7"/>
      <c r="L2" s="8"/>
      <c r="M2" s="6"/>
      <c r="N2" s="9"/>
    </row>
    <row r="3" spans="1:21" ht="21.75" thickBot="1" x14ac:dyDescent="0.35">
      <c r="B3" s="328" t="s">
        <v>0</v>
      </c>
      <c r="C3" s="329"/>
      <c r="D3" s="10"/>
      <c r="E3" s="11"/>
      <c r="F3" s="11"/>
      <c r="H3" s="330" t="s">
        <v>1</v>
      </c>
      <c r="I3" s="330"/>
      <c r="K3" s="13"/>
      <c r="L3" s="13"/>
      <c r="M3" s="14"/>
      <c r="R3" s="297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331" t="s">
        <v>3</v>
      </c>
      <c r="F4" s="332"/>
      <c r="H4" s="333" t="s">
        <v>4</v>
      </c>
      <c r="I4" s="334"/>
      <c r="J4" s="19"/>
      <c r="K4" s="20"/>
      <c r="L4" s="21"/>
      <c r="M4" s="22" t="s">
        <v>5</v>
      </c>
      <c r="N4" s="23" t="s">
        <v>6</v>
      </c>
      <c r="P4" s="304" t="s">
        <v>7</v>
      </c>
      <c r="Q4" s="305"/>
      <c r="R4" s="298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4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6">
        <v>2800</v>
      </c>
      <c r="D27" s="41" t="s">
        <v>47</v>
      </c>
      <c r="E27" s="28">
        <v>44705</v>
      </c>
      <c r="F27" s="29">
        <v>68453</v>
      </c>
      <c r="G27" s="2"/>
      <c r="H27" s="30">
        <v>44705</v>
      </c>
      <c r="I27" s="31">
        <v>43</v>
      </c>
      <c r="J27" s="67"/>
      <c r="K27" s="68"/>
      <c r="L27" s="66"/>
      <c r="M27" s="32">
        <f>45610+20000</f>
        <v>65610</v>
      </c>
      <c r="N27" s="33">
        <v>0</v>
      </c>
      <c r="P27" s="34">
        <f t="shared" si="0"/>
        <v>68453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6">
        <v>0</v>
      </c>
      <c r="D28" s="41"/>
      <c r="E28" s="28">
        <v>44706</v>
      </c>
      <c r="F28" s="29">
        <v>28820</v>
      </c>
      <c r="G28" s="2"/>
      <c r="H28" s="30">
        <v>44706</v>
      </c>
      <c r="I28" s="31">
        <v>1153</v>
      </c>
      <c r="J28" s="69"/>
      <c r="K28" s="70"/>
      <c r="L28" s="66"/>
      <c r="M28" s="32">
        <f>16978+10000</f>
        <v>26978</v>
      </c>
      <c r="N28" s="33">
        <v>689</v>
      </c>
      <c r="P28" s="34">
        <f t="shared" si="0"/>
        <v>28820</v>
      </c>
      <c r="Q28" s="13" t="s">
        <v>8</v>
      </c>
      <c r="R28" s="8"/>
      <c r="S28">
        <v>2</v>
      </c>
    </row>
    <row r="29" spans="1:19" ht="18" thickBot="1" x14ac:dyDescent="0.35">
      <c r="A29" s="24"/>
      <c r="B29" s="25">
        <v>44707</v>
      </c>
      <c r="C29" s="26">
        <v>20289</v>
      </c>
      <c r="D29" s="71" t="s">
        <v>323</v>
      </c>
      <c r="E29" s="28">
        <v>44707</v>
      </c>
      <c r="F29" s="29">
        <v>65956</v>
      </c>
      <c r="G29" s="2"/>
      <c r="H29" s="30">
        <v>44707</v>
      </c>
      <c r="I29" s="31">
        <v>93</v>
      </c>
      <c r="J29" s="67"/>
      <c r="K29" s="72"/>
      <c r="L29" s="66"/>
      <c r="M29" s="32">
        <f>20000+25531</f>
        <v>45531</v>
      </c>
      <c r="N29" s="33">
        <v>43</v>
      </c>
      <c r="P29" s="34">
        <f t="shared" si="0"/>
        <v>65956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44690</v>
      </c>
      <c r="K36" s="221" t="s">
        <v>322</v>
      </c>
      <c r="L36" s="80">
        <v>1195.68</v>
      </c>
      <c r="M36" s="32">
        <v>0</v>
      </c>
      <c r="N36" s="33">
        <v>0</v>
      </c>
      <c r="P36" s="34"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>
        <v>44699</v>
      </c>
      <c r="K37" s="76" t="s">
        <v>324</v>
      </c>
      <c r="L37" s="80">
        <v>870</v>
      </c>
      <c r="M37" s="32">
        <v>0</v>
      </c>
      <c r="N37" s="33">
        <v>0</v>
      </c>
      <c r="P37" s="34"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44704</v>
      </c>
      <c r="K38" s="42" t="s">
        <v>318</v>
      </c>
      <c r="L38" s="80">
        <v>1392</v>
      </c>
      <c r="M38" s="32">
        <v>0</v>
      </c>
      <c r="N38" s="33">
        <v>0</v>
      </c>
      <c r="P38" s="34">
        <v>0</v>
      </c>
      <c r="Q38" s="61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>
        <v>44710</v>
      </c>
      <c r="K39" s="276" t="s">
        <v>320</v>
      </c>
      <c r="L39" s="75">
        <v>1770.75</v>
      </c>
      <c r="M39" s="32">
        <v>0</v>
      </c>
      <c r="N39" s="33">
        <v>0</v>
      </c>
      <c r="P39" s="34"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76"/>
      <c r="L40" s="75"/>
      <c r="M40" s="306">
        <f>SUM(M5:M39)</f>
        <v>2144215</v>
      </c>
      <c r="N40" s="308">
        <f>SUM(N5:N39)</f>
        <v>62525</v>
      </c>
      <c r="P40" s="34">
        <f>SUM(P5:P39)</f>
        <v>2335834</v>
      </c>
      <c r="Q40" s="13">
        <f t="shared" si="1"/>
        <v>2335834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307"/>
      <c r="N41" s="309"/>
      <c r="P41" s="34"/>
      <c r="Q41" s="9"/>
    </row>
    <row r="42" spans="1:18" ht="17.25" hidden="1" customHeight="1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83730</v>
      </c>
      <c r="D51" s="107"/>
      <c r="E51" s="108" t="s">
        <v>9</v>
      </c>
      <c r="F51" s="109">
        <f>SUM(F5:F50)</f>
        <v>2324367</v>
      </c>
      <c r="G51" s="107"/>
      <c r="H51" s="110" t="s">
        <v>10</v>
      </c>
      <c r="I51" s="111">
        <f>SUM(I5:I50)</f>
        <v>3447</v>
      </c>
      <c r="J51" s="112"/>
      <c r="K51" s="113" t="s">
        <v>11</v>
      </c>
      <c r="L51" s="114">
        <f>SUM(L5:L50)</f>
        <v>47784.42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10" t="s">
        <v>12</v>
      </c>
      <c r="I53" s="311"/>
      <c r="J53" s="119"/>
      <c r="K53" s="312">
        <f>I51+L51</f>
        <v>51231.42</v>
      </c>
      <c r="L53" s="313"/>
      <c r="M53" s="314">
        <f>N40+M40</f>
        <v>2206740</v>
      </c>
      <c r="N53" s="315"/>
      <c r="P53" s="34"/>
      <c r="Q53" s="9"/>
    </row>
    <row r="54" spans="1:17" ht="15.75" x14ac:dyDescent="0.25">
      <c r="D54" s="316" t="s">
        <v>13</v>
      </c>
      <c r="E54" s="316"/>
      <c r="F54" s="120">
        <f>F51-K53-C51</f>
        <v>2189405.58</v>
      </c>
      <c r="I54" s="121"/>
      <c r="J54" s="122"/>
      <c r="P54" s="34"/>
      <c r="Q54" s="9"/>
    </row>
    <row r="55" spans="1:17" ht="18.75" x14ac:dyDescent="0.3">
      <c r="D55" s="317" t="s">
        <v>14</v>
      </c>
      <c r="E55" s="317"/>
      <c r="F55" s="115">
        <v>-2251924.65</v>
      </c>
      <c r="I55" s="318" t="s">
        <v>15</v>
      </c>
      <c r="J55" s="319"/>
      <c r="K55" s="320">
        <f>F57+F58+F59</f>
        <v>112552.74000000017</v>
      </c>
      <c r="L55" s="321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-62519.069999999832</v>
      </c>
      <c r="H57" s="24"/>
      <c r="I57" s="129" t="s">
        <v>17</v>
      </c>
      <c r="J57" s="130"/>
      <c r="K57" s="322">
        <f>-C4</f>
        <v>-297874.59000000003</v>
      </c>
      <c r="L57" s="323"/>
    </row>
    <row r="58" spans="1:17" ht="16.5" thickBot="1" x14ac:dyDescent="0.3">
      <c r="D58" s="131" t="s">
        <v>18</v>
      </c>
      <c r="E58" s="117" t="s">
        <v>19</v>
      </c>
      <c r="F58" s="132">
        <v>25133</v>
      </c>
    </row>
    <row r="59" spans="1:17" ht="20.25" thickTop="1" thickBot="1" x14ac:dyDescent="0.35">
      <c r="C59" s="133">
        <v>44710</v>
      </c>
      <c r="D59" s="299" t="s">
        <v>20</v>
      </c>
      <c r="E59" s="300"/>
      <c r="F59" s="134">
        <v>149938.81</v>
      </c>
      <c r="I59" s="301" t="s">
        <v>325</v>
      </c>
      <c r="J59" s="302"/>
      <c r="K59" s="303">
        <f>K55+K57</f>
        <v>-185321.84999999986</v>
      </c>
      <c r="L59" s="303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sortState ref="J35:L40">
    <sortCondition ref="J35:J40"/>
  </sortState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    J U N I O     2 0 2 2      </vt:lpstr>
      <vt:lpstr> REMISIONES   JUNIO   2022   </vt:lpstr>
      <vt:lpstr>    J U L I O     2 0 2 2     </vt:lpstr>
      <vt:lpstr>  REMISIONES   JULIO  2022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2022-08-08T20:47:03Z</cp:lastPrinted>
  <dcterms:created xsi:type="dcterms:W3CDTF">2022-01-21T15:38:45Z</dcterms:created>
  <dcterms:modified xsi:type="dcterms:W3CDTF">2022-08-08T20:49:25Z</dcterms:modified>
</cp:coreProperties>
</file>