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3" l="1"/>
  <c r="F30" i="33" l="1"/>
  <c r="F28" i="33"/>
  <c r="F27" i="33"/>
  <c r="F23" i="33"/>
  <c r="F18" i="33"/>
  <c r="F13" i="33"/>
  <c r="F7" i="33"/>
  <c r="D87" i="33"/>
  <c r="F28" i="31"/>
  <c r="C84" i="31"/>
  <c r="F15" i="31"/>
  <c r="F9" i="31" l="1"/>
  <c r="F7" i="31" l="1"/>
  <c r="F3" i="31"/>
  <c r="F29" i="27"/>
  <c r="F28" i="27"/>
  <c r="F24" i="27"/>
  <c r="F75" i="32"/>
  <c r="M46" i="32" l="1"/>
  <c r="M45" i="32"/>
  <c r="M44" i="32"/>
  <c r="M42" i="32"/>
  <c r="M41" i="32"/>
  <c r="M40" i="32"/>
  <c r="M38" i="32" l="1"/>
  <c r="M37" i="32" l="1"/>
  <c r="M36" i="32"/>
  <c r="M35" i="32"/>
  <c r="M34" i="32"/>
  <c r="M33" i="32"/>
  <c r="M31" i="32" l="1"/>
  <c r="M30" i="32"/>
  <c r="M29" i="32"/>
  <c r="M28" i="32" l="1"/>
  <c r="M27" i="32"/>
  <c r="M26" i="32"/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Q44" i="32" s="1"/>
  <c r="P45" i="32"/>
  <c r="Q45" i="32" s="1"/>
  <c r="P46" i="32"/>
  <c r="Q46" i="32" s="1"/>
  <c r="P47" i="32"/>
  <c r="Q47" i="32" s="1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81" i="32"/>
  <c r="L75" i="32"/>
  <c r="I75" i="32"/>
  <c r="C75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7" i="33"/>
  <c r="K77" i="32"/>
  <c r="F78" i="32" s="1"/>
  <c r="F81" i="32" s="1"/>
  <c r="K79" i="32" s="1"/>
  <c r="K83" i="32" s="1"/>
  <c r="Q49" i="32"/>
  <c r="P6" i="32"/>
  <c r="P49" i="32" s="1"/>
  <c r="F21" i="27"/>
  <c r="F19" i="27"/>
  <c r="F18" i="27"/>
  <c r="F16" i="27"/>
  <c r="F14" i="27"/>
  <c r="F9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<sst xmlns="http://schemas.openxmlformats.org/spreadsheetml/2006/main" count="3125" uniqueCount="1695">
  <si>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</si>
  <si>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</si>
  <si>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</si>
  <si>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</si>
  <si>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</si>
  <si>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</si>
  <si>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</si>
  <si>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</si>
  <si>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</si>
  <si>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</si>
  <si>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</si>
  <si>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</si>
  <si>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</si>
  <si>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</si>
  <si>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</si>
  <si>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</si>
  <si>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</si>
  <si>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</si>
  <si>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</si>
  <si>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</si>
  <si>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</si>
  <si>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</si>
  <si>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</si>
  <si>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</si>
  <si>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</si>
  <si>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</si>
  <si>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</si>
  <si>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</si>
  <si>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</si>
  <si>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</si>
  <si>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</si>
  <si>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</si>
  <si>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</si>
  <si>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</si>
  <si>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</si>
  <si>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</si>
  <si>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</si>
  <si>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</si>
  <si>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</si>
  <si>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</si>
  <si>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</si>
  <si>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</si>
  <si>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</si>
  <si>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</si>
  <si>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</si>
  <si>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</si>
  <si>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</si>
  <si>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</si>
  <si>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</si>
  <si>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</si>
  <si>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</si>
  <si>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</si>
  <si>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</si>
  <si>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</si>
  <si>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</si>
  <si>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</si>
  <si>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</si>
  <si>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</si>
  <si>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</si>
  <si>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</si>
  <si>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</si>
  <si>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</si>
  <si>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</si>
  <si>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</si>
  <si>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</si>
  <si>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</si>
  <si>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</si>
  <si>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</si>
  <si>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</si>
  <si>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</si>
  <si>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</si>
  <si>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</si>
  <si>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</si>
  <si>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</si>
  <si>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</si>
  <si>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</si>
  <si>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</si>
  <si>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</si>
  <si>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</si>
  <si>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</si>
  <si>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</si>
  <si>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</si>
  <si>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</si>
  <si>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</si>
  <si>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</si>
  <si>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</si>
  <si>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</si>
  <si>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</si>
  <si>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</si>
  <si>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</si>
  <si>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</si>
  <si>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</si>
  <si>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</si>
  <si>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</si>
  <si>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</si>
  <si>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</si>
  <si>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</si>
  <si>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</si>
  <si>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</si>
  <si>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</si>
  <si>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</si>
  <si>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</si>
  <si>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</si>
  <si>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</si>
  <si>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</si>
  <si>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</si>
  <si>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</si>
  <si>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</si>
  <si>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</si>
  <si>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</si>
  <si>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</si>
  <si>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</si>
  <si>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</si>
  <si>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</si>
  <si>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</si>
  <si>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</si>
  <si>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</si>
  <si>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</si>
  <si>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</si>
  <si>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</si>
  <si>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</si>
  <si>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</si>
  <si>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</si>
  <si>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</si>
  <si>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</si>
  <si>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</si>
  <si>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</si>
  <si>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</si>
  <si>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</si>
  <si>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</si>
  <si>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</si>
  <si>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</si>
  <si>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</si>
  <si>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</si>
  <si>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</si>
  <si>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</si>
  <si>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</si>
  <si>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</si>
  <si>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</si>
  <si>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</si>
  <si>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</si>
  <si>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</si>
  <si>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</si>
  <si>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</si>
  <si>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</si>
  <si>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</si>
  <si>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</si>
  <si>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</si>
  <si>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</si>
  <si>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</si>
  <si>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</si>
  <si>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</si>
  <si>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</si>
  <si>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</si>
  <si>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</si>
  <si>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</si>
  <si>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</si>
  <si>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</si>
  <si>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</si>
  <si>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</si>
  <si>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</si>
  <si>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</si>
  <si>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</si>
  <si>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</si>
  <si>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</si>
  <si>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</si>
  <si>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</si>
  <si>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</si>
  <si>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</si>
  <si>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</si>
  <si>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</si>
  <si>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</si>
  <si>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</si>
  <si>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</si>
  <si>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</si>
  <si>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</si>
  <si>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</si>
  <si>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</si>
  <si>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</si>
  <si>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</si>
  <si>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</si>
  <si>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</si>
  <si>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</si>
  <si>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</si>
  <si>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</si>
  <si>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</si>
  <si>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</si>
  <si>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</si>
  <si>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</si>
  <si>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</si>
  <si>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</si>
  <si>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</si>
  <si>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</si>
  <si>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</si>
  <si>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</si>
  <si>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</si>
  <si>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</si>
  <si>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</si>
  <si>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</si>
  <si>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</si>
  <si>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</si>
  <si>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</si>
  <si>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</si>
  <si>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</si>
  <si>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</si>
  <si>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</si>
  <si>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</si>
  <si>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</si>
  <si>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</si>
  <si>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</si>
  <si>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</si>
  <si>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</si>
  <si>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</si>
  <si>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</si>
  <si>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</si>
  <si>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</si>
  <si>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</si>
  <si>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</si>
  <si>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</si>
  <si>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</si>
  <si>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</si>
  <si>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</si>
  <si>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</si>
  <si>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</si>
  <si>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</si>
  <si>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</si>
  <si>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</si>
  <si>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</si>
  <si>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</si>
  <si>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</si>
  <si>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</si>
  <si>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</si>
  <si>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</si>
  <si>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</si>
  <si>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</si>
  <si>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</si>
  <si>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</si>
  <si>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</si>
  <si>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</si>
  <si>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</si>
  <si>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</si>
  <si>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</si>
  <si>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</si>
  <si>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</si>
  <si>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</si>
  <si>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</si>
  <si>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</si>
  <si>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</si>
  <si>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</si>
  <si>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</si>
  <si>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</si>
  <si>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</si>
  <si>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</si>
  <si>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</si>
  <si>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</si>
  <si>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</si>
  <si>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</si>
  <si>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</si>
  <si>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</si>
  <si>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</si>
  <si>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</si>
  <si>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</si>
  <si>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</si>
  <si>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</si>
  <si>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</si>
  <si>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</si>
  <si>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</si>
  <si>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</si>
  <si>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</si>
  <si>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</si>
  <si>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</si>
  <si>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</si>
  <si>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</si>
  <si>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</si>
  <si>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</si>
  <si>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</si>
  <si>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</si>
  <si>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</si>
  <si>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</si>
  <si>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</si>
  <si>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</si>
  <si>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</si>
  <si>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</si>
  <si>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</si>
  <si>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</si>
  <si>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</si>
  <si>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</si>
  <si>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</si>
  <si>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</si>
  <si>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</si>
  <si>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</si>
  <si>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</si>
  <si>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</si>
  <si>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</si>
  <si>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</si>
  <si>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</si>
  <si>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</si>
  <si>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</si>
  <si>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</si>
  <si>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</si>
  <si>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</si>
  <si>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</si>
  <si>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</si>
  <si>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</si>
  <si>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</si>
  <si>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</si>
  <si>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</si>
  <si>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</si>
  <si>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</si>
  <si>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</si>
  <si>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</si>
  <si>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</si>
  <si>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</si>
  <si>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</si>
  <si>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</si>
  <si>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</si>
  <si>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</si>
  <si>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</si>
  <si>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</si>
  <si>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</si>
  <si>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</si>
  <si>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</si>
  <si>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</si>
  <si>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</si>
  <si>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</si>
  <si>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</si>
  <si>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</si>
  <si>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</si>
  <si>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</si>
  <si>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</si>
  <si>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</si>
  <si>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</si>
  <si>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</si>
  <si>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</si>
  <si>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</si>
  <si>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</si>
  <si>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</si>
  <si>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</si>
  <si>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</si>
  <si>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</si>
  <si>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</si>
  <si>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</si>
  <si>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</si>
  <si>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</si>
  <si>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</si>
  <si>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</si>
  <si>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</si>
  <si>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</si>
  <si>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</si>
  <si>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</si>
  <si>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</si>
  <si>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</si>
  <si>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</si>
  <si>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</si>
  <si>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</si>
  <si>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</si>
  <si>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</si>
  <si>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</si>
  <si>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</si>
  <si>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</si>
  <si>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</si>
  <si>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</si>
  <si>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</si>
  <si>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</si>
  <si>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</si>
  <si>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</si>
  <si>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</si>
  <si>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</si>
  <si>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</si>
  <si>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</si>
  <si>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</si>
  <si>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</si>
  <si>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</si>
  <si>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</si>
  <si>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</si>
  <si>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</si>
  <si>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</si>
  <si>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</si>
  <si>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</si>
  <si>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</si>
  <si>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</si>
  <si>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</si>
  <si>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</si>
  <si>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</si>
  <si>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</si>
  <si>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</si>
  <si>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</si>
  <si>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</si>
  <si>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</si>
  <si>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</si>
  <si>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</si>
  <si>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</si>
  <si>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</si>
  <si>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</si>
  <si>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</si>
  <si>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</si>
  <si>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</si>
  <si>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</si>
  <si>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</si>
  <si>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</si>
  <si>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</si>
  <si>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</si>
  <si>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</si>
  <si>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</si>
  <si>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</si>
  <si>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</si>
  <si>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</si>
  <si>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</si>
  <si>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</si>
  <si>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</si>
  <si>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</si>
  <si>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</si>
  <si>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</si>
  <si>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</si>
  <si>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</si>
  <si>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</si>
  <si>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</si>
  <si>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</si>
  <si>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</si>
  <si>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</si>
  <si>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</si>
  <si>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</si>
  <si>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</si>
  <si>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</si>
  <si>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</si>
  <si>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</si>
  <si>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</si>
  <si>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</si>
  <si>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</si>
  <si>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</si>
  <si>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</si>
  <si>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</si>
  <si>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</si>
  <si>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</si>
  <si>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</si>
  <si>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</si>
  <si>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</si>
  <si>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</si>
  <si>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</si>
  <si>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</si>
  <si>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</si>
  <si>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</si>
  <si>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</si>
  <si>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</si>
  <si>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</si>
  <si>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</si>
  <si>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</si>
  <si>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</si>
  <si>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</si>
  <si>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</si>
  <si>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</si>
  <si>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</si>
  <si>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</si>
  <si>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</si>
  <si>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</si>
  <si>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</si>
  <si>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</si>
  <si>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</si>
  <si>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</si>
  <si>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</si>
  <si>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</si>
  <si>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</si>
  <si>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</si>
  <si>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</si>
  <si>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</si>
  <si>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</si>
  <si>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</si>
  <si>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</si>
  <si>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</si>
  <si>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</si>
  <si>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</si>
  <si>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</si>
  <si>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</si>
  <si>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</si>
  <si>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</si>
  <si>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</si>
  <si>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</si>
  <si>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</si>
  <si>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</si>
  <si>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</si>
  <si>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</si>
  <si>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</si>
  <si>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</si>
  <si>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</si>
  <si>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</si>
  <si>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</si>
  <si>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</si>
  <si>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</si>
  <si>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</si>
  <si>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</si>
  <si>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</si>
  <si>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</si>
  <si>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</si>
  <si>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</si>
  <si>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</si>
  <si>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</si>
  <si>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</si>
  <si>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</si>
  <si>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</si>
  <si>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</si>
  <si>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</si>
  <si>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</si>
  <si>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</si>
  <si>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</si>
  <si>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</si>
  <si>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</si>
  <si>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</si>
  <si>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</si>
  <si>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</si>
  <si>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</si>
  <si>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</si>
  <si>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</si>
  <si>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</si>
  <si>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</si>
  <si>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</si>
  <si>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</si>
  <si>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</si>
  <si>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</si>
  <si>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</si>
  <si>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</si>
  <si>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</si>
  <si>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</si>
  <si>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</si>
  <si>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</si>
  <si>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</si>
  <si>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</si>
  <si>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</si>
  <si>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</si>
  <si>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</si>
  <si>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</si>
  <si>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</si>
  <si>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</si>
  <si>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</si>
  <si>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</si>
  <si>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</si>
  <si>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</si>
  <si>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</si>
  <si>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</si>
  <si>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</si>
  <si>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</si>
  <si>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</si>
  <si>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</si>
  <si>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</si>
  <si>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</si>
  <si>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</si>
  <si>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</si>
  <si>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</si>
  <si>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</si>
  <si>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</si>
  <si>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</si>
  <si>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</si>
  <si>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</si>
  <si>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</si>
  <si>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</si>
  <si>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</si>
  <si>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</si>
  <si>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</si>
  <si>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</si>
  <si>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</si>
  <si>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</si>
  <si>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</si>
  <si>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</si>
  <si>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</si>
  <si>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</si>
  <si>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</si>
  <si>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</si>
  <si>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</si>
  <si>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</si>
  <si>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</si>
  <si>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</si>
  <si>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</si>
  <si>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</si>
  <si>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</si>
  <si>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</si>
  <si>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</si>
  <si>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</si>
  <si>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</si>
  <si>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</si>
  <si>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</si>
  <si>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</si>
  <si>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</si>
  <si>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</si>
  <si>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</si>
  <si>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</si>
  <si>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</si>
  <si>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</si>
  <si>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</si>
  <si>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</si>
  <si>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</si>
  <si>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</si>
  <si>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</si>
  <si>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</si>
  <si>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</si>
  <si>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</si>
  <si>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</si>
  <si>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</si>
  <si>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</si>
  <si>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</si>
  <si>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</si>
  <si>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</si>
  <si>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</si>
  <si>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</si>
  <si>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</si>
  <si>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</si>
  <si>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</si>
  <si>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</si>
  <si>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</si>
  <si>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</si>
  <si>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</si>
  <si>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</si>
  <si>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</si>
  <si>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</si>
  <si>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</si>
  <si>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</si>
  <si>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</si>
  <si>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</si>
  <si>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</si>
  <si>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</si>
  <si>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</si>
  <si>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</si>
  <si>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</si>
  <si>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</si>
  <si>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</si>
  <si>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</si>
  <si>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</si>
  <si>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</si>
  <si>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</si>
  <si>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</si>
  <si>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</si>
  <si>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</si>
  <si>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</si>
  <si>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</si>
  <si>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</si>
  <si>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</si>
  <si>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</si>
  <si>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</si>
  <si>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</si>
  <si>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</si>
  <si>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</si>
  <si>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</si>
  <si>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</si>
  <si>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</si>
  <si>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</si>
  <si>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</si>
  <si>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</si>
  <si>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</si>
  <si>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</si>
  <si>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</si>
  <si>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</si>
  <si>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</si>
  <si>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</si>
  <si>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</si>
  <si>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</si>
  <si>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</si>
  <si>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</si>
  <si>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</si>
  <si>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</si>
  <si>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</si>
  <si>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</si>
  <si>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</si>
  <si>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</si>
  <si>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</si>
  <si>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</si>
  <si>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</si>
  <si>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</si>
  <si>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</si>
  <si>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</si>
  <si>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</si>
  <si>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</si>
  <si>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</si>
  <si>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</si>
  <si>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</si>
  <si>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</si>
  <si>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</si>
  <si>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</si>
  <si>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</si>
  <si>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</si>
  <si>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</si>
  <si>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</si>
  <si>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</si>
  <si>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</si>
  <si>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</si>
  <si>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</si>
  <si>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</si>
  <si>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</si>
  <si>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</si>
  <si>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</si>
  <si>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</si>
  <si>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</si>
  <si>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</si>
  <si>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</si>
  <si>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</si>
  <si>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</si>
  <si>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</si>
  <si>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</si>
  <si>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</si>
  <si>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</si>
  <si>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</si>
  <si>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</si>
  <si>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</si>
  <si>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</si>
  <si>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</si>
  <si>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</si>
  <si>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</si>
  <si>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</si>
  <si>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</si>
  <si>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</si>
  <si>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</si>
  <si>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</si>
  <si>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</si>
  <si>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</si>
  <si>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</si>
  <si>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</si>
  <si>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</si>
  <si>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</si>
  <si>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</si>
  <si>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</si>
  <si>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</si>
  <si>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</si>
  <si>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</si>
  <si>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</si>
  <si>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</si>
  <si>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</si>
  <si>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</si>
  <si>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</si>
  <si>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</si>
  <si>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</si>
  <si>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</si>
  <si>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</si>
  <si>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</si>
  <si>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</si>
  <si>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</si>
  <si>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</si>
  <si>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</si>
  <si>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</si>
  <si>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</si>
  <si>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</si>
  <si>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</si>
  <si>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</si>
  <si>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</si>
  <si>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</si>
  <si>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</si>
  <si>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</si>
  <si>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</si>
  <si>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</si>
  <si>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</si>
  <si>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</si>
  <si>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</si>
  <si>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</si>
  <si>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</si>
  <si>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</si>
  <si>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</si>
  <si>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</si>
  <si>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</si>
  <si>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</si>
  <si>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</si>
  <si>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</si>
  <si>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</si>
  <si>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</si>
  <si>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</si>
  <si>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</si>
  <si>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</si>
  <si>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</si>
  <si>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</si>
  <si>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</si>
  <si>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</si>
  <si>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</si>
  <si>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</si>
  <si>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</si>
  <si>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</si>
  <si>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</si>
  <si>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</si>
  <si>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</si>
  <si>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</si>
  <si>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</si>
  <si>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</si>
  <si>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</si>
  <si>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</si>
  <si>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</si>
  <si>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</si>
  <si>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</si>
  <si>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</si>
  <si>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</si>
  <si>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</si>
  <si>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</si>
  <si>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</si>
  <si>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</si>
  <si>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</si>
  <si>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</si>
  <si>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</si>
  <si>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</si>
  <si>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</si>
  <si>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</si>
  <si>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</si>
  <si>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</si>
  <si>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</si>
  <si>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</si>
  <si>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</si>
  <si>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</si>
  <si>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</si>
  <si>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</si>
  <si>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</si>
  <si>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</si>
  <si>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</si>
  <si>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</si>
  <si>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</si>
  <si>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</si>
  <si>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</si>
  <si>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</si>
  <si>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</si>
  <si>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</si>
  <si>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</si>
  <si>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</si>
  <si>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</si>
  <si>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</si>
  <si>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</si>
  <si>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</si>
  <si>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</si>
  <si>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</si>
  <si>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</si>
  <si>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</si>
  <si>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</si>
  <si>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</si>
  <si>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</si>
  <si>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</si>
  <si>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</si>
  <si>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</si>
  <si>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</si>
  <si>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</si>
  <si>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</si>
  <si>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</si>
  <si>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</si>
  <si>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</si>
  <si>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</si>
  <si>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</si>
  <si>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</si>
  <si>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</si>
  <si>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</si>
  <si>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</si>
  <si>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</si>
  <si>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</si>
  <si>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</si>
  <si>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</si>
  <si>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</si>
  <si>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</si>
  <si>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</si>
  <si>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</si>
  <si>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</si>
  <si>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</si>
  <si>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</si>
  <si>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</si>
  <si>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</si>
  <si>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</si>
  <si>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</si>
  <si>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</si>
  <si>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</si>
  <si>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</si>
  <si>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</si>
  <si>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</si>
  <si>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</si>
  <si>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</si>
  <si>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</si>
  <si>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</si>
  <si>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</si>
  <si>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</si>
  <si>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</si>
  <si>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</si>
  <si>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</si>
  <si>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</si>
  <si>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</si>
  <si>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</si>
  <si>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</si>
  <si>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</si>
  <si>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</si>
  <si>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</si>
  <si>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</si>
  <si>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</si>
  <si>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</si>
  <si>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</si>
  <si>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</si>
  <si>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</si>
  <si>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</si>
  <si>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</si>
  <si>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</si>
  <si>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</si>
  <si>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</si>
  <si>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</si>
  <si>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</si>
  <si>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</si>
  <si>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</si>
  <si>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</si>
  <si>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</si>
  <si>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</si>
  <si>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</si>
  <si>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</si>
  <si>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</si>
  <si>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</si>
  <si>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</si>
  <si>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</si>
  <si>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</si>
  <si>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</si>
  <si>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</si>
  <si>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</si>
  <si>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</si>
  <si>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</si>
  <si>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</si>
  <si>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</si>
  <si>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</si>
  <si>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</si>
  <si>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</si>
  <si>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</si>
  <si>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</si>
  <si>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</si>
  <si>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</si>
  <si>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</si>
  <si>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</si>
  <si>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</si>
  <si>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</si>
  <si>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</si>
  <si>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</si>
  <si>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</si>
  <si>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</si>
  <si>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</si>
  <si>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</si>
  <si>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</si>
  <si>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</si>
  <si>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</si>
  <si>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</si>
  <si>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</si>
  <si>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</si>
  <si>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</si>
  <si>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</si>
  <si>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</si>
  <si>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</si>
  <si>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</si>
  <si>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</si>
  <si>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</si>
  <si>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</si>
  <si>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</si>
  <si>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</si>
  <si>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</si>
  <si>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</si>
  <si>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</si>
  <si>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</si>
  <si>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</si>
  <si>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</si>
  <si>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</si>
  <si>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</si>
  <si>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</si>
  <si>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</si>
  <si>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</si>
  <si>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</si>
  <si>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</si>
  <si>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</si>
  <si>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</si>
  <si>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</si>
  <si>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</si>
  <si>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</si>
  <si>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</si>
  <si>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</si>
  <si>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</si>
  <si>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</si>
  <si>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</si>
  <si>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</si>
  <si>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</si>
  <si>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</si>
  <si>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</si>
  <si>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</si>
  <si>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</si>
  <si>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</si>
  <si>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</si>
  <si>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</si>
  <si>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</si>
  <si>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</si>
  <si>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</si>
  <si>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</si>
  <si>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</si>
  <si>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</si>
  <si>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</si>
  <si>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</si>
  <si>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</si>
  <si>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</si>
  <si>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</si>
  <si>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</si>
  <si>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</si>
  <si>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</si>
  <si>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</si>
  <si>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</si>
  <si>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</si>
  <si>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</si>
  <si>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</si>
  <si>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</si>
  <si>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</si>
  <si>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</si>
  <si>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</si>
  <si>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</si>
  <si>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</si>
  <si>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</si>
  <si>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</si>
  <si>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</si>
  <si>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</si>
  <si>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</si>
  <si>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</si>
  <si>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</si>
  <si>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</si>
  <si>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</si>
  <si>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</si>
  <si>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</si>
  <si>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</si>
  <si>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</si>
  <si>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</si>
  <si>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</si>
  <si>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</si>
  <si>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</si>
  <si>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</si>
  <si>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</si>
  <si>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</si>
  <si>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</si>
  <si>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</si>
  <si>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</si>
  <si>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</si>
  <si>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</si>
  <si>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</si>
  <si>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</si>
  <si>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</si>
  <si>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</si>
  <si>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</si>
  <si>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</si>
  <si>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</si>
  <si>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</si>
  <si>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</si>
  <si>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</si>
  <si>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</si>
  <si>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</si>
  <si>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</si>
  <si>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</si>
  <si>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</si>
  <si>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</si>
  <si>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</si>
  <si>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</si>
  <si>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</si>
  <si>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</si>
  <si>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</si>
  <si>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</si>
  <si>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</si>
  <si>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</si>
  <si>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</si>
  <si>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</si>
  <si>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</si>
  <si>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</si>
  <si>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</si>
  <si>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</si>
  <si>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</si>
  <si>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</si>
  <si>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</si>
  <si>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</si>
  <si>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</si>
  <si>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</si>
  <si>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</si>
  <si>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</si>
  <si>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</si>
  <si>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</si>
  <si>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</si>
  <si>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</si>
  <si>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</si>
  <si>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</si>
  <si>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</si>
  <si>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</si>
  <si>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</si>
  <si>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</si>
  <si>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</si>
  <si>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</si>
  <si>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</si>
  <si>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</si>
  <si>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</si>
  <si>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</si>
  <si>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</si>
  <si>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</si>
  <si>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</si>
  <si>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</si>
  <si>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</si>
  <si>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</si>
  <si>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</si>
  <si>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</si>
  <si>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</si>
  <si>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</si>
  <si>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</si>
  <si>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</si>
  <si>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</si>
  <si>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</si>
  <si>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</si>
  <si>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</si>
  <si>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</si>
  <si>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</si>
  <si>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</si>
  <si>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</si>
  <si>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</si>
  <si>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</si>
  <si>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</si>
  <si>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</si>
  <si>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</si>
  <si>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</si>
  <si>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</si>
  <si>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</si>
  <si>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</si>
  <si>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</si>
  <si>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</si>
  <si>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</si>
  <si>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</si>
  <si>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</si>
  <si>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</si>
  <si>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</si>
  <si>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</si>
  <si>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</si>
  <si>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</si>
  <si>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</si>
  <si>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</si>
  <si>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</si>
  <si>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</si>
  <si>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</si>
  <si>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</si>
  <si>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</si>
  <si>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</si>
  <si>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</si>
  <si>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</si>
  <si>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</si>
  <si>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</si>
  <si>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</si>
  <si>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</si>
  <si>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</si>
  <si>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</si>
  <si>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</si>
  <si>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</si>
  <si>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</si>
  <si>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</si>
  <si>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</si>
  <si>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</si>
  <si>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</si>
  <si>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</si>
  <si>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</si>
  <si>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</si>
  <si>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</si>
  <si>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</si>
  <si>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</si>
  <si>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</si>
  <si>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</si>
  <si>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</si>
  <si>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</si>
  <si>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</si>
  <si>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</si>
  <si>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</si>
  <si>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</si>
  <si>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</si>
  <si>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</si>
  <si>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</si>
  <si>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</si>
  <si>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</si>
  <si>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</si>
  <si>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</si>
  <si>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</si>
  <si>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</si>
  <si>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</si>
  <si>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</si>
  <si>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</si>
  <si>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</si>
  <si>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</si>
  <si>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</si>
  <si>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</si>
  <si>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</si>
  <si>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</si>
  <si>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</si>
  <si>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</si>
  <si>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</si>
  <si>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</si>
  <si>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</si>
  <si>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</si>
  <si>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</si>
  <si>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</si>
  <si>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</si>
  <si>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</si>
  <si>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</si>
  <si>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</si>
  <si>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</si>
  <si>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</si>
  <si>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</si>
  <si>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</si>
  <si>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</si>
  <si>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</si>
  <si>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</si>
  <si>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</si>
  <si>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</si>
  <si>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</si>
  <si>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</si>
  <si>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</si>
  <si>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</si>
  <si>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</si>
  <si>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</si>
  <si>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</si>
  <si>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</si>
  <si>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</si>
  <si>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</si>
  <si>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</si>
  <si>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</si>
  <si>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</si>
  <si>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</si>
  <si>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</si>
  <si>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</si>
  <si>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</si>
  <si>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</si>
  <si>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</si>
  <si>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</si>
  <si>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</si>
  <si>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</si>
  <si>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</si>
  <si>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</si>
  <si>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</si>
  <si>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</si>
  <si>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</si>
  <si>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</si>
  <si>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</si>
  <si>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</si>
  <si>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</si>
  <si>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</si>
  <si>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</si>
  <si>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</si>
  <si>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</si>
  <si>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</si>
  <si>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</si>
  <si>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</si>
  <si>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</si>
  <si>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</si>
  <si>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</si>
  <si>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</si>
  <si>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</si>
  <si>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</si>
  <si>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</si>
  <si>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</si>
  <si>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</si>
  <si>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</si>
  <si>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</si>
  <si>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</si>
  <si>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</si>
  <si>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</si>
  <si>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</si>
  <si>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</si>
  <si>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</si>
  <si>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</si>
  <si>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</si>
  <si>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</si>
  <si>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</si>
  <si>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</si>
  <si>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</si>
  <si>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</si>
  <si>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</si>
  <si>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</si>
  <si>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</si>
  <si>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</si>
  <si>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</si>
  <si>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</si>
  <si>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</si>
  <si>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</si>
  <si>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</si>
  <si>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</si>
  <si>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</si>
  <si>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</si>
  <si>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</si>
  <si>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</si>
  <si>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</si>
  <si>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</si>
  <si>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</si>
  <si>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</si>
  <si>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</si>
  <si>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</si>
  <si>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</si>
  <si>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</si>
  <si>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</si>
  <si>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</si>
  <si>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</si>
  <si>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</si>
  <si>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</si>
  <si>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</si>
  <si>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</si>
  <si>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</si>
  <si>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</si>
  <si>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</si>
  <si>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</si>
  <si>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</si>
  <si>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</si>
  <si>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</si>
  <si>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</si>
  <si>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</si>
  <si>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</si>
  <si>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</si>
  <si>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</si>
  <si>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</si>
  <si>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</si>
  <si>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</si>
  <si>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</si>
  <si>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</si>
  <si>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</si>
  <si>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</si>
  <si>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</si>
  <si>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</si>
  <si>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</si>
  <si>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</si>
  <si>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</si>
  <si>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</si>
  <si>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</si>
  <si>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</si>
  <si>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</si>
  <si>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</si>
  <si>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</si>
  <si>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</si>
  <si>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</si>
  <si>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</si>
  <si>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</si>
  <si>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</si>
  <si>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</si>
  <si>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</si>
  <si>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</si>
  <si>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</si>
  <si>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</si>
  <si>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</si>
  <si>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</si>
  <si>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</si>
  <si>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</si>
  <si>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</si>
  <si>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</si>
  <si>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</si>
  <si>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</si>
  <si>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</si>
  <si>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</si>
  <si>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</si>
  <si>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</si>
  <si>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</si>
  <si>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</si>
  <si>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</si>
  <si>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</si>
  <si>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</si>
  <si>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</si>
  <si>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</si>
  <si>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</si>
  <si>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</si>
  <si>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</si>
  <si>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</si>
  <si>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</si>
  <si>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</si>
  <si>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</si>
  <si>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</si>
  <si>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</si>
  <si>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</si>
  <si>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</si>
  <si>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</si>
  <si>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</si>
  <si>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</si>
  <si>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</si>
  <si>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</si>
  <si>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</si>
  <si>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</si>
  <si>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</si>
  <si>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</si>
  <si>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</si>
  <si>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</si>
  <si>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</si>
  <si>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</si>
  <si>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</si>
  <si>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</si>
  <si>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</si>
  <si>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</si>
  <si>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</si>
  <si>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</si>
  <si>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</si>
  <si>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</si>
  <si>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</si>
  <si>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</si>
  <si>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</si>
  <si>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</si>
  <si>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</si>
  <si>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</si>
  <si>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</si>
  <si>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</si>
  <si>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</si>
  <si>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</si>
  <si>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</si>
  <si>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</si>
  <si>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</si>
  <si>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</si>
  <si>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</si>
  <si>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</si>
  <si>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</si>
  <si>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</si>
  <si>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</si>
  <si>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</si>
  <si>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</si>
  <si>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</si>
  <si>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</si>
  <si>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</si>
  <si>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</si>
  <si>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</si>
  <si>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</si>
  <si>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</si>
  <si>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</si>
  <si>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</si>
  <si>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</si>
  <si>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</si>
  <si>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</si>
  <si>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</si>
  <si>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</si>
  <si>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</si>
  <si>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</si>
  <si>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</si>
  <si>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</si>
  <si>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</si>
  <si>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</si>
  <si>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</si>
  <si>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</si>
  <si>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</si>
  <si>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</si>
  <si>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</si>
  <si>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</si>
  <si>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</si>
  <si>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</si>
  <si>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</si>
  <si>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</si>
  <si>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</si>
  <si>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</si>
  <si>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</si>
  <si>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</si>
  <si>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</si>
  <si>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</si>
  <si>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</si>
  <si>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</si>
  <si>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</si>
  <si>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</si>
  <si>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</si>
  <si>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</si>
  <si>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</si>
  <si>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</si>
  <si>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</si>
  <si>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</si>
  <si>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</si>
  <si>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</si>
  <si>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</si>
  <si>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</si>
  <si>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</si>
  <si>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</si>
  <si>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</si>
  <si>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</si>
  <si>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</si>
  <si>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</si>
  <si>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</si>
  <si>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</si>
  <si>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</si>
  <si>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</si>
  <si>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</si>
  <si>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</si>
  <si>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</si>
  <si>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</si>
  <si>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</si>
  <si>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</si>
  <si>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</si>
  <si>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</si>
  <si>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</si>
  <si>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</si>
  <si>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</si>
  <si>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</si>
  <si>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</si>
  <si>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</si>
  <si>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</si>
  <si>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</si>
  <si>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</si>
  <si>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</si>
  <si>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</si>
  <si>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</si>
  <si>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</si>
  <si>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</si>
  <si>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</si>
  <si>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</si>
  <si>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</si>
  <si>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</si>
  <si>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</si>
  <si>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</si>
  <si>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</si>
  <si>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</si>
  <si>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</si>
  <si>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</si>
  <si>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</si>
  <si>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</si>
  <si>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</si>
  <si>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</si>
  <si>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</si>
  <si>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</si>
  <si>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</si>
  <si>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</si>
  <si>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</si>
  <si>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</si>
  <si>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</si>
  <si>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</si>
  <si>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</si>
  <si>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</si>
  <si>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</si>
  <si>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</si>
  <si>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</si>
  <si>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</si>
  <si>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</si>
  <si>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</si>
  <si>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</si>
  <si>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</si>
  <si>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</si>
  <si>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</si>
  <si>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</si>
  <si>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</si>
  <si>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</si>
  <si>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</si>
  <si>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</si>
  <si>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</si>
  <si>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</si>
  <si>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</si>
  <si>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</si>
  <si>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</si>
  <si>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</si>
  <si>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</si>
  <si>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</si>
  <si>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</si>
  <si>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</si>
  <si>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</si>
  <si>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</si>
  <si>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</si>
  <si>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</si>
  <si>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</si>
  <si>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</si>
  <si>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</si>
  <si>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</si>
  <si>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</si>
  <si>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</si>
  <si>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</si>
  <si>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</si>
  <si>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</si>
  <si>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</si>
  <si>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</si>
  <si>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</si>
  <si>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</si>
  <si>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</si>
  <si>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</si>
  <si>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</si>
  <si>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</si>
  <si>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</si>
  <si>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</si>
  <si>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</si>
  <si>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</si>
  <si>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</si>
  <si>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</si>
  <si>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</si>
  <si>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</si>
  <si>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</si>
  <si>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</si>
  <si>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</si>
  <si>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</si>
  <si>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</si>
  <si>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</si>
  <si>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</si>
  <si>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</si>
  <si>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</si>
  <si>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</si>
  <si>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</si>
  <si>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</si>
  <si>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</si>
  <si>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</si>
  <si>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</si>
  <si>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</si>
  <si>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</si>
  <si>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</si>
  <si>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</si>
  <si>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</si>
  <si>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</si>
  <si>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</si>
  <si>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</si>
  <si>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</si>
  <si>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</si>
  <si>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</si>
  <si>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</si>
  <si>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</si>
  <si>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</si>
  <si>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</si>
  <si>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</si>
  <si>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</si>
  <si>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</si>
  <si>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</si>
  <si>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</si>
  <si>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</si>
  <si>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</si>
  <si>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</si>
  <si>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</si>
  <si>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</si>
  <si>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</si>
  <si>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</si>
  <si>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</si>
  <si>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</si>
  <si>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</si>
  <si>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</si>
  <si>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</si>
  <si>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</si>
  <si>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</si>
  <si>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</si>
  <si>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</si>
  <si>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</si>
  <si>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</si>
  <si>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</si>
  <si>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</si>
  <si>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</si>
  <si>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</si>
  <si>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</si>
  <si>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</si>
  <si>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</si>
  <si>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</si>
  <si>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</si>
  <si>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</si>
  <si>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</si>
  <si>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</si>
  <si>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</si>
  <si>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</si>
  <si>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</si>
  <si>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</si>
  <si>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</si>
  <si>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</si>
  <si>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</si>
  <si>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</si>
  <si>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</si>
  <si>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</si>
  <si>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</si>
  <si>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</si>
  <si>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</si>
  <si>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</si>
  <si>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</si>
  <si>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</si>
  <si>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</si>
  <si>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</si>
  <si>
    <t>CHISTORRA--QUESOS-SALCHICHA-PASTOR-CHISTORRA</t>
  </si>
  <si>
    <t>QUESOS-POLLO-SALCHICHAS-JAMONES-</t>
  </si>
  <si>
    <t>AGUINALDOS</t>
  </si>
  <si>
    <t>CHISTORRA-QUESOS-POLLO-QUESOS</t>
  </si>
  <si>
    <t>QUESOS-POLLO-NATA-LONGANIZA</t>
  </si>
  <si>
    <t>QUESOS-MIXIOTES-PASTOR-CEREAL</t>
  </si>
  <si>
    <t>NOMINA # 52</t>
  </si>
  <si>
    <t>NOMINA  # 52</t>
  </si>
  <si>
    <t>CHORIZO-JAMON-CHISTORRA-POLLO-QUESOS-MAIZ-LONGANIZA</t>
  </si>
  <si>
    <t>JAMON-SALCHICHAS-LENGUA-POLLO</t>
  </si>
  <si>
    <t>QUESOS-POLLO-TOTOPOS</t>
  </si>
  <si>
    <t>POLLO-PASTOR-LONGANIZA-CHORIZO-TOCINETA</t>
  </si>
  <si>
    <t>PATE-QUESOS-LONGANIZA-ENCHILADA</t>
  </si>
  <si>
    <t>QUESOS-POLLO-ARABE-PASTOR</t>
  </si>
  <si>
    <t>JAMON-LENGUA-POLLO-QUESOS-CHOARIZO</t>
  </si>
  <si>
    <t>POR ERROR EN UN TIKET QUE PERMITIO QUE DESPUES DE PAGADO PERMITIO AGREGAR UN PRODUCTO</t>
  </si>
  <si>
    <t>NATA-QUESOS-POLLO</t>
  </si>
  <si>
    <t>POLLO-TOSTADAS-QUESO</t>
  </si>
  <si>
    <t xml:space="preserve">QUESOS-POLLO-PASTOR  </t>
  </si>
  <si>
    <t>(1140)..ABASTOS 4 CARNES ZAVALETA</t>
  </si>
  <si>
    <t>28-nov-2022</t>
  </si>
  <si>
    <t>29-nov-2022</t>
  </si>
  <si>
    <t>30-nov-2022</t>
  </si>
  <si>
    <t>1-dic-2022</t>
  </si>
  <si>
    <t>2-dic-2022</t>
  </si>
  <si>
    <t>3-dic-2022</t>
  </si>
  <si>
    <t>5-dic-2022</t>
  </si>
  <si>
    <t>6-dic-2022</t>
  </si>
  <si>
    <t>7-dic-2022</t>
  </si>
  <si>
    <t>8-dic-2022</t>
  </si>
  <si>
    <t>9-dic-2022</t>
  </si>
  <si>
    <t>10-dic-2022</t>
  </si>
  <si>
    <t>12-dic-2022</t>
  </si>
  <si>
    <t>14-dic-2022</t>
  </si>
  <si>
    <t>15-dic-2022</t>
  </si>
  <si>
    <t>17-dic-2022</t>
  </si>
  <si>
    <t>19-dic-2022</t>
  </si>
  <si>
    <t>20-dic-2022</t>
  </si>
  <si>
    <t>22-dic-2022</t>
  </si>
  <si>
    <t>27-dic-2022</t>
  </si>
  <si>
    <t>28-dic-2022</t>
  </si>
  <si>
    <t>29-dic-2022</t>
  </si>
  <si>
    <r>
      <t>2-Dic-22-</t>
    </r>
    <r>
      <rPr>
        <b/>
        <sz val="12"/>
        <color rgb="FF0000FF"/>
        <rFont val="Calibri"/>
        <family val="2"/>
        <scheme val="minor"/>
      </rPr>
      <t>-14-Dic-22</t>
    </r>
  </si>
  <si>
    <r>
      <t>14-Dic-22--</t>
    </r>
    <r>
      <rPr>
        <b/>
        <sz val="12"/>
        <color rgb="FF0000FF"/>
        <rFont val="Calibri"/>
        <family val="2"/>
        <scheme val="minor"/>
      </rPr>
      <t>16-Dic-22</t>
    </r>
  </si>
  <si>
    <r>
      <t>16-Dic-22-</t>
    </r>
    <r>
      <rPr>
        <b/>
        <sz val="12"/>
        <color rgb="FF0000FF"/>
        <rFont val="Calibri"/>
        <family val="2"/>
        <scheme val="minor"/>
      </rPr>
      <t>-20-Dic-22</t>
    </r>
  </si>
  <si>
    <r>
      <t>20-Dic-22--</t>
    </r>
    <r>
      <rPr>
        <b/>
        <sz val="12"/>
        <color rgb="FF0000FF"/>
        <rFont val="Calibri"/>
        <family val="2"/>
        <scheme val="minor"/>
      </rPr>
      <t>22-Dic-22</t>
    </r>
  </si>
  <si>
    <t>22-Dic-22--24-Dic-22</t>
  </si>
  <si>
    <r>
      <t>24-Dic-22--</t>
    </r>
    <r>
      <rPr>
        <b/>
        <sz val="12"/>
        <color rgb="FF0000FF"/>
        <rFont val="Calibri"/>
        <family val="2"/>
        <scheme val="minor"/>
      </rPr>
      <t>27-Dic-22</t>
    </r>
  </si>
  <si>
    <r>
      <t>27-Dic-22--</t>
    </r>
    <r>
      <rPr>
        <b/>
        <sz val="12"/>
        <color rgb="FF0000FF"/>
        <rFont val="Calibri"/>
        <family val="2"/>
        <scheme val="minor"/>
      </rPr>
      <t>29-Dic-22</t>
    </r>
  </si>
  <si>
    <t>29-Dic-22--29-Dic-22</t>
  </si>
  <si>
    <r>
      <t>3-Ene-23--</t>
    </r>
    <r>
      <rPr>
        <b/>
        <sz val="12"/>
        <color rgb="FF0000FF"/>
        <rFont val="Calibri"/>
        <family val="2"/>
        <scheme val="minor"/>
      </rPr>
      <t>10-Ene-23</t>
    </r>
  </si>
  <si>
    <r>
      <t>10-Ene-23--</t>
    </r>
    <r>
      <rPr>
        <b/>
        <sz val="12"/>
        <color rgb="FF0000FF"/>
        <rFont val="Calibri"/>
        <family val="2"/>
        <scheme val="minor"/>
      </rPr>
      <t>14-Ene-23</t>
    </r>
  </si>
  <si>
    <r>
      <t>14-Ene-23--</t>
    </r>
    <r>
      <rPr>
        <b/>
        <sz val="12"/>
        <color rgb="FF0000FF"/>
        <rFont val="Calibri"/>
        <family val="2"/>
        <scheme val="minor"/>
      </rPr>
      <t>19-Ene-23</t>
    </r>
  </si>
  <si>
    <r>
      <t>19-Ene-23-</t>
    </r>
    <r>
      <rPr>
        <b/>
        <sz val="12"/>
        <color rgb="FF0000FF"/>
        <rFont val="Calibri"/>
        <family val="2"/>
        <scheme val="minor"/>
      </rPr>
      <t>-24-Ene-23</t>
    </r>
  </si>
  <si>
    <r>
      <t>24-Ene-23--</t>
    </r>
    <r>
      <rPr>
        <b/>
        <sz val="12"/>
        <color rgb="FF0000FF"/>
        <rFont val="Calibri"/>
        <family val="2"/>
        <scheme val="minor"/>
      </rPr>
      <t>28-Ene-23</t>
    </r>
  </si>
  <si>
    <r>
      <t>28-Ene-23--</t>
    </r>
    <r>
      <rPr>
        <b/>
        <sz val="12"/>
        <color rgb="FF0000FF"/>
        <rFont val="Calibri"/>
        <family val="2"/>
        <scheme val="minor"/>
      </rPr>
      <t>31-Ene-23</t>
    </r>
  </si>
  <si>
    <t>3-Feb-23--</t>
  </si>
  <si>
    <r>
      <t>31-Ene-23-</t>
    </r>
    <r>
      <rPr>
        <b/>
        <sz val="12"/>
        <color rgb="FF0000FF"/>
        <rFont val="Calibri"/>
        <family val="2"/>
        <scheme val="minor"/>
      </rPr>
      <t>-3-Feb-23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</si>
</sst>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  <xf numFmtId="44" fontId="2" fillId="8" borderId="75" xfId="1" applyFont="1" applyFill="1" applyBorder="1"/>
    <xf numFmtId="44" fontId="2" fillId="8" borderId="34" xfId="1" applyFont="1" applyFill="1" applyBorder="1"/>
    <xf numFmtId="44" fontId="2" fillId="8" borderId="20" xfId="1" applyFont="1" applyFill="1" applyBorder="1" applyAlignment="1">
      <alignment horizontal="center"/>
    </xf>
    <xf numFmtId="44" fontId="2" fillId="8" borderId="105" xfId="1" applyFont="1" applyFill="1" applyBorder="1"/>
    <xf numFmtId="166" fontId="3" fillId="0" borderId="50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5" fontId="3" fillId="0" borderId="25" xfId="1" applyNumberFormat="1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73" fillId="0" borderId="0" xfId="0" applyFont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49" fontId="11" fillId="0" borderId="86" xfId="0" applyNumberFormat="1" applyFont="1" applyBorder="1"/>
    <xf numFmtId="49" fontId="0" fillId="0" borderId="91" xfId="0" applyNumberFormat="1" applyFont="1" applyBorder="1"/>
    <xf numFmtId="49" fontId="0" fillId="21" borderId="91" xfId="0" applyNumberFormat="1" applyFont="1" applyFill="1" applyBorder="1"/>
    <xf numFmtId="165" fontId="78" fillId="0" borderId="25" xfId="0" applyNumberFormat="1" applyFont="1" applyFill="1" applyBorder="1" applyAlignment="1">
      <alignment wrapText="1"/>
    </xf>
    <xf numFmtId="16" fontId="19" fillId="0" borderId="0" xfId="0" applyNumberFormat="1" applyFont="1" applyFill="1" applyBorder="1"/>
    <xf numFmtId="0" fontId="19" fillId="0" borderId="0" xfId="0" applyFont="1" applyFill="1" applyBorder="1"/>
    <xf numFmtId="165" fontId="3" fillId="0" borderId="21" xfId="0" applyNumberFormat="1" applyFont="1" applyFill="1" applyBorder="1" applyAlignment="1">
      <alignment wrapText="1"/>
    </xf>
    <xf numFmtId="165" fontId="0" fillId="7" borderId="77" xfId="0" applyNumberFormat="1" applyFill="1" applyBorder="1" applyAlignment="1">
      <alignment wrapText="1"/>
    </xf>
    <xf numFmtId="165" fontId="3" fillId="0" borderId="117" xfId="0" applyNumberFormat="1" applyFont="1" applyBorder="1" applyAlignment="1">
      <alignment horizontal="center" wrapText="1"/>
    </xf>
    <xf numFmtId="165" fontId="2" fillId="0" borderId="25" xfId="0" applyNumberFormat="1" applyFont="1" applyFill="1" applyBorder="1" applyAlignment="1">
      <alignment horizontal="center" wrapText="1"/>
    </xf>
    <xf numFmtId="165" fontId="2" fillId="0" borderId="25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165" fontId="13" fillId="6" borderId="58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4" fontId="19" fillId="0" borderId="0" xfId="1" applyFont="1"/>
    <xf numFmtId="44" fontId="3" fillId="12" borderId="25" xfId="1" applyFont="1" applyFill="1" applyBorder="1"/>
    <xf numFmtId="165" fontId="3" fillId="12" borderId="25" xfId="0" applyNumberFormat="1" applyFont="1" applyFill="1" applyBorder="1" applyAlignment="1">
      <alignment wrapText="1"/>
    </xf>
    <xf numFmtId="44" fontId="3" fillId="12" borderId="5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FFCCFF"/>
      <color rgb="FF00FF99"/>
      <color rgb="FFFF00FF"/>
      <color rgb="FF99CCFF"/>
      <color rgb="FFCCFF66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34"/>
      <c r="C1" s="936" t="s">
        <v>25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19" ht="16.5" thickBot="1" x14ac:dyDescent="0.3">
      <c r="B2" s="935"/>
      <c r="C2" s="3"/>
      <c r="H2" s="5"/>
      <c r="I2" s="6"/>
      <c r="J2" s="7"/>
      <c r="L2" s="8"/>
      <c r="M2" s="6"/>
      <c r="N2" s="9"/>
    </row>
    <row r="3" spans="1:19" ht="21.75" thickBot="1" x14ac:dyDescent="0.35">
      <c r="B3" s="938" t="s">
        <v>0</v>
      </c>
      <c r="C3" s="939"/>
      <c r="D3" s="10"/>
      <c r="E3" s="11"/>
      <c r="F3" s="11"/>
      <c r="H3" s="940" t="s">
        <v>26</v>
      </c>
      <c r="I3" s="94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41" t="s">
        <v>2</v>
      </c>
      <c r="F4" s="942"/>
      <c r="H4" s="943" t="s">
        <v>3</v>
      </c>
      <c r="I4" s="944"/>
      <c r="J4" s="19"/>
      <c r="K4" s="166"/>
      <c r="L4" s="20"/>
      <c r="M4" s="21" t="s">
        <v>4</v>
      </c>
      <c r="N4" s="22" t="s">
        <v>5</v>
      </c>
      <c r="P4" s="915" t="s">
        <v>6</v>
      </c>
      <c r="Q4" s="91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17">
        <f>SUM(M5:M38)</f>
        <v>247061</v>
      </c>
      <c r="N39" s="91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18"/>
      <c r="N40" s="92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21" t="s">
        <v>11</v>
      </c>
      <c r="I52" s="922"/>
      <c r="J52" s="100"/>
      <c r="K52" s="923">
        <f>I50+L50</f>
        <v>53873.49</v>
      </c>
      <c r="L52" s="924"/>
      <c r="M52" s="925">
        <f>N39+M39</f>
        <v>419924</v>
      </c>
      <c r="N52" s="926"/>
      <c r="P52" s="34"/>
      <c r="Q52" s="9"/>
    </row>
    <row r="53" spans="1:17" ht="15.75" x14ac:dyDescent="0.25">
      <c r="D53" s="927" t="s">
        <v>12</v>
      </c>
      <c r="E53" s="92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27" t="s">
        <v>95</v>
      </c>
      <c r="E54" s="927"/>
      <c r="F54" s="96">
        <v>-549976.4</v>
      </c>
      <c r="I54" s="928" t="s">
        <v>13</v>
      </c>
      <c r="J54" s="929"/>
      <c r="K54" s="930">
        <f>F56+F57+F58</f>
        <v>-24577.400000000023</v>
      </c>
      <c r="L54" s="93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32">
        <f>-C4</f>
        <v>0</v>
      </c>
      <c r="L56" s="93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10" t="s">
        <v>18</v>
      </c>
      <c r="E58" s="911"/>
      <c r="F58" s="113">
        <v>567389.35</v>
      </c>
      <c r="I58" s="912" t="s">
        <v>97</v>
      </c>
      <c r="J58" s="913"/>
      <c r="K58" s="914">
        <f>K54+K56</f>
        <v>-24577.400000000023</v>
      </c>
      <c r="L58" s="91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1006" t="s">
        <v>597</v>
      </c>
      <c r="J76" s="100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1008"/>
      <c r="J77" s="100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7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73"/>
      <c r="K81" s="1"/>
      <c r="L81" s="97"/>
      <c r="M81" s="3"/>
      <c r="N81" s="1"/>
    </row>
    <row r="82" spans="1:14" ht="18.75" x14ac:dyDescent="0.3">
      <c r="A82" s="435"/>
      <c r="B82" s="1005" t="s">
        <v>595</v>
      </c>
      <c r="C82" s="100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4"/>
      <c r="C1" s="976" t="s">
        <v>451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25" ht="16.5" thickBot="1" x14ac:dyDescent="0.3">
      <c r="B2" s="9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8" t="s">
        <v>0</v>
      </c>
      <c r="C3" s="939"/>
      <c r="D3" s="10"/>
      <c r="E3" s="11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41" t="s">
        <v>2</v>
      </c>
      <c r="F4" s="942"/>
      <c r="H4" s="943" t="s">
        <v>3</v>
      </c>
      <c r="I4" s="944"/>
      <c r="J4" s="19"/>
      <c r="K4" s="166"/>
      <c r="L4" s="20"/>
      <c r="M4" s="21" t="s">
        <v>4</v>
      </c>
      <c r="N4" s="22" t="s">
        <v>5</v>
      </c>
      <c r="P4" s="965"/>
      <c r="Q4" s="322" t="s">
        <v>217</v>
      </c>
      <c r="R4" s="975"/>
      <c r="W4" s="947" t="s">
        <v>124</v>
      </c>
      <c r="X4" s="94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47"/>
      <c r="X5" s="94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5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5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53"/>
      <c r="X21" s="95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54"/>
      <c r="X23" s="95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54"/>
      <c r="X24" s="95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55"/>
      <c r="X25" s="95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55"/>
      <c r="X26" s="95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48"/>
      <c r="X27" s="949"/>
      <c r="Y27" s="95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49"/>
      <c r="X28" s="949"/>
      <c r="Y28" s="95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66">
        <f>SUM(M5:M35)</f>
        <v>2220612.02</v>
      </c>
      <c r="N36" s="968">
        <f>SUM(N5:N35)</f>
        <v>833865</v>
      </c>
      <c r="O36" s="276"/>
      <c r="P36" s="277">
        <v>0</v>
      </c>
      <c r="Q36" s="100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67"/>
      <c r="N37" s="969"/>
      <c r="O37" s="276"/>
      <c r="P37" s="277">
        <v>0</v>
      </c>
      <c r="Q37" s="1002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1003">
        <f>M36+N36</f>
        <v>3054477.02</v>
      </c>
      <c r="N39" s="100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21" t="s">
        <v>11</v>
      </c>
      <c r="I68" s="922"/>
      <c r="J68" s="100"/>
      <c r="K68" s="923">
        <f>I66+L66</f>
        <v>314868.39999999997</v>
      </c>
      <c r="L68" s="956"/>
      <c r="M68" s="272"/>
      <c r="N68" s="272"/>
      <c r="P68" s="34"/>
      <c r="Q68" s="13"/>
    </row>
    <row r="69" spans="1:17" x14ac:dyDescent="0.25">
      <c r="D69" s="927" t="s">
        <v>12</v>
      </c>
      <c r="E69" s="927"/>
      <c r="F69" s="312">
        <f>F66-K68-C66</f>
        <v>1594593.8500000003</v>
      </c>
      <c r="I69" s="102"/>
      <c r="J69" s="103"/>
    </row>
    <row r="70" spans="1:17" ht="18.75" x14ac:dyDescent="0.3">
      <c r="D70" s="957" t="s">
        <v>95</v>
      </c>
      <c r="E70" s="957"/>
      <c r="F70" s="111">
        <v>-1360260.32</v>
      </c>
      <c r="I70" s="928" t="s">
        <v>13</v>
      </c>
      <c r="J70" s="929"/>
      <c r="K70" s="930">
        <f>F72+F73+F74</f>
        <v>1938640.11</v>
      </c>
      <c r="L70" s="93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32">
        <f>-C4</f>
        <v>-1266568.45</v>
      </c>
      <c r="L72" s="93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10" t="s">
        <v>18</v>
      </c>
      <c r="E74" s="911"/>
      <c r="F74" s="113">
        <v>1792817.68</v>
      </c>
      <c r="I74" s="912" t="s">
        <v>198</v>
      </c>
      <c r="J74" s="913"/>
      <c r="K74" s="914">
        <f>K70+K72</f>
        <v>672071.66000000015</v>
      </c>
      <c r="L74" s="91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14" t="s">
        <v>594</v>
      </c>
      <c r="J44" s="1015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16"/>
      <c r="J45" s="1017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18"/>
      <c r="J46" s="1019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7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7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1010" t="s">
        <v>594</v>
      </c>
      <c r="J83" s="1011"/>
    </row>
    <row r="84" spans="1:14" ht="19.5" thickBot="1" x14ac:dyDescent="0.35">
      <c r="A84" s="513" t="s">
        <v>598</v>
      </c>
      <c r="B84" s="514"/>
      <c r="C84" s="515"/>
      <c r="D84" s="491"/>
      <c r="I84" s="1012"/>
      <c r="J84" s="101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4"/>
      <c r="C1" s="976" t="s">
        <v>620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25" ht="16.5" thickBot="1" x14ac:dyDescent="0.3">
      <c r="B2" s="9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8" t="s">
        <v>0</v>
      </c>
      <c r="C3" s="939"/>
      <c r="D3" s="10"/>
      <c r="E3" s="11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41" t="s">
        <v>2</v>
      </c>
      <c r="F4" s="942"/>
      <c r="H4" s="943" t="s">
        <v>3</v>
      </c>
      <c r="I4" s="944"/>
      <c r="J4" s="19"/>
      <c r="K4" s="166"/>
      <c r="L4" s="20"/>
      <c r="M4" s="21" t="s">
        <v>4</v>
      </c>
      <c r="N4" s="22" t="s">
        <v>5</v>
      </c>
      <c r="P4" s="965"/>
      <c r="Q4" s="322" t="s">
        <v>217</v>
      </c>
      <c r="R4" s="975"/>
      <c r="W4" s="947" t="s">
        <v>124</v>
      </c>
      <c r="X4" s="94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47"/>
      <c r="X5" s="94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5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5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53"/>
      <c r="X21" s="95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54"/>
      <c r="X23" s="95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54"/>
      <c r="X24" s="95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55"/>
      <c r="X25" s="95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55"/>
      <c r="X26" s="95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48"/>
      <c r="X27" s="949"/>
      <c r="Y27" s="95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49"/>
      <c r="X28" s="949"/>
      <c r="Y28" s="95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66">
        <f>SUM(M5:M40)</f>
        <v>2479367.6100000003</v>
      </c>
      <c r="N41" s="966">
        <f>SUM(N5:N40)</f>
        <v>1195667</v>
      </c>
      <c r="P41" s="505">
        <f>SUM(P5:P40)</f>
        <v>4355326.74</v>
      </c>
      <c r="Q41" s="1020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67"/>
      <c r="N42" s="967"/>
      <c r="P42" s="34"/>
      <c r="Q42" s="1021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22">
        <f>M41+N41</f>
        <v>3675034.6100000003</v>
      </c>
      <c r="N45" s="1023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21" t="s">
        <v>11</v>
      </c>
      <c r="I70" s="922"/>
      <c r="J70" s="100"/>
      <c r="K70" s="923">
        <f>I68+L68</f>
        <v>428155.54000000004</v>
      </c>
      <c r="L70" s="956"/>
      <c r="M70" s="272"/>
      <c r="N70" s="272"/>
      <c r="P70" s="34"/>
      <c r="Q70" s="13"/>
    </row>
    <row r="71" spans="1:17" x14ac:dyDescent="0.25">
      <c r="D71" s="927" t="s">
        <v>12</v>
      </c>
      <c r="E71" s="927"/>
      <c r="F71" s="312">
        <f>F68-K70-C68</f>
        <v>1631087.67</v>
      </c>
      <c r="I71" s="102"/>
      <c r="J71" s="103"/>
      <c r="P71" s="34"/>
    </row>
    <row r="72" spans="1:17" ht="18.75" x14ac:dyDescent="0.3">
      <c r="D72" s="957" t="s">
        <v>95</v>
      </c>
      <c r="E72" s="957"/>
      <c r="F72" s="111">
        <v>-1884975.46</v>
      </c>
      <c r="I72" s="928" t="s">
        <v>13</v>
      </c>
      <c r="J72" s="929"/>
      <c r="K72" s="930">
        <f>F74+F75+F76</f>
        <v>1777829.89</v>
      </c>
      <c r="L72" s="93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32">
        <f>-C4</f>
        <v>-1792817.68</v>
      </c>
      <c r="L74" s="93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10" t="s">
        <v>18</v>
      </c>
      <c r="E76" s="911"/>
      <c r="F76" s="113">
        <v>2112071.92</v>
      </c>
      <c r="I76" s="912" t="s">
        <v>852</v>
      </c>
      <c r="J76" s="913"/>
      <c r="K76" s="914">
        <f>K72+K74</f>
        <v>-14987.790000000037</v>
      </c>
      <c r="L76" s="91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14" t="s">
        <v>594</v>
      </c>
      <c r="J54" s="1015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16"/>
      <c r="J55" s="1017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18"/>
      <c r="J56" s="1019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72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73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1010" t="s">
        <v>594</v>
      </c>
      <c r="J93" s="1011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1012"/>
      <c r="J94" s="101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24">
        <f>SUM(D106:D129)</f>
        <v>759581.99999999988</v>
      </c>
      <c r="D130" s="1025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39" t="s">
        <v>1242</v>
      </c>
      <c r="C2" s="1040"/>
      <c r="D2" s="1041"/>
      <c r="F2" s="1027" t="s">
        <v>1241</v>
      </c>
      <c r="G2" s="1028"/>
      <c r="H2" s="1029"/>
    </row>
    <row r="3" spans="2:8" ht="27.75" customHeight="1" thickBot="1" x14ac:dyDescent="0.3">
      <c r="B3" s="1042"/>
      <c r="C3" s="1043"/>
      <c r="D3" s="1044"/>
      <c r="F3" s="1030"/>
      <c r="G3" s="1031"/>
      <c r="H3" s="1032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33">
        <f>SUM(H5:H10)</f>
        <v>334337</v>
      </c>
      <c r="H11" s="1034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37" t="s">
        <v>749</v>
      </c>
      <c r="D15" s="1035">
        <f>D11-D13</f>
        <v>-69877</v>
      </c>
      <c r="E15" s="1045" t="s">
        <v>1243</v>
      </c>
      <c r="F15" s="1046"/>
      <c r="G15" s="1046"/>
      <c r="H15" s="1047"/>
    </row>
    <row r="16" spans="2:8" ht="18.75" customHeight="1" thickBot="1" x14ac:dyDescent="0.3">
      <c r="C16" s="1038"/>
      <c r="D16" s="1036"/>
      <c r="E16" s="1048"/>
      <c r="F16" s="1049"/>
      <c r="G16" s="1049"/>
      <c r="H16" s="1050"/>
    </row>
    <row r="17" spans="3:4" ht="18.75" x14ac:dyDescent="0.3">
      <c r="C17" s="1026" t="s">
        <v>751</v>
      </c>
      <c r="D17" s="1026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4"/>
      <c r="C1" s="976" t="s">
        <v>752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25" ht="16.5" thickBot="1" x14ac:dyDescent="0.3">
      <c r="B2" s="9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8" t="s">
        <v>0</v>
      </c>
      <c r="C3" s="939"/>
      <c r="D3" s="10"/>
      <c r="E3" s="553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41" t="s">
        <v>2</v>
      </c>
      <c r="F4" s="942"/>
      <c r="H4" s="943" t="s">
        <v>3</v>
      </c>
      <c r="I4" s="944"/>
      <c r="J4" s="556"/>
      <c r="K4" s="562"/>
      <c r="L4" s="563"/>
      <c r="M4" s="21" t="s">
        <v>4</v>
      </c>
      <c r="N4" s="22" t="s">
        <v>5</v>
      </c>
      <c r="P4" s="965"/>
      <c r="Q4" s="322" t="s">
        <v>217</v>
      </c>
      <c r="R4" s="975"/>
      <c r="U4" s="34"/>
      <c r="V4" s="128"/>
      <c r="W4" s="1057"/>
      <c r="X4" s="105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57"/>
      <c r="X5" s="105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58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5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53"/>
      <c r="X21" s="95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54"/>
      <c r="X23" s="95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54"/>
      <c r="X24" s="95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55"/>
      <c r="X25" s="95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55"/>
      <c r="X26" s="95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48"/>
      <c r="X27" s="949"/>
      <c r="Y27" s="95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49"/>
      <c r="X28" s="949"/>
      <c r="Y28" s="95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66">
        <f>SUM(M5:M40)</f>
        <v>1509924.1</v>
      </c>
      <c r="N41" s="966">
        <f>SUM(N5:N40)</f>
        <v>1012291</v>
      </c>
      <c r="P41" s="505">
        <f>SUM(P5:P40)</f>
        <v>3152648.1</v>
      </c>
      <c r="Q41" s="1020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67"/>
      <c r="N42" s="967"/>
      <c r="P42" s="34"/>
      <c r="Q42" s="1021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22">
        <f>M41+N41</f>
        <v>2522215.1</v>
      </c>
      <c r="N45" s="1023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21" t="s">
        <v>11</v>
      </c>
      <c r="I63" s="922"/>
      <c r="J63" s="559"/>
      <c r="K63" s="1054">
        <f>I61+L61</f>
        <v>340912.75</v>
      </c>
      <c r="L63" s="1055"/>
      <c r="M63" s="272"/>
      <c r="N63" s="272"/>
      <c r="P63" s="34"/>
      <c r="Q63" s="13"/>
    </row>
    <row r="64" spans="1:17" x14ac:dyDescent="0.25">
      <c r="D64" s="927" t="s">
        <v>12</v>
      </c>
      <c r="E64" s="927"/>
      <c r="F64" s="312">
        <f>F61-K63-C61</f>
        <v>1458827.53</v>
      </c>
      <c r="I64" s="102"/>
      <c r="J64" s="560"/>
    </row>
    <row r="65" spans="2:17" ht="18.75" x14ac:dyDescent="0.3">
      <c r="D65" s="957" t="s">
        <v>95</v>
      </c>
      <c r="E65" s="957"/>
      <c r="F65" s="111">
        <v>-1572197.3</v>
      </c>
      <c r="I65" s="928" t="s">
        <v>13</v>
      </c>
      <c r="J65" s="929"/>
      <c r="K65" s="930">
        <f>F67+F68+F69</f>
        <v>2392765.5300000003</v>
      </c>
      <c r="L65" s="930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56">
        <f>-C4</f>
        <v>-2112071.92</v>
      </c>
      <c r="L67" s="93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10" t="s">
        <v>18</v>
      </c>
      <c r="E69" s="911"/>
      <c r="F69" s="113">
        <v>2546982.16</v>
      </c>
      <c r="I69" s="1051" t="s">
        <v>198</v>
      </c>
      <c r="J69" s="1052"/>
      <c r="K69" s="1053">
        <f>K65+K67</f>
        <v>280693.61000000034</v>
      </c>
      <c r="L69" s="105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14" t="s">
        <v>594</v>
      </c>
      <c r="J38" s="1015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16"/>
      <c r="J39" s="1017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18"/>
      <c r="J40" s="1019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72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73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1010" t="s">
        <v>594</v>
      </c>
      <c r="J74" s="1011"/>
    </row>
    <row r="75" spans="1:14" ht="19.5" thickBot="1" x14ac:dyDescent="0.35">
      <c r="A75" s="456"/>
      <c r="B75" s="649"/>
      <c r="C75" s="233"/>
      <c r="D75" s="650"/>
      <c r="E75" s="519"/>
      <c r="F75" s="111"/>
      <c r="I75" s="1012"/>
      <c r="J75" s="1013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61" t="s">
        <v>804</v>
      </c>
      <c r="B89" s="1062"/>
      <c r="C89" s="1062"/>
      <c r="E89"/>
      <c r="F89" s="111"/>
      <c r="I89"/>
      <c r="J89" s="194"/>
      <c r="M89"/>
      <c r="N89"/>
    </row>
    <row r="90" spans="1:14" ht="18.75" x14ac:dyDescent="0.3">
      <c r="A90" s="454"/>
      <c r="B90" s="1063" t="s">
        <v>805</v>
      </c>
      <c r="C90" s="106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59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60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4"/>
      <c r="C1" s="976" t="s">
        <v>882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18" ht="16.5" thickBot="1" x14ac:dyDescent="0.3">
      <c r="B2" s="935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8" t="s">
        <v>0</v>
      </c>
      <c r="C3" s="939"/>
      <c r="D3" s="10"/>
      <c r="E3" s="553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41" t="s">
        <v>2</v>
      </c>
      <c r="F4" s="942"/>
      <c r="H4" s="943" t="s">
        <v>3</v>
      </c>
      <c r="I4" s="944"/>
      <c r="J4" s="556"/>
      <c r="K4" s="562"/>
      <c r="L4" s="563"/>
      <c r="M4" s="21" t="s">
        <v>4</v>
      </c>
      <c r="N4" s="22" t="s">
        <v>5</v>
      </c>
      <c r="P4" s="965"/>
      <c r="Q4" s="322" t="s">
        <v>217</v>
      </c>
      <c r="R4" s="97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66">
        <f>SUM(M5:M40)</f>
        <v>1737024</v>
      </c>
      <c r="N41" s="966">
        <f>SUM(N5:N40)</f>
        <v>1314313</v>
      </c>
      <c r="P41" s="505">
        <f>SUM(P5:P40)</f>
        <v>3810957.55</v>
      </c>
      <c r="Q41" s="102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67"/>
      <c r="N42" s="967"/>
      <c r="P42" s="34"/>
      <c r="Q42" s="102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22">
        <f>M41+N41</f>
        <v>3051337</v>
      </c>
      <c r="N45" s="102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1" t="s">
        <v>11</v>
      </c>
      <c r="I69" s="922"/>
      <c r="J69" s="559"/>
      <c r="K69" s="1054">
        <f>I67+L67</f>
        <v>534683.29</v>
      </c>
      <c r="L69" s="1055"/>
      <c r="M69" s="272"/>
      <c r="N69" s="272"/>
      <c r="P69" s="34"/>
      <c r="Q69" s="13"/>
    </row>
    <row r="70" spans="1:17" x14ac:dyDescent="0.25">
      <c r="D70" s="927" t="s">
        <v>12</v>
      </c>
      <c r="E70" s="927"/>
      <c r="F70" s="312">
        <f>F67-K69-C67</f>
        <v>1883028.8699999999</v>
      </c>
      <c r="I70" s="102"/>
      <c r="J70" s="560"/>
    </row>
    <row r="71" spans="1:17" ht="18.75" x14ac:dyDescent="0.3">
      <c r="D71" s="957" t="s">
        <v>95</v>
      </c>
      <c r="E71" s="957"/>
      <c r="F71" s="111">
        <v>-2122394.9</v>
      </c>
      <c r="I71" s="928" t="s">
        <v>13</v>
      </c>
      <c r="J71" s="929"/>
      <c r="K71" s="930">
        <f>F73+F74+F75</f>
        <v>2367293.46</v>
      </c>
      <c r="L71" s="93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56">
        <f>-C4</f>
        <v>-2546982.16</v>
      </c>
      <c r="L73" s="93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10" t="s">
        <v>18</v>
      </c>
      <c r="E75" s="911"/>
      <c r="F75" s="113">
        <v>2355426.54</v>
      </c>
      <c r="I75" s="912" t="s">
        <v>97</v>
      </c>
      <c r="J75" s="913"/>
      <c r="K75" s="914">
        <f>K71+K73</f>
        <v>-179688.70000000019</v>
      </c>
      <c r="L75" s="91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14" t="s">
        <v>594</v>
      </c>
      <c r="I43" s="1015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16"/>
      <c r="I44" s="1017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18"/>
      <c r="I45" s="101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1010" t="s">
        <v>594</v>
      </c>
      <c r="I67" s="1011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72" t="s">
        <v>207</v>
      </c>
      <c r="H68" s="1012"/>
      <c r="I68" s="101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7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4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4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4"/>
      <c r="C1" s="976" t="s">
        <v>1025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18" ht="16.5" thickBot="1" x14ac:dyDescent="0.3">
      <c r="B2" s="935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8" t="s">
        <v>0</v>
      </c>
      <c r="C3" s="939"/>
      <c r="D3" s="10"/>
      <c r="E3" s="553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41" t="s">
        <v>2</v>
      </c>
      <c r="F4" s="942"/>
      <c r="H4" s="943" t="s">
        <v>3</v>
      </c>
      <c r="I4" s="944"/>
      <c r="J4" s="556"/>
      <c r="K4" s="562"/>
      <c r="L4" s="563"/>
      <c r="M4" s="21" t="s">
        <v>4</v>
      </c>
      <c r="N4" s="22" t="s">
        <v>5</v>
      </c>
      <c r="P4" s="965"/>
      <c r="Q4" s="322" t="s">
        <v>217</v>
      </c>
      <c r="R4" s="97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66">
        <f>SUM(M5:M40)</f>
        <v>2180659.5</v>
      </c>
      <c r="N41" s="966">
        <f>SUM(N5:N40)</f>
        <v>1072718</v>
      </c>
      <c r="P41" s="505">
        <f>SUM(P5:P40)</f>
        <v>4807723.83</v>
      </c>
      <c r="Q41" s="1020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67"/>
      <c r="N42" s="967"/>
      <c r="P42" s="34"/>
      <c r="Q42" s="1021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22">
        <f>M41+N41</f>
        <v>3253377.5</v>
      </c>
      <c r="N45" s="102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1" t="s">
        <v>11</v>
      </c>
      <c r="I69" s="922"/>
      <c r="J69" s="559"/>
      <c r="K69" s="1054">
        <f>I67+L67</f>
        <v>515778.65000000026</v>
      </c>
      <c r="L69" s="1055"/>
      <c r="M69" s="272"/>
      <c r="N69" s="272"/>
      <c r="P69" s="34"/>
      <c r="Q69" s="13"/>
    </row>
    <row r="70" spans="1:17" x14ac:dyDescent="0.25">
      <c r="D70" s="927" t="s">
        <v>12</v>
      </c>
      <c r="E70" s="927"/>
      <c r="F70" s="312">
        <f>F67-K69-C67</f>
        <v>1573910.5599999998</v>
      </c>
      <c r="I70" s="102"/>
      <c r="J70" s="560"/>
    </row>
    <row r="71" spans="1:17" ht="18.75" x14ac:dyDescent="0.3">
      <c r="D71" s="957" t="s">
        <v>95</v>
      </c>
      <c r="E71" s="957"/>
      <c r="F71" s="111">
        <v>-1727771.26</v>
      </c>
      <c r="I71" s="928" t="s">
        <v>13</v>
      </c>
      <c r="J71" s="929"/>
      <c r="K71" s="930">
        <f>F73+F74+F75</f>
        <v>2141254.8899999997</v>
      </c>
      <c r="L71" s="93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56">
        <f>-C4</f>
        <v>-2355426.54</v>
      </c>
      <c r="L73" s="93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10" t="s">
        <v>18</v>
      </c>
      <c r="E75" s="911"/>
      <c r="F75" s="113">
        <v>2274653.09</v>
      </c>
      <c r="I75" s="1051" t="s">
        <v>97</v>
      </c>
      <c r="J75" s="1052"/>
      <c r="K75" s="1053">
        <f>K71+K73</f>
        <v>-214171.65000000037</v>
      </c>
      <c r="L75" s="105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65" t="s">
        <v>1450</v>
      </c>
      <c r="I33" s="1066"/>
      <c r="J33" s="1066"/>
      <c r="K33" s="1067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65"/>
      <c r="I34" s="1066"/>
      <c r="J34" s="1066"/>
      <c r="K34" s="1067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14" t="s">
        <v>594</v>
      </c>
      <c r="I40" s="1015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16"/>
      <c r="I41" s="1017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18"/>
      <c r="I42" s="101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1010" t="s">
        <v>594</v>
      </c>
      <c r="I67" s="1011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72" t="s">
        <v>207</v>
      </c>
      <c r="H68" s="1012"/>
      <c r="I68" s="101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7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34"/>
      <c r="C1" s="976" t="s">
        <v>1142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19" ht="16.5" thickBot="1" x14ac:dyDescent="0.3">
      <c r="B2" s="935"/>
      <c r="C2" s="3"/>
      <c r="H2" s="5"/>
      <c r="I2" s="6"/>
      <c r="J2" s="7"/>
      <c r="L2" s="8"/>
      <c r="M2" s="6"/>
      <c r="N2" s="9"/>
    </row>
    <row r="3" spans="1:19" ht="21.75" thickBot="1" x14ac:dyDescent="0.35">
      <c r="B3" s="938" t="s">
        <v>0</v>
      </c>
      <c r="C3" s="939"/>
      <c r="D3" s="10"/>
      <c r="E3" s="553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41" t="s">
        <v>2</v>
      </c>
      <c r="F4" s="942"/>
      <c r="H4" s="943" t="s">
        <v>3</v>
      </c>
      <c r="I4" s="944"/>
      <c r="J4" s="556"/>
      <c r="K4" s="562"/>
      <c r="L4" s="563"/>
      <c r="M4" s="21" t="s">
        <v>4</v>
      </c>
      <c r="N4" s="22" t="s">
        <v>5</v>
      </c>
      <c r="P4" s="965"/>
      <c r="Q4" s="322" t="s">
        <v>217</v>
      </c>
      <c r="R4" s="975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66">
        <f>SUM(M5:M40)</f>
        <v>1553743.1800000002</v>
      </c>
      <c r="N41" s="966">
        <f>SUM(N5:N40)</f>
        <v>1198132</v>
      </c>
      <c r="P41" s="505">
        <f>SUM(P5:P40)</f>
        <v>3384938.6799999997</v>
      </c>
      <c r="Q41" s="1020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67"/>
      <c r="N42" s="967"/>
      <c r="P42" s="34"/>
      <c r="Q42" s="1021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22">
        <f>M41+N41</f>
        <v>2751875.18</v>
      </c>
      <c r="N45" s="102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1" t="s">
        <v>11</v>
      </c>
      <c r="I69" s="922"/>
      <c r="J69" s="559"/>
      <c r="K69" s="1054">
        <f>I67+L67</f>
        <v>573073.52</v>
      </c>
      <c r="L69" s="1055"/>
      <c r="M69" s="272"/>
      <c r="N69" s="272"/>
      <c r="P69" s="34"/>
      <c r="Q69" s="13"/>
    </row>
    <row r="70" spans="1:17" x14ac:dyDescent="0.25">
      <c r="D70" s="927" t="s">
        <v>12</v>
      </c>
      <c r="E70" s="927"/>
      <c r="F70" s="312">
        <f>F67-K69-C67</f>
        <v>1262114.75</v>
      </c>
      <c r="I70" s="102"/>
      <c r="J70" s="560"/>
    </row>
    <row r="71" spans="1:17" ht="18.75" x14ac:dyDescent="0.3">
      <c r="D71" s="957" t="s">
        <v>95</v>
      </c>
      <c r="E71" s="957"/>
      <c r="F71" s="111">
        <v>-1715125.23</v>
      </c>
      <c r="I71" s="928" t="s">
        <v>13</v>
      </c>
      <c r="J71" s="929"/>
      <c r="K71" s="930">
        <f>F73+F74+F75</f>
        <v>2249865.5500000003</v>
      </c>
      <c r="L71" s="93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56">
        <f>-C4</f>
        <v>-2274653.09</v>
      </c>
      <c r="L73" s="930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10" t="s">
        <v>18</v>
      </c>
      <c r="E75" s="911"/>
      <c r="F75" s="113">
        <v>2672555.9900000002</v>
      </c>
      <c r="I75" s="912" t="s">
        <v>97</v>
      </c>
      <c r="J75" s="913"/>
      <c r="K75" s="914">
        <f>K71+K73</f>
        <v>-24787.539999999572</v>
      </c>
      <c r="L75" s="91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65" t="s">
        <v>1450</v>
      </c>
      <c r="I37" s="1066"/>
      <c r="J37" s="1066"/>
      <c r="K37" s="1067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65"/>
      <c r="I38" s="1066"/>
      <c r="J38" s="1066"/>
      <c r="K38" s="1067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14" t="s">
        <v>594</v>
      </c>
      <c r="I40" s="1015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16"/>
      <c r="I41" s="1017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18"/>
      <c r="I42" s="101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1010" t="s">
        <v>594</v>
      </c>
      <c r="I67" s="1011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72" t="s">
        <v>207</v>
      </c>
      <c r="H68" s="1012"/>
      <c r="I68" s="101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7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74" t="s">
        <v>1376</v>
      </c>
      <c r="I73" s="1075"/>
      <c r="J73" s="1076"/>
      <c r="L73"/>
      <c r="M73"/>
    </row>
    <row r="74" spans="1:13" ht="18.75" customHeight="1" thickBot="1" x14ac:dyDescent="0.3">
      <c r="A74" s="98"/>
      <c r="B74" s="799"/>
      <c r="C74" s="129"/>
      <c r="D74" s="800"/>
      <c r="E74" s="1080" t="s">
        <v>1375</v>
      </c>
      <c r="F74" s="1081"/>
      <c r="H74" s="1077"/>
      <c r="I74" s="1078"/>
      <c r="J74" s="1079"/>
      <c r="L74"/>
      <c r="M74"/>
    </row>
    <row r="75" spans="1:13" ht="17.25" thickTop="1" thickBot="1" x14ac:dyDescent="0.3">
      <c r="A75" s="98"/>
      <c r="B75" s="799"/>
      <c r="C75" s="233"/>
      <c r="D75" s="800"/>
      <c r="E75" s="1082"/>
      <c r="F75" s="1083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69">
        <v>642271.04</v>
      </c>
      <c r="F77" s="1070"/>
      <c r="H77" s="1071">
        <v>584997.29</v>
      </c>
      <c r="I77" s="1072"/>
      <c r="J77" s="1073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68" t="s">
        <v>1377</v>
      </c>
      <c r="G80" s="1068"/>
      <c r="H80" s="1068"/>
      <c r="I80" s="1068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68"/>
      <c r="G81" s="1068"/>
      <c r="H81" s="1068"/>
      <c r="I81" s="1068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34"/>
      <c r="C1" s="976" t="s">
        <v>1244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22" ht="16.5" thickBot="1" x14ac:dyDescent="0.3">
      <c r="B2" s="935"/>
      <c r="C2" s="3"/>
      <c r="H2" s="5"/>
      <c r="I2" s="6"/>
      <c r="J2" s="7"/>
      <c r="L2" s="8"/>
      <c r="M2" s="6"/>
      <c r="N2" s="9"/>
    </row>
    <row r="3" spans="1:22" ht="21.75" thickBot="1" x14ac:dyDescent="0.35">
      <c r="B3" s="938" t="s">
        <v>0</v>
      </c>
      <c r="C3" s="939"/>
      <c r="D3" s="10"/>
      <c r="E3" s="553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41" t="s">
        <v>2</v>
      </c>
      <c r="F4" s="942"/>
      <c r="H4" s="943" t="s">
        <v>3</v>
      </c>
      <c r="I4" s="944"/>
      <c r="J4" s="556"/>
      <c r="K4" s="562"/>
      <c r="L4" s="563"/>
      <c r="M4" s="21" t="s">
        <v>4</v>
      </c>
      <c r="N4" s="22" t="s">
        <v>5</v>
      </c>
      <c r="P4" s="965"/>
      <c r="Q4" s="322" t="s">
        <v>217</v>
      </c>
      <c r="R4" s="975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66">
        <f>SUM(M5:M40)</f>
        <v>2172487.6799999997</v>
      </c>
      <c r="N41" s="966">
        <f>SUM(N5:N40)</f>
        <v>1625219</v>
      </c>
      <c r="P41" s="505">
        <f>SUM(P5:P40)</f>
        <v>4566318.68</v>
      </c>
      <c r="Q41" s="1020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67"/>
      <c r="N42" s="967"/>
      <c r="P42" s="34"/>
      <c r="Q42" s="1021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22">
        <f>M41+N41</f>
        <v>3797706.6799999997</v>
      </c>
      <c r="N45" s="1023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1" t="s">
        <v>11</v>
      </c>
      <c r="I69" s="922"/>
      <c r="J69" s="559"/>
      <c r="K69" s="1054">
        <f>I67+L67</f>
        <v>401450.39</v>
      </c>
      <c r="L69" s="1055"/>
      <c r="M69" s="272"/>
      <c r="N69" s="272"/>
      <c r="P69" s="34"/>
      <c r="Q69" s="13"/>
    </row>
    <row r="70" spans="1:17" x14ac:dyDescent="0.25">
      <c r="D70" s="927" t="s">
        <v>12</v>
      </c>
      <c r="E70" s="927"/>
      <c r="F70" s="312">
        <f>F67-K69-C67</f>
        <v>1484547.7999999998</v>
      </c>
      <c r="I70" s="102"/>
      <c r="J70" s="560"/>
    </row>
    <row r="71" spans="1:17" ht="18.75" x14ac:dyDescent="0.3">
      <c r="D71" s="957" t="s">
        <v>95</v>
      </c>
      <c r="E71" s="957"/>
      <c r="F71" s="111">
        <v>-2600214.79</v>
      </c>
      <c r="I71" s="928" t="s">
        <v>13</v>
      </c>
      <c r="J71" s="929"/>
      <c r="K71" s="930">
        <f>F73+F74+F75</f>
        <v>2724761.13</v>
      </c>
      <c r="L71" s="93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56">
        <f>-C4</f>
        <v>-2672555.9900000002</v>
      </c>
      <c r="L73" s="930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10" t="s">
        <v>18</v>
      </c>
      <c r="E75" s="911"/>
      <c r="F75" s="113">
        <v>3773503.4</v>
      </c>
      <c r="I75" s="1084" t="s">
        <v>198</v>
      </c>
      <c r="J75" s="1085"/>
      <c r="K75" s="1086">
        <f>K71+K73</f>
        <v>52205.139999999665</v>
      </c>
      <c r="L75" s="108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14" t="s">
        <v>594</v>
      </c>
      <c r="J40" s="1015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16"/>
      <c r="J41" s="1017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18"/>
      <c r="J42" s="1019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65" t="s">
        <v>1450</v>
      </c>
      <c r="J45" s="1066"/>
      <c r="K45" s="1066"/>
      <c r="L45" s="1067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65"/>
      <c r="J46" s="1066"/>
      <c r="K46" s="1066"/>
      <c r="L46" s="1067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1010" t="s">
        <v>594</v>
      </c>
      <c r="J67" s="1011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72" t="s">
        <v>207</v>
      </c>
      <c r="I68" s="1012"/>
      <c r="J68" s="101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7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4"/>
      <c r="C1" s="976" t="s">
        <v>1378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18" ht="16.5" thickBot="1" x14ac:dyDescent="0.3">
      <c r="B2" s="935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8" t="s">
        <v>0</v>
      </c>
      <c r="C3" s="939"/>
      <c r="D3" s="10"/>
      <c r="E3" s="553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41" t="s">
        <v>2</v>
      </c>
      <c r="F4" s="942"/>
      <c r="H4" s="943" t="s">
        <v>3</v>
      </c>
      <c r="I4" s="944"/>
      <c r="J4" s="556"/>
      <c r="K4" s="562"/>
      <c r="L4" s="563"/>
      <c r="M4" s="21" t="s">
        <v>4</v>
      </c>
      <c r="N4" s="22" t="s">
        <v>5</v>
      </c>
      <c r="P4" s="965"/>
      <c r="Q4" s="322" t="s">
        <v>217</v>
      </c>
      <c r="R4" s="975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66">
        <f>SUM(M5:M40)</f>
        <v>2247959.2000000002</v>
      </c>
      <c r="N41" s="966">
        <f>SUM(N5:N40)</f>
        <v>1207891</v>
      </c>
      <c r="P41" s="505">
        <f>SUM(P5:P40)</f>
        <v>4224165.1999999993</v>
      </c>
      <c r="Q41" s="1087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67"/>
      <c r="N42" s="967"/>
      <c r="P42" s="34"/>
      <c r="Q42" s="1088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22">
        <f>M41+N41</f>
        <v>3455850.2</v>
      </c>
      <c r="N45" s="102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1" t="s">
        <v>11</v>
      </c>
      <c r="I69" s="922"/>
      <c r="J69" s="559"/>
      <c r="K69" s="1054">
        <f>I67+L67</f>
        <v>436784.42000000004</v>
      </c>
      <c r="L69" s="1055"/>
      <c r="M69" s="272"/>
      <c r="N69" s="272"/>
      <c r="P69" s="34"/>
      <c r="Q69" s="13"/>
    </row>
    <row r="70" spans="1:17" x14ac:dyDescent="0.25">
      <c r="D70" s="927" t="s">
        <v>12</v>
      </c>
      <c r="E70" s="927"/>
      <c r="F70" s="312">
        <f>F67-K69-C67</f>
        <v>3197994.58</v>
      </c>
      <c r="I70" s="102"/>
      <c r="J70" s="560"/>
    </row>
    <row r="71" spans="1:17" ht="18.75" x14ac:dyDescent="0.3">
      <c r="D71" s="957" t="s">
        <v>95</v>
      </c>
      <c r="E71" s="957"/>
      <c r="F71" s="111">
        <v>-2010648.49</v>
      </c>
      <c r="I71" s="928" t="s">
        <v>13</v>
      </c>
      <c r="J71" s="929"/>
      <c r="K71" s="930">
        <f>F73+F74+F75</f>
        <v>4262125.54</v>
      </c>
      <c r="L71" s="930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56">
        <f>-C4</f>
        <v>-3773503.4</v>
      </c>
      <c r="L73" s="930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10" t="s">
        <v>18</v>
      </c>
      <c r="E75" s="911"/>
      <c r="F75" s="113">
        <v>3176585.65</v>
      </c>
      <c r="I75" s="1084" t="s">
        <v>198</v>
      </c>
      <c r="J75" s="1085"/>
      <c r="K75" s="1086">
        <f>K71+K73</f>
        <v>488622.14000000013</v>
      </c>
      <c r="L75" s="108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C35" zoomScale="145" zoomScaleNormal="145" workbookViewId="0">
      <selection activeCell="F29" sqref="F29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31.5" x14ac:dyDescent="0.25">
      <c r="B24" s="454">
        <v>44854</v>
      </c>
      <c r="C24" s="246" t="s">
        <v>1434</v>
      </c>
      <c r="D24" s="111">
        <v>27112.25</v>
      </c>
      <c r="E24" s="1095" t="s">
        <v>1679</v>
      </c>
      <c r="F24" s="875">
        <f>8517.35+18594.9</f>
        <v>27112.25</v>
      </c>
      <c r="G24" s="544">
        <f t="shared" si="0"/>
        <v>0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>
        <v>44909</v>
      </c>
      <c r="F25" s="111">
        <v>89839.6</v>
      </c>
      <c r="G25" s="544">
        <f t="shared" si="0"/>
        <v>0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>
        <v>44909</v>
      </c>
      <c r="F26" s="111">
        <v>63880.7</v>
      </c>
      <c r="G26" s="544">
        <f t="shared" si="0"/>
        <v>0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>
        <v>44909</v>
      </c>
      <c r="F27" s="111">
        <v>33646.400000000001</v>
      </c>
      <c r="G27" s="544">
        <f t="shared" si="0"/>
        <v>0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31.5" x14ac:dyDescent="0.25">
      <c r="B28" s="454">
        <v>44859</v>
      </c>
      <c r="C28" s="246" t="s">
        <v>1438</v>
      </c>
      <c r="D28" s="111">
        <v>103246.58</v>
      </c>
      <c r="E28" s="834" t="s">
        <v>1680</v>
      </c>
      <c r="F28" s="111">
        <f>19927.4+83319.18</f>
        <v>103246.57999999999</v>
      </c>
      <c r="G28" s="544">
        <f t="shared" si="0"/>
        <v>0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31.5" x14ac:dyDescent="0.25">
      <c r="B29" s="454">
        <v>44860</v>
      </c>
      <c r="C29" s="246" t="s">
        <v>1439</v>
      </c>
      <c r="D29" s="111">
        <v>144593.79999999999</v>
      </c>
      <c r="E29" s="834" t="s">
        <v>1681</v>
      </c>
      <c r="F29" s="111">
        <f>112978.82+31614.98</f>
        <v>144593.80000000002</v>
      </c>
      <c r="G29" s="544">
        <f t="shared" si="0"/>
        <v>0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>
        <v>44915</v>
      </c>
      <c r="F30" s="111">
        <v>89553.91</v>
      </c>
      <c r="G30" s="544">
        <f t="shared" si="0"/>
        <v>0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>
        <v>44915</v>
      </c>
      <c r="F31" s="111">
        <v>24569.3</v>
      </c>
      <c r="G31" s="544">
        <f t="shared" si="0"/>
        <v>0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>
        <v>44915</v>
      </c>
      <c r="F32" s="111">
        <v>3740</v>
      </c>
      <c r="G32" s="544">
        <f t="shared" si="0"/>
        <v>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>
        <v>44915</v>
      </c>
      <c r="F33" s="111">
        <v>107038.8</v>
      </c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65" t="s">
        <v>1474</v>
      </c>
      <c r="J36" s="1066"/>
      <c r="K36" s="1066"/>
      <c r="L36" s="1067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65"/>
      <c r="J37" s="1066"/>
      <c r="K37" s="1066"/>
      <c r="L37" s="1067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14" t="s">
        <v>594</v>
      </c>
      <c r="J40" s="1015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16"/>
      <c r="J41" s="1017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8"/>
      <c r="J42" s="1019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2010648.49</v>
      </c>
      <c r="G67" s="153">
        <f>SUM(G3:G66)</f>
        <v>0</v>
      </c>
      <c r="I67" s="1010" t="s">
        <v>594</v>
      </c>
      <c r="J67" s="1011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72" t="s">
        <v>207</v>
      </c>
      <c r="I68" s="1012"/>
      <c r="J68" s="101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7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096"/>
      <c r="D72" s="233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096"/>
      <c r="D73" s="233"/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096"/>
      <c r="D74" s="233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096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096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096"/>
      <c r="D77" s="233"/>
      <c r="E77" s="456"/>
      <c r="I77"/>
      <c r="J77"/>
      <c r="K77"/>
      <c r="M77"/>
      <c r="N77"/>
    </row>
    <row r="78" spans="2:14" ht="15.75" x14ac:dyDescent="0.25">
      <c r="C78" s="1096"/>
      <c r="D78" s="233"/>
      <c r="E78" s="456"/>
      <c r="I78"/>
      <c r="J78"/>
      <c r="K78"/>
      <c r="M78"/>
      <c r="N78"/>
    </row>
    <row r="79" spans="2:14" ht="15.75" x14ac:dyDescent="0.25">
      <c r="C79" s="1096"/>
      <c r="D79" s="233"/>
      <c r="E79" s="456"/>
      <c r="I79"/>
      <c r="J79"/>
      <c r="K79"/>
      <c r="M79"/>
      <c r="N79"/>
    </row>
    <row r="80" spans="2:14" ht="15.75" x14ac:dyDescent="0.25">
      <c r="C80" s="1096"/>
      <c r="D80" s="233"/>
      <c r="E80" s="456"/>
      <c r="I80"/>
      <c r="J80"/>
      <c r="K80"/>
      <c r="M80"/>
      <c r="N80"/>
    </row>
    <row r="81" spans="3:14" ht="15.75" x14ac:dyDescent="0.25">
      <c r="C81" s="1097"/>
      <c r="D81" s="233"/>
      <c r="E81" s="456"/>
      <c r="I81"/>
      <c r="J81"/>
      <c r="K81"/>
      <c r="M81"/>
      <c r="N81"/>
    </row>
    <row r="82" spans="3:14" ht="15.75" x14ac:dyDescent="0.25">
      <c r="C82" s="1097"/>
      <c r="D82" s="233"/>
      <c r="E82" s="456"/>
      <c r="I82"/>
      <c r="J82"/>
      <c r="K82"/>
      <c r="M82"/>
      <c r="N82"/>
    </row>
    <row r="83" spans="3:14" ht="15.75" x14ac:dyDescent="0.25">
      <c r="C83" s="1097"/>
      <c r="D83" s="233"/>
      <c r="E83" s="456"/>
      <c r="I83"/>
      <c r="J83"/>
      <c r="K83"/>
      <c r="M83"/>
      <c r="N83"/>
    </row>
    <row r="84" spans="3:14" ht="15.75" x14ac:dyDescent="0.25">
      <c r="C84" s="1097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D49" sqref="D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4"/>
      <c r="C1" s="976" t="s">
        <v>1475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18" ht="16.5" thickBot="1" x14ac:dyDescent="0.3">
      <c r="B2" s="935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8" t="s">
        <v>0</v>
      </c>
      <c r="C3" s="939"/>
      <c r="D3" s="10"/>
      <c r="E3" s="553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41" t="s">
        <v>2</v>
      </c>
      <c r="F4" s="942"/>
      <c r="H4" s="943" t="s">
        <v>3</v>
      </c>
      <c r="I4" s="944"/>
      <c r="J4" s="556"/>
      <c r="K4" s="562"/>
      <c r="L4" s="563"/>
      <c r="M4" s="21" t="s">
        <v>4</v>
      </c>
      <c r="N4" s="22" t="s">
        <v>5</v>
      </c>
      <c r="P4" s="965"/>
      <c r="Q4" s="322" t="s">
        <v>217</v>
      </c>
      <c r="R4" s="975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66">
        <f>SUM(M5:M40)</f>
        <v>1976342.9200000002</v>
      </c>
      <c r="N41" s="966">
        <f>SUM(N5:N40)</f>
        <v>1174373</v>
      </c>
      <c r="P41" s="505">
        <f>SUM(P5:P40)</f>
        <v>3702973.3</v>
      </c>
      <c r="Q41" s="1087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67"/>
      <c r="N42" s="967"/>
      <c r="P42" s="34"/>
      <c r="Q42" s="1088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22">
        <f>M41+N41</f>
        <v>3150715.92</v>
      </c>
      <c r="N45" s="102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1" t="s">
        <v>11</v>
      </c>
      <c r="I69" s="922"/>
      <c r="J69" s="559"/>
      <c r="K69" s="1054">
        <f>I67+L67</f>
        <v>279093.21999999997</v>
      </c>
      <c r="L69" s="1055"/>
      <c r="M69" s="272"/>
      <c r="N69" s="272"/>
      <c r="P69" s="34"/>
      <c r="Q69" s="13"/>
    </row>
    <row r="70" spans="1:17" x14ac:dyDescent="0.25">
      <c r="D70" s="927" t="s">
        <v>12</v>
      </c>
      <c r="E70" s="927"/>
      <c r="F70" s="312">
        <f>F67-K69-C67</f>
        <v>2410905.75</v>
      </c>
      <c r="I70" s="102"/>
      <c r="J70" s="560"/>
    </row>
    <row r="71" spans="1:17" ht="18.75" x14ac:dyDescent="0.3">
      <c r="D71" s="957" t="s">
        <v>95</v>
      </c>
      <c r="E71" s="957"/>
      <c r="F71" s="111">
        <v>-1884182.28</v>
      </c>
      <c r="I71" s="928" t="s">
        <v>13</v>
      </c>
      <c r="J71" s="929"/>
      <c r="K71" s="930">
        <f>F73+F74+F75</f>
        <v>4251710.88</v>
      </c>
      <c r="L71" s="930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56">
        <f>-C4</f>
        <v>-3176585.65</v>
      </c>
      <c r="L73" s="930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10" t="s">
        <v>18</v>
      </c>
      <c r="E75" s="911"/>
      <c r="F75" s="113">
        <v>3445405.07</v>
      </c>
      <c r="I75" s="1084" t="s">
        <v>198</v>
      </c>
      <c r="J75" s="1085"/>
      <c r="K75" s="1086">
        <f>K71+K73</f>
        <v>1075125.23</v>
      </c>
      <c r="L75" s="108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27" zoomScale="145" zoomScaleNormal="145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1107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1099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1100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2.25" thickTop="1" x14ac:dyDescent="0.25">
      <c r="B3" s="844">
        <v>44865</v>
      </c>
      <c r="C3" s="845" t="s">
        <v>1507</v>
      </c>
      <c r="D3" s="307">
        <v>123171.5</v>
      </c>
      <c r="E3" s="1098" t="s">
        <v>1682</v>
      </c>
      <c r="F3" s="307">
        <f>49515.01+73656.49</f>
        <v>123171.5</v>
      </c>
      <c r="G3" s="410">
        <f>D3-F3</f>
        <v>0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834">
        <v>44917</v>
      </c>
      <c r="F4" s="111">
        <v>7344</v>
      </c>
      <c r="G4" s="544">
        <f t="shared" ref="G4:G65" si="0">D4-F4</f>
        <v>0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834">
        <v>44917</v>
      </c>
      <c r="F5" s="111">
        <v>7910.6</v>
      </c>
      <c r="G5" s="544">
        <f t="shared" si="0"/>
        <v>0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834">
        <v>44917</v>
      </c>
      <c r="F6" s="111">
        <v>30194.62</v>
      </c>
      <c r="G6" s="544">
        <f t="shared" si="0"/>
        <v>0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31.5" x14ac:dyDescent="0.25">
      <c r="B7" s="454">
        <v>44867</v>
      </c>
      <c r="C7" s="246" t="s">
        <v>1511</v>
      </c>
      <c r="D7" s="111">
        <v>154190.75</v>
      </c>
      <c r="E7" s="834" t="s">
        <v>1683</v>
      </c>
      <c r="F7" s="111">
        <f>45887.29+108303.46</f>
        <v>154190.75</v>
      </c>
      <c r="G7" s="544">
        <f t="shared" si="0"/>
        <v>0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834">
        <v>44919</v>
      </c>
      <c r="F8" s="111">
        <v>30140.240000000002</v>
      </c>
      <c r="G8" s="544">
        <f t="shared" si="0"/>
        <v>0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31.5" x14ac:dyDescent="0.25">
      <c r="B9" s="454">
        <v>44869</v>
      </c>
      <c r="C9" s="246" t="s">
        <v>1513</v>
      </c>
      <c r="D9" s="111">
        <v>53530.58</v>
      </c>
      <c r="E9" s="834" t="s">
        <v>1684</v>
      </c>
      <c r="F9" s="111">
        <f>48977.3+4553.28</f>
        <v>53530.58</v>
      </c>
      <c r="G9" s="544">
        <f t="shared" si="0"/>
        <v>0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834">
        <v>44922</v>
      </c>
      <c r="F10" s="111">
        <v>99250.02</v>
      </c>
      <c r="G10" s="544">
        <f t="shared" si="0"/>
        <v>0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834">
        <v>44922</v>
      </c>
      <c r="F11" s="111">
        <v>24540.97</v>
      </c>
      <c r="G11" s="544">
        <f t="shared" si="0"/>
        <v>0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834">
        <v>44922</v>
      </c>
      <c r="F12" s="111">
        <v>73144.320000000007</v>
      </c>
      <c r="G12" s="544">
        <f t="shared" si="0"/>
        <v>0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834">
        <v>44922</v>
      </c>
      <c r="F13" s="111">
        <v>12870.6</v>
      </c>
      <c r="G13" s="544">
        <f t="shared" si="0"/>
        <v>0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834">
        <v>44922</v>
      </c>
      <c r="F14" s="111">
        <v>65232.92</v>
      </c>
      <c r="G14" s="544">
        <f t="shared" si="0"/>
        <v>0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31.5" x14ac:dyDescent="0.25">
      <c r="B15" s="454">
        <v>44876</v>
      </c>
      <c r="C15" s="246" t="s">
        <v>1519</v>
      </c>
      <c r="D15" s="111">
        <v>83013.039999999994</v>
      </c>
      <c r="E15" s="834" t="s">
        <v>1685</v>
      </c>
      <c r="F15" s="111">
        <f>10228.89+72784.15</f>
        <v>83013.039999999994</v>
      </c>
      <c r="G15" s="544">
        <f t="shared" si="0"/>
        <v>0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834">
        <v>44924</v>
      </c>
      <c r="F16" s="111">
        <v>131948.72</v>
      </c>
      <c r="G16" s="544">
        <f t="shared" si="0"/>
        <v>0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834">
        <v>44924</v>
      </c>
      <c r="F17" s="111">
        <v>37599.68</v>
      </c>
      <c r="G17" s="544">
        <f t="shared" si="0"/>
        <v>0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834">
        <v>44924</v>
      </c>
      <c r="F18" s="111">
        <v>23481.200000000001</v>
      </c>
      <c r="G18" s="544">
        <f t="shared" si="0"/>
        <v>0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834">
        <v>44924</v>
      </c>
      <c r="F19" s="111">
        <v>89195.38</v>
      </c>
      <c r="G19" s="544">
        <f t="shared" si="0"/>
        <v>0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834">
        <v>44924</v>
      </c>
      <c r="F20" s="111">
        <v>70308.98</v>
      </c>
      <c r="G20" s="544">
        <f t="shared" si="0"/>
        <v>0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834">
        <v>44924</v>
      </c>
      <c r="F21" s="111">
        <v>139090.9</v>
      </c>
      <c r="G21" s="544">
        <f t="shared" si="0"/>
        <v>0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834">
        <v>44924</v>
      </c>
      <c r="F22" s="111">
        <v>51462.14</v>
      </c>
      <c r="G22" s="544">
        <f t="shared" si="0"/>
        <v>0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834">
        <v>44924</v>
      </c>
      <c r="F23" s="111">
        <v>78579.7</v>
      </c>
      <c r="G23" s="544">
        <f t="shared" si="0"/>
        <v>0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834">
        <v>44924</v>
      </c>
      <c r="F24" s="111">
        <v>140884.20000000001</v>
      </c>
      <c r="G24" s="544">
        <f t="shared" si="0"/>
        <v>0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834">
        <v>44924</v>
      </c>
      <c r="F25" s="111">
        <v>36300.57</v>
      </c>
      <c r="G25" s="544">
        <f t="shared" si="0"/>
        <v>0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834">
        <v>44924</v>
      </c>
      <c r="F26" s="111">
        <v>88444.52</v>
      </c>
      <c r="G26" s="544">
        <f t="shared" si="0"/>
        <v>0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834">
        <v>44924</v>
      </c>
      <c r="F27" s="111">
        <v>14951.9</v>
      </c>
      <c r="G27" s="544">
        <f t="shared" si="0"/>
        <v>0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31.5" x14ac:dyDescent="0.25">
      <c r="B28" s="454">
        <v>44890</v>
      </c>
      <c r="C28" s="246" t="s">
        <v>1532</v>
      </c>
      <c r="D28" s="111">
        <v>141455.91</v>
      </c>
      <c r="E28" s="834" t="s">
        <v>1686</v>
      </c>
      <c r="F28" s="111">
        <f>33324.74+108131.17</f>
        <v>141455.91</v>
      </c>
      <c r="G28" s="544">
        <f t="shared" si="0"/>
        <v>0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834">
        <v>44924</v>
      </c>
      <c r="F29" s="111">
        <v>75944.320000000007</v>
      </c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0"/>
      <c r="E30" s="1111"/>
      <c r="F30" s="1110"/>
      <c r="G30" s="1112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0"/>
      <c r="E31" s="1111"/>
      <c r="F31" s="1110"/>
      <c r="G31" s="1112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0"/>
      <c r="E32" s="1111"/>
      <c r="F32" s="1110"/>
      <c r="G32" s="1112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0"/>
      <c r="E33" s="1111"/>
      <c r="F33" s="1110"/>
      <c r="G33" s="1112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834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834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834"/>
      <c r="F36" s="111"/>
      <c r="G36" s="544">
        <f t="shared" si="0"/>
        <v>0</v>
      </c>
      <c r="I36" s="1089"/>
      <c r="J36" s="1090"/>
      <c r="K36" s="1090"/>
      <c r="L36" s="1091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834"/>
      <c r="F37" s="111"/>
      <c r="G37" s="544">
        <f t="shared" si="0"/>
        <v>0</v>
      </c>
      <c r="I37" s="1089"/>
      <c r="J37" s="1090"/>
      <c r="K37" s="1090"/>
      <c r="L37" s="1091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834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1101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1101"/>
      <c r="F40" s="69"/>
      <c r="G40" s="111">
        <f t="shared" si="0"/>
        <v>0</v>
      </c>
      <c r="I40" s="1014" t="s">
        <v>594</v>
      </c>
      <c r="J40" s="1015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1101"/>
      <c r="F41" s="69"/>
      <c r="G41" s="111">
        <f t="shared" si="0"/>
        <v>0</v>
      </c>
      <c r="I41" s="1016"/>
      <c r="J41" s="1017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1101"/>
      <c r="F42" s="69"/>
      <c r="G42" s="111">
        <f t="shared" si="0"/>
        <v>0</v>
      </c>
      <c r="I42" s="1018"/>
      <c r="J42" s="1019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1101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1101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1101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1101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1101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1101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1101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1102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1102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1102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1102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1102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03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1102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1102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1102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1102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1102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1102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1102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1102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1102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1102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1104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1105"/>
      <c r="F67" s="395">
        <f>SUM(F3:F66)</f>
        <v>1884182.2799999998</v>
      </c>
      <c r="G67" s="153">
        <f>SUM(G3:G66)</f>
        <v>0</v>
      </c>
      <c r="I67" s="1010" t="s">
        <v>594</v>
      </c>
      <c r="J67" s="1011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1106"/>
      <c r="F68" s="3"/>
      <c r="G68" s="972" t="s">
        <v>207</v>
      </c>
      <c r="I68" s="1012"/>
      <c r="J68" s="1013"/>
      <c r="K68" s="1"/>
      <c r="L68" s="256"/>
      <c r="M68" s="3"/>
      <c r="N68" s="1"/>
    </row>
    <row r="69" spans="2:14" x14ac:dyDescent="0.25">
      <c r="C69" s="163"/>
      <c r="D69" s="1"/>
      <c r="E69" s="1106"/>
      <c r="F69" s="3"/>
      <c r="G69" s="973"/>
      <c r="K69" s="1"/>
      <c r="L69" s="256"/>
      <c r="M69" s="3"/>
      <c r="N69" s="1"/>
    </row>
    <row r="70" spans="2:14" ht="15.75" x14ac:dyDescent="0.25">
      <c r="B70" s="511"/>
      <c r="C70" s="380">
        <v>72784.149999999994</v>
      </c>
      <c r="D70" s="233"/>
      <c r="F70"/>
      <c r="J70" s="194"/>
      <c r="M70"/>
    </row>
    <row r="71" spans="2:14" ht="15.75" x14ac:dyDescent="0.25">
      <c r="B71" s="511"/>
      <c r="C71" s="111">
        <v>131948.72</v>
      </c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11">
        <v>37599.68</v>
      </c>
      <c r="E72" s="1108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11">
        <v>23481.200000000001</v>
      </c>
      <c r="E73" s="1108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11">
        <v>89195.38</v>
      </c>
      <c r="D74" s="129"/>
      <c r="E74" s="1108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11">
        <v>70308.98</v>
      </c>
      <c r="D75" s="233"/>
      <c r="E75" s="1108"/>
      <c r="H75" s="2"/>
      <c r="I75" s="2"/>
      <c r="J75" s="2"/>
      <c r="K75" s="2"/>
      <c r="L75" s="714"/>
      <c r="M75"/>
      <c r="N75"/>
    </row>
    <row r="76" spans="2:14" ht="15.75" x14ac:dyDescent="0.25">
      <c r="C76" s="111">
        <v>139090.9</v>
      </c>
      <c r="D76" s="233"/>
      <c r="E76" s="1108"/>
      <c r="H76" s="2"/>
      <c r="I76" s="2"/>
      <c r="J76" s="2"/>
      <c r="K76" s="2"/>
      <c r="L76" s="714"/>
      <c r="M76"/>
      <c r="N76"/>
    </row>
    <row r="77" spans="2:14" ht="15.75" x14ac:dyDescent="0.25">
      <c r="C77" s="111">
        <v>51462.14</v>
      </c>
      <c r="D77" s="233"/>
      <c r="E77" s="1108"/>
      <c r="I77"/>
      <c r="J77"/>
      <c r="K77"/>
      <c r="M77"/>
      <c r="N77"/>
    </row>
    <row r="78" spans="2:14" ht="15.75" x14ac:dyDescent="0.25">
      <c r="C78" s="111">
        <v>78579.7</v>
      </c>
      <c r="D78" s="233"/>
      <c r="E78" s="1108"/>
      <c r="I78"/>
      <c r="J78"/>
      <c r="K78"/>
      <c r="M78"/>
      <c r="N78"/>
    </row>
    <row r="79" spans="2:14" ht="15.75" x14ac:dyDescent="0.25">
      <c r="C79" s="111">
        <v>140884.20000000001</v>
      </c>
      <c r="D79" s="233"/>
      <c r="E79" s="1108"/>
      <c r="I79"/>
      <c r="J79"/>
      <c r="K79"/>
      <c r="M79"/>
      <c r="N79"/>
    </row>
    <row r="80" spans="2:14" ht="15.75" x14ac:dyDescent="0.25">
      <c r="C80" s="111">
        <v>36300.57</v>
      </c>
      <c r="D80" s="233"/>
      <c r="E80" s="1108"/>
      <c r="I80"/>
      <c r="J80"/>
      <c r="K80"/>
      <c r="M80"/>
      <c r="N80"/>
    </row>
    <row r="81" spans="3:14" ht="15.75" x14ac:dyDescent="0.25">
      <c r="C81" s="111">
        <v>88444.52</v>
      </c>
      <c r="D81" s="233"/>
      <c r="E81" s="1108"/>
      <c r="I81"/>
      <c r="J81"/>
      <c r="K81"/>
      <c r="M81"/>
      <c r="N81"/>
    </row>
    <row r="82" spans="3:14" ht="15.75" x14ac:dyDescent="0.25">
      <c r="C82" s="111">
        <v>14951.9</v>
      </c>
      <c r="D82" s="233"/>
      <c r="E82" s="1108"/>
      <c r="I82"/>
      <c r="J82"/>
      <c r="K82"/>
      <c r="M82"/>
      <c r="N82"/>
    </row>
    <row r="83" spans="3:14" ht="15.75" x14ac:dyDescent="0.25">
      <c r="C83" s="1109">
        <v>33324.74</v>
      </c>
      <c r="D83" s="233"/>
      <c r="E83" s="1108"/>
      <c r="I83"/>
      <c r="J83"/>
      <c r="K83"/>
      <c r="M83"/>
      <c r="N83"/>
    </row>
    <row r="84" spans="3:14" ht="15.75" x14ac:dyDescent="0.25">
      <c r="C84" s="1109">
        <f>SUM(C70:C83)</f>
        <v>1008356.78</v>
      </c>
      <c r="D84" s="233"/>
      <c r="E84" s="1108"/>
      <c r="I84"/>
      <c r="J84"/>
      <c r="K84"/>
      <c r="M84"/>
      <c r="N84"/>
    </row>
    <row r="85" spans="3:14" ht="15.75" x14ac:dyDescent="0.25">
      <c r="C85" s="1109"/>
      <c r="D85" s="233"/>
      <c r="E85" s="1108"/>
      <c r="I85"/>
      <c r="J85"/>
      <c r="K85"/>
      <c r="M85"/>
      <c r="N85"/>
    </row>
    <row r="86" spans="3:14" ht="15.75" x14ac:dyDescent="0.25">
      <c r="C86" s="116"/>
      <c r="D86" s="233"/>
      <c r="E86" s="1108"/>
      <c r="I86"/>
      <c r="J86"/>
      <c r="K86"/>
      <c r="M86"/>
      <c r="N86"/>
    </row>
    <row r="87" spans="3:14" ht="15.75" x14ac:dyDescent="0.25">
      <c r="C87" s="116"/>
      <c r="D87" s="233"/>
      <c r="E87" s="1108"/>
      <c r="I87"/>
      <c r="J87"/>
      <c r="K87"/>
      <c r="M87"/>
      <c r="N87"/>
    </row>
    <row r="88" spans="3:14" ht="15.75" x14ac:dyDescent="0.25">
      <c r="C88" s="116"/>
      <c r="D88" s="233"/>
      <c r="E88" s="1108"/>
      <c r="I88"/>
      <c r="J88"/>
      <c r="K88"/>
      <c r="M88"/>
      <c r="N88"/>
    </row>
    <row r="89" spans="3:14" ht="15.75" x14ac:dyDescent="0.25">
      <c r="C89" s="116"/>
      <c r="D89" s="233"/>
      <c r="E89" s="1108"/>
      <c r="I89"/>
      <c r="J89"/>
      <c r="K89"/>
      <c r="M89"/>
      <c r="N89"/>
    </row>
    <row r="90" spans="3:14" ht="15.75" x14ac:dyDescent="0.25">
      <c r="C90" s="116"/>
      <c r="D90" s="233"/>
      <c r="E90" s="1108"/>
      <c r="I90"/>
      <c r="J90"/>
      <c r="K90"/>
      <c r="M90"/>
      <c r="N90"/>
    </row>
    <row r="91" spans="3:14" ht="15.75" x14ac:dyDescent="0.25">
      <c r="C91" s="116"/>
      <c r="D91" s="233"/>
      <c r="E91" s="1108"/>
      <c r="I91"/>
      <c r="J91"/>
      <c r="K91"/>
      <c r="M91"/>
      <c r="N91"/>
    </row>
    <row r="92" spans="3:14" ht="15.75" x14ac:dyDescent="0.25">
      <c r="C92" s="116"/>
      <c r="D92" s="233"/>
      <c r="E92" s="1108"/>
      <c r="I92"/>
      <c r="J92"/>
      <c r="K92"/>
      <c r="M92"/>
      <c r="N92"/>
    </row>
    <row r="93" spans="3:14" ht="15.75" x14ac:dyDescent="0.25">
      <c r="C93" s="116"/>
      <c r="D93" s="233"/>
      <c r="E93" s="1108"/>
      <c r="I93"/>
      <c r="J93"/>
      <c r="K93"/>
      <c r="M93"/>
      <c r="N93"/>
    </row>
    <row r="94" spans="3:14" ht="15.75" x14ac:dyDescent="0.25">
      <c r="C94" s="116"/>
      <c r="D94" s="233"/>
      <c r="E94" s="1108"/>
      <c r="I94"/>
      <c r="J94"/>
      <c r="K94"/>
      <c r="M94"/>
      <c r="N94"/>
    </row>
    <row r="95" spans="3:14" ht="15.75" x14ac:dyDescent="0.25">
      <c r="C95" s="116"/>
      <c r="D95" s="233"/>
      <c r="E95" s="1108"/>
      <c r="I95"/>
      <c r="J95"/>
      <c r="K95"/>
      <c r="M95"/>
      <c r="N95"/>
    </row>
    <row r="96" spans="3:14" ht="15.75" x14ac:dyDescent="0.25">
      <c r="C96" s="116"/>
      <c r="D96" s="233"/>
      <c r="E96" s="1108"/>
      <c r="I96"/>
      <c r="J96"/>
      <c r="K96"/>
      <c r="M96"/>
      <c r="N96"/>
    </row>
    <row r="97" spans="3:14" x14ac:dyDescent="0.25">
      <c r="C97" s="116"/>
      <c r="D97" s="129"/>
      <c r="E97" s="1108"/>
      <c r="I97"/>
      <c r="J97"/>
      <c r="K97"/>
      <c r="M97"/>
      <c r="N97"/>
    </row>
    <row r="98" spans="3:14" x14ac:dyDescent="0.25">
      <c r="C98" s="116"/>
      <c r="D98" s="129"/>
      <c r="E98" s="1108"/>
      <c r="I98"/>
      <c r="J98"/>
      <c r="K98"/>
      <c r="M98"/>
      <c r="N98"/>
    </row>
    <row r="99" spans="3:14" x14ac:dyDescent="0.25">
      <c r="C99" s="116"/>
      <c r="D99" s="129"/>
      <c r="E99" s="1108"/>
      <c r="I99"/>
      <c r="J99"/>
      <c r="K99"/>
      <c r="M99"/>
      <c r="N99"/>
    </row>
    <row r="100" spans="3:14" x14ac:dyDescent="0.25">
      <c r="C100" s="116"/>
      <c r="D100" s="129"/>
      <c r="E100" s="1108"/>
      <c r="I100"/>
      <c r="J100"/>
      <c r="K100"/>
      <c r="M100"/>
      <c r="N100"/>
    </row>
    <row r="101" spans="3:14" x14ac:dyDescent="0.25">
      <c r="C101" s="116"/>
      <c r="D101" s="129"/>
      <c r="E101" s="1108"/>
      <c r="I101"/>
      <c r="J101"/>
      <c r="K101"/>
      <c r="M101"/>
      <c r="N101"/>
    </row>
    <row r="102" spans="3:14" x14ac:dyDescent="0.25">
      <c r="C102" s="116"/>
      <c r="E102" s="1108"/>
      <c r="I102"/>
      <c r="J102"/>
      <c r="K102"/>
      <c r="M102"/>
      <c r="N102"/>
    </row>
    <row r="103" spans="3:14" x14ac:dyDescent="0.25">
      <c r="C103" s="116"/>
      <c r="E103" s="1108"/>
      <c r="I103"/>
      <c r="J103"/>
      <c r="K103"/>
      <c r="M103"/>
      <c r="N103"/>
    </row>
    <row r="104" spans="3:14" x14ac:dyDescent="0.25">
      <c r="C104" s="116"/>
      <c r="E104" s="1108"/>
      <c r="I104"/>
      <c r="J104"/>
      <c r="K104"/>
      <c r="M104"/>
      <c r="N104"/>
    </row>
    <row r="105" spans="3:14" x14ac:dyDescent="0.25">
      <c r="C105" s="116"/>
      <c r="E105" s="1108"/>
      <c r="I105"/>
      <c r="J105"/>
      <c r="K105"/>
      <c r="M105"/>
      <c r="N105"/>
    </row>
    <row r="106" spans="3:14" x14ac:dyDescent="0.25">
      <c r="C106" s="116"/>
      <c r="E106" s="1108"/>
      <c r="I106"/>
      <c r="J106"/>
      <c r="K106"/>
      <c r="M106"/>
      <c r="N106"/>
    </row>
    <row r="107" spans="3:14" x14ac:dyDescent="0.25">
      <c r="C107" s="116"/>
      <c r="E107" s="1108"/>
      <c r="I107"/>
      <c r="J107"/>
      <c r="K107"/>
      <c r="M107"/>
      <c r="N107"/>
    </row>
    <row r="108" spans="3:14" x14ac:dyDescent="0.25">
      <c r="C108" s="116"/>
      <c r="E108" s="1108"/>
      <c r="I108"/>
      <c r="J108"/>
      <c r="K108"/>
      <c r="M108"/>
      <c r="N108"/>
    </row>
    <row r="109" spans="3:14" x14ac:dyDescent="0.25">
      <c r="C109" s="116"/>
      <c r="E109" s="1108"/>
      <c r="I109"/>
      <c r="J109"/>
      <c r="K109"/>
      <c r="M109"/>
      <c r="N109"/>
    </row>
    <row r="110" spans="3:14" x14ac:dyDescent="0.25">
      <c r="C110" s="116"/>
      <c r="E110" s="1108"/>
      <c r="I110"/>
      <c r="J110"/>
      <c r="K110"/>
      <c r="M110"/>
      <c r="N110"/>
    </row>
    <row r="111" spans="3:14" x14ac:dyDescent="0.25">
      <c r="C111" s="116"/>
      <c r="E111" s="1108"/>
      <c r="I111"/>
      <c r="J111"/>
      <c r="K111"/>
      <c r="M111"/>
      <c r="N111"/>
    </row>
    <row r="112" spans="3:14" x14ac:dyDescent="0.25">
      <c r="C112" s="116"/>
      <c r="E112" s="1108"/>
      <c r="I112"/>
      <c r="J112"/>
      <c r="K112"/>
      <c r="M112"/>
      <c r="N112"/>
    </row>
    <row r="113" spans="3:14" x14ac:dyDescent="0.25">
      <c r="C113" s="116"/>
      <c r="E113" s="1108"/>
      <c r="I113"/>
      <c r="J113"/>
      <c r="K113"/>
      <c r="M113"/>
      <c r="N113"/>
    </row>
    <row r="114" spans="3:14" x14ac:dyDescent="0.25">
      <c r="C114" s="116"/>
      <c r="E114" s="1108"/>
      <c r="I114"/>
      <c r="J114"/>
      <c r="K114"/>
      <c r="M114"/>
      <c r="N114"/>
    </row>
    <row r="115" spans="3:14" x14ac:dyDescent="0.25">
      <c r="C115" s="116"/>
      <c r="E115" s="1108"/>
      <c r="I115"/>
      <c r="J115"/>
      <c r="K115"/>
      <c r="M115"/>
      <c r="N115"/>
    </row>
    <row r="116" spans="3:14" x14ac:dyDescent="0.25">
      <c r="C116" s="116"/>
      <c r="E116" s="1108"/>
      <c r="I116"/>
      <c r="J116"/>
      <c r="K116"/>
      <c r="M116"/>
      <c r="N116"/>
    </row>
    <row r="117" spans="3:14" x14ac:dyDescent="0.25">
      <c r="C117" s="116"/>
      <c r="E117" s="1108"/>
      <c r="I117"/>
      <c r="J117"/>
      <c r="K117"/>
      <c r="M117"/>
      <c r="N117"/>
    </row>
    <row r="118" spans="3:14" x14ac:dyDescent="0.25">
      <c r="C118" s="116"/>
      <c r="E118" s="1108"/>
      <c r="I118"/>
      <c r="J118"/>
      <c r="K118"/>
      <c r="M118"/>
      <c r="N118"/>
    </row>
    <row r="119" spans="3:14" x14ac:dyDescent="0.25">
      <c r="C119" s="116"/>
      <c r="E119" s="1108"/>
      <c r="I119"/>
      <c r="J119"/>
      <c r="K119"/>
      <c r="M119"/>
      <c r="N119"/>
    </row>
    <row r="120" spans="3:14" x14ac:dyDescent="0.25">
      <c r="C120" s="116"/>
      <c r="E120" s="1108"/>
      <c r="I120"/>
      <c r="J120"/>
      <c r="K120"/>
      <c r="M120"/>
      <c r="N120"/>
    </row>
    <row r="121" spans="3:14" x14ac:dyDescent="0.25">
      <c r="C121" s="116"/>
      <c r="E121" s="1108"/>
      <c r="I121"/>
      <c r="J121"/>
      <c r="K121"/>
      <c r="M121"/>
      <c r="N121"/>
    </row>
    <row r="122" spans="3:14" x14ac:dyDescent="0.25">
      <c r="C122" s="116"/>
      <c r="E122" s="1108"/>
      <c r="I122"/>
      <c r="J122"/>
      <c r="K122"/>
      <c r="M122"/>
      <c r="N122"/>
    </row>
    <row r="123" spans="3:14" x14ac:dyDescent="0.25">
      <c r="C123" s="116"/>
      <c r="E123" s="1108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34"/>
      <c r="C1" s="936" t="s">
        <v>208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9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8" t="s">
        <v>0</v>
      </c>
      <c r="C3" s="939"/>
      <c r="D3" s="10"/>
      <c r="E3" s="11"/>
      <c r="F3" s="11"/>
      <c r="H3" s="940" t="s">
        <v>26</v>
      </c>
      <c r="I3" s="940"/>
      <c r="K3" s="165"/>
      <c r="L3" s="13"/>
      <c r="M3" s="14"/>
      <c r="P3" s="96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41" t="s">
        <v>2</v>
      </c>
      <c r="F4" s="942"/>
      <c r="H4" s="943" t="s">
        <v>3</v>
      </c>
      <c r="I4" s="944"/>
      <c r="J4" s="19"/>
      <c r="K4" s="166"/>
      <c r="L4" s="20"/>
      <c r="M4" s="21" t="s">
        <v>4</v>
      </c>
      <c r="N4" s="22" t="s">
        <v>5</v>
      </c>
      <c r="P4" s="965"/>
      <c r="Q4" s="286" t="s">
        <v>209</v>
      </c>
      <c r="W4" s="947" t="s">
        <v>124</v>
      </c>
      <c r="X4" s="94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47"/>
      <c r="X5" s="94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5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5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53"/>
      <c r="X21" s="95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54"/>
      <c r="X23" s="95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54"/>
      <c r="X24" s="95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55"/>
      <c r="X25" s="95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55"/>
      <c r="X26" s="95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48"/>
      <c r="X27" s="949"/>
      <c r="Y27" s="95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49"/>
      <c r="X28" s="949"/>
      <c r="Y28" s="95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66">
        <f>SUM(M5:M35)</f>
        <v>321168.83</v>
      </c>
      <c r="N36" s="968">
        <f>SUM(N5:N35)</f>
        <v>467016</v>
      </c>
      <c r="O36" s="276"/>
      <c r="P36" s="277">
        <v>0</v>
      </c>
      <c r="Q36" s="97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67"/>
      <c r="N37" s="969"/>
      <c r="O37" s="276"/>
      <c r="P37" s="277">
        <v>0</v>
      </c>
      <c r="Q37" s="97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1" t="s">
        <v>11</v>
      </c>
      <c r="I52" s="922"/>
      <c r="J52" s="100"/>
      <c r="K52" s="923">
        <f>I50+L50</f>
        <v>71911.59</v>
      </c>
      <c r="L52" s="956"/>
      <c r="M52" s="272"/>
      <c r="N52" s="272"/>
      <c r="P52" s="34"/>
      <c r="Q52" s="13"/>
    </row>
    <row r="53" spans="1:17" ht="16.5" thickBot="1" x14ac:dyDescent="0.3">
      <c r="D53" s="927" t="s">
        <v>12</v>
      </c>
      <c r="E53" s="927"/>
      <c r="F53" s="312">
        <f>F50-K52-C50</f>
        <v>-25952.549999999814</v>
      </c>
      <c r="I53" s="102"/>
      <c r="J53" s="103"/>
    </row>
    <row r="54" spans="1:17" ht="18.75" x14ac:dyDescent="0.3">
      <c r="D54" s="957" t="s">
        <v>95</v>
      </c>
      <c r="E54" s="957"/>
      <c r="F54" s="111">
        <v>-706888.38</v>
      </c>
      <c r="I54" s="928" t="s">
        <v>13</v>
      </c>
      <c r="J54" s="929"/>
      <c r="K54" s="930">
        <f>F56+F57+F58</f>
        <v>1308778.3500000003</v>
      </c>
      <c r="L54" s="930"/>
      <c r="M54" s="958" t="s">
        <v>211</v>
      </c>
      <c r="N54" s="959"/>
      <c r="O54" s="959"/>
      <c r="P54" s="959"/>
      <c r="Q54" s="960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61"/>
      <c r="N55" s="962"/>
      <c r="O55" s="962"/>
      <c r="P55" s="962"/>
      <c r="Q55" s="96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32">
        <f>-C4</f>
        <v>-567389.35</v>
      </c>
      <c r="L56" s="93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10" t="s">
        <v>18</v>
      </c>
      <c r="E58" s="911"/>
      <c r="F58" s="113">
        <v>2142307.62</v>
      </c>
      <c r="I58" s="912" t="s">
        <v>198</v>
      </c>
      <c r="J58" s="913"/>
      <c r="K58" s="914">
        <f>K54+K56</f>
        <v>741389.00000000035</v>
      </c>
      <c r="L58" s="9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105"/>
  <sheetViews>
    <sheetView tabSelected="1" workbookViewId="0">
      <pane ySplit="4" topLeftCell="A48" activePane="bottomLeft" state="frozen"/>
      <selection pane="bottomLeft" activeCell="F76" sqref="F76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34"/>
      <c r="C1" s="976" t="s">
        <v>1570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18" ht="16.5" thickBot="1" x14ac:dyDescent="0.3">
      <c r="B2" s="935"/>
      <c r="C2" s="3"/>
      <c r="H2" s="5"/>
      <c r="I2" s="6"/>
      <c r="J2" s="7"/>
      <c r="L2" s="8"/>
      <c r="M2" s="6"/>
      <c r="N2" s="9"/>
    </row>
    <row r="3" spans="1:18" ht="21.75" thickBot="1" x14ac:dyDescent="0.35">
      <c r="B3" s="938" t="s">
        <v>0</v>
      </c>
      <c r="C3" s="939"/>
      <c r="D3" s="10"/>
      <c r="E3" s="553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41" t="s">
        <v>2</v>
      </c>
      <c r="F4" s="942"/>
      <c r="H4" s="943" t="s">
        <v>3</v>
      </c>
      <c r="I4" s="944"/>
      <c r="J4" s="556"/>
      <c r="K4" s="562"/>
      <c r="L4" s="563"/>
      <c r="M4" s="21" t="s">
        <v>4</v>
      </c>
      <c r="N4" s="22" t="s">
        <v>5</v>
      </c>
      <c r="P4" s="965"/>
      <c r="Q4" s="322" t="s">
        <v>217</v>
      </c>
      <c r="R4" s="975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0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0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2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1" t="s">
        <v>1620</v>
      </c>
      <c r="L13" s="181">
        <v>12500</v>
      </c>
      <c r="M13" s="32">
        <f>9078+49829.5</f>
        <v>58907.5</v>
      </c>
      <c r="N13" s="33">
        <v>39097</v>
      </c>
      <c r="O13" s="892" t="s">
        <v>1621</v>
      </c>
      <c r="P13" s="39">
        <f>N13+M13+L13+I13+C13</f>
        <v>134000</v>
      </c>
      <c r="Q13" s="325">
        <v>0</v>
      </c>
      <c r="R13" s="890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4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3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9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9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9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9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9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9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895">
        <f t="shared" si="1"/>
        <v>-253</v>
      </c>
      <c r="R22" s="379">
        <v>0</v>
      </c>
      <c r="S22" s="909" t="s">
        <v>1652</v>
      </c>
    </row>
    <row r="23" spans="1:19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0" t="s">
        <v>7</v>
      </c>
    </row>
    <row r="24" spans="1:19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9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9" ht="18" thickBot="1" x14ac:dyDescent="0.35">
      <c r="A26" s="23"/>
      <c r="B26" s="24">
        <v>44914</v>
      </c>
      <c r="C26" s="25">
        <v>7116.5</v>
      </c>
      <c r="D26" s="35" t="s">
        <v>1637</v>
      </c>
      <c r="E26" s="27">
        <v>44914</v>
      </c>
      <c r="F26" s="28">
        <v>222912</v>
      </c>
      <c r="G26" s="572"/>
      <c r="H26" s="29">
        <v>44914</v>
      </c>
      <c r="I26" s="30">
        <v>3608.5</v>
      </c>
      <c r="J26" s="37"/>
      <c r="K26" s="728"/>
      <c r="L26" s="729"/>
      <c r="M26" s="32">
        <f>30000+94838+10292+3589</f>
        <v>138719</v>
      </c>
      <c r="N26" s="33">
        <v>73468</v>
      </c>
      <c r="O26" s="176" t="s">
        <v>764</v>
      </c>
      <c r="P26" s="283">
        <f t="shared" si="2"/>
        <v>222912</v>
      </c>
      <c r="Q26" s="325">
        <f t="shared" si="1"/>
        <v>0</v>
      </c>
      <c r="R26" s="379">
        <v>0</v>
      </c>
      <c r="S26" t="s">
        <v>1062</v>
      </c>
    </row>
    <row r="27" spans="1:19" ht="18" customHeight="1" thickBot="1" x14ac:dyDescent="0.35">
      <c r="A27" s="23"/>
      <c r="B27" s="24">
        <v>44915</v>
      </c>
      <c r="C27" s="25">
        <v>14094</v>
      </c>
      <c r="D27" s="42" t="s">
        <v>1638</v>
      </c>
      <c r="E27" s="27">
        <v>44915</v>
      </c>
      <c r="F27" s="28">
        <v>184349</v>
      </c>
      <c r="G27" s="572"/>
      <c r="H27" s="29">
        <v>44915</v>
      </c>
      <c r="I27" s="30">
        <v>1964</v>
      </c>
      <c r="J27" s="55">
        <v>44915</v>
      </c>
      <c r="K27" s="174" t="s">
        <v>1639</v>
      </c>
      <c r="L27" s="54">
        <v>40394</v>
      </c>
      <c r="M27" s="32">
        <f>24000+3744+12411+16693</f>
        <v>56848</v>
      </c>
      <c r="N27" s="33">
        <v>71049</v>
      </c>
      <c r="O27" s="176" t="s">
        <v>764</v>
      </c>
      <c r="P27" s="283">
        <f t="shared" si="2"/>
        <v>184349</v>
      </c>
      <c r="Q27" s="325">
        <f t="shared" si="1"/>
        <v>0</v>
      </c>
      <c r="R27" s="379">
        <v>0</v>
      </c>
    </row>
    <row r="28" spans="1:19" ht="18" customHeight="1" thickBot="1" x14ac:dyDescent="0.35">
      <c r="A28" s="23"/>
      <c r="B28" s="24">
        <v>44916</v>
      </c>
      <c r="C28" s="25">
        <v>10084</v>
      </c>
      <c r="D28" s="42" t="s">
        <v>1640</v>
      </c>
      <c r="E28" s="27">
        <v>44916</v>
      </c>
      <c r="F28" s="28">
        <v>233357</v>
      </c>
      <c r="G28" s="572"/>
      <c r="H28" s="29">
        <v>44916</v>
      </c>
      <c r="I28" s="30">
        <v>390</v>
      </c>
      <c r="J28" s="56"/>
      <c r="K28" s="57"/>
      <c r="L28" s="54"/>
      <c r="M28" s="32">
        <f>40000+52200+1012+7940+6146</f>
        <v>107298</v>
      </c>
      <c r="N28" s="33">
        <v>115585</v>
      </c>
      <c r="O28" s="176" t="s">
        <v>764</v>
      </c>
      <c r="P28" s="283">
        <f t="shared" si="2"/>
        <v>233357</v>
      </c>
      <c r="Q28" s="325">
        <f t="shared" si="1"/>
        <v>0</v>
      </c>
      <c r="R28" s="379">
        <v>0</v>
      </c>
    </row>
    <row r="29" spans="1:19" ht="18" thickBot="1" x14ac:dyDescent="0.35">
      <c r="A29" s="23"/>
      <c r="B29" s="24">
        <v>44917</v>
      </c>
      <c r="C29" s="25">
        <v>17677</v>
      </c>
      <c r="D29" s="58" t="s">
        <v>1641</v>
      </c>
      <c r="E29" s="27">
        <v>44917</v>
      </c>
      <c r="F29" s="28">
        <v>255528</v>
      </c>
      <c r="G29" s="572"/>
      <c r="H29" s="29">
        <v>44917</v>
      </c>
      <c r="I29" s="30">
        <v>5380</v>
      </c>
      <c r="J29" s="59"/>
      <c r="K29" s="175"/>
      <c r="L29" s="54"/>
      <c r="M29" s="32">
        <f>35000+95221</f>
        <v>130221</v>
      </c>
      <c r="N29" s="33">
        <v>102250</v>
      </c>
      <c r="O29" s="176" t="s">
        <v>764</v>
      </c>
      <c r="P29" s="283">
        <f t="shared" si="2"/>
        <v>255528</v>
      </c>
      <c r="Q29" s="325">
        <f t="shared" si="1"/>
        <v>0</v>
      </c>
      <c r="R29" s="379">
        <v>0</v>
      </c>
    </row>
    <row r="30" spans="1:19" ht="18" thickBot="1" x14ac:dyDescent="0.35">
      <c r="A30" s="23"/>
      <c r="B30" s="24">
        <v>44918</v>
      </c>
      <c r="C30" s="25">
        <v>13383</v>
      </c>
      <c r="D30" s="58" t="s">
        <v>1642</v>
      </c>
      <c r="E30" s="27">
        <v>44918</v>
      </c>
      <c r="F30" s="28">
        <v>291731</v>
      </c>
      <c r="G30" s="572"/>
      <c r="H30" s="29">
        <v>44918</v>
      </c>
      <c r="I30" s="30">
        <v>1550</v>
      </c>
      <c r="J30" s="56"/>
      <c r="K30" s="38"/>
      <c r="L30" s="39"/>
      <c r="M30" s="32">
        <f>147467+35000</f>
        <v>182467</v>
      </c>
      <c r="N30" s="33">
        <v>94331</v>
      </c>
      <c r="O30" s="176" t="s">
        <v>764</v>
      </c>
      <c r="P30" s="283">
        <f t="shared" si="2"/>
        <v>291731</v>
      </c>
      <c r="Q30" s="325">
        <f t="shared" si="1"/>
        <v>0</v>
      </c>
      <c r="R30" s="379">
        <v>0</v>
      </c>
    </row>
    <row r="31" spans="1:19" ht="18" thickBot="1" x14ac:dyDescent="0.35">
      <c r="A31" s="23"/>
      <c r="B31" s="24">
        <v>44919</v>
      </c>
      <c r="C31" s="25">
        <v>0</v>
      </c>
      <c r="D31" s="67"/>
      <c r="E31" s="27">
        <v>44919</v>
      </c>
      <c r="F31" s="28">
        <v>148907</v>
      </c>
      <c r="G31" s="572"/>
      <c r="H31" s="29">
        <v>44919</v>
      </c>
      <c r="I31" s="30">
        <v>6978</v>
      </c>
      <c r="J31" s="56">
        <v>44919</v>
      </c>
      <c r="K31" s="821" t="s">
        <v>1643</v>
      </c>
      <c r="L31" s="54">
        <v>21177</v>
      </c>
      <c r="M31" s="32">
        <f>41342+30000</f>
        <v>71342</v>
      </c>
      <c r="N31" s="33">
        <v>49410</v>
      </c>
      <c r="O31" s="176" t="s">
        <v>764</v>
      </c>
      <c r="P31" s="283">
        <f t="shared" si="2"/>
        <v>148907</v>
      </c>
      <c r="Q31" s="325">
        <f t="shared" si="1"/>
        <v>0</v>
      </c>
      <c r="R31" s="379">
        <v>0</v>
      </c>
    </row>
    <row r="32" spans="1:19" ht="18" thickBot="1" x14ac:dyDescent="0.35">
      <c r="A32" s="23"/>
      <c r="B32" s="24">
        <v>44920</v>
      </c>
      <c r="C32" s="161">
        <v>0</v>
      </c>
      <c r="D32" s="906" t="s">
        <v>236</v>
      </c>
      <c r="E32" s="27">
        <v>44920</v>
      </c>
      <c r="F32" s="159">
        <v>0</v>
      </c>
      <c r="G32" s="572"/>
      <c r="H32" s="29">
        <v>44920</v>
      </c>
      <c r="I32" s="160">
        <v>0</v>
      </c>
      <c r="J32" s="907" t="s">
        <v>236</v>
      </c>
      <c r="K32" s="38"/>
      <c r="L32" s="39"/>
      <c r="M32" s="334">
        <v>0</v>
      </c>
      <c r="N32" s="335">
        <v>0</v>
      </c>
      <c r="O32" s="176">
        <v>0</v>
      </c>
      <c r="P32" s="901">
        <f t="shared" si="2"/>
        <v>0</v>
      </c>
      <c r="Q32" s="325">
        <f t="shared" si="1"/>
        <v>0</v>
      </c>
      <c r="R32" s="379">
        <v>0</v>
      </c>
    </row>
    <row r="33" spans="1:19" ht="18" thickBot="1" x14ac:dyDescent="0.35">
      <c r="A33" s="23"/>
      <c r="B33" s="24">
        <v>44921</v>
      </c>
      <c r="C33" s="25">
        <v>36928</v>
      </c>
      <c r="D33" s="64" t="s">
        <v>1645</v>
      </c>
      <c r="E33" s="27">
        <v>44921</v>
      </c>
      <c r="F33" s="28">
        <v>131287</v>
      </c>
      <c r="G33" s="572"/>
      <c r="H33" s="29">
        <v>44921</v>
      </c>
      <c r="I33" s="30">
        <v>4643.5</v>
      </c>
      <c r="J33" s="56"/>
      <c r="K33" s="223"/>
      <c r="L33" s="69"/>
      <c r="M33" s="32">
        <f>30000+19123.5+8810</f>
        <v>57933.5</v>
      </c>
      <c r="N33" s="33">
        <v>31782</v>
      </c>
      <c r="O33" s="176" t="s">
        <v>764</v>
      </c>
      <c r="P33" s="283">
        <f t="shared" si="2"/>
        <v>131287</v>
      </c>
      <c r="Q33" s="325">
        <f t="shared" si="1"/>
        <v>0</v>
      </c>
      <c r="R33" s="379">
        <v>0</v>
      </c>
    </row>
    <row r="34" spans="1:19" ht="18" thickBot="1" x14ac:dyDescent="0.35">
      <c r="A34" s="23"/>
      <c r="B34" s="24">
        <v>44922</v>
      </c>
      <c r="C34" s="25">
        <v>7300</v>
      </c>
      <c r="D34" s="64" t="s">
        <v>1646</v>
      </c>
      <c r="E34" s="27">
        <v>44922</v>
      </c>
      <c r="F34" s="28">
        <v>142400</v>
      </c>
      <c r="G34" s="572"/>
      <c r="H34" s="29">
        <v>44922</v>
      </c>
      <c r="I34" s="30">
        <v>4671</v>
      </c>
      <c r="J34" s="56"/>
      <c r="K34" s="751"/>
      <c r="L34" s="39"/>
      <c r="M34" s="32">
        <f>29000+39130+6405</f>
        <v>74535</v>
      </c>
      <c r="N34" s="33">
        <v>55894</v>
      </c>
      <c r="O34" s="176" t="s">
        <v>764</v>
      </c>
      <c r="P34" s="283">
        <f t="shared" si="2"/>
        <v>142400</v>
      </c>
      <c r="Q34" s="325">
        <f t="shared" si="1"/>
        <v>0</v>
      </c>
      <c r="R34" s="379">
        <v>0</v>
      </c>
      <c r="S34" t="s">
        <v>7</v>
      </c>
    </row>
    <row r="35" spans="1:19" ht="18" thickBot="1" x14ac:dyDescent="0.35">
      <c r="A35" s="23"/>
      <c r="B35" s="24">
        <v>44923</v>
      </c>
      <c r="C35" s="690">
        <v>17049</v>
      </c>
      <c r="D35" s="67" t="s">
        <v>330</v>
      </c>
      <c r="E35" s="27">
        <v>44923</v>
      </c>
      <c r="F35" s="28">
        <v>198224</v>
      </c>
      <c r="G35" s="572"/>
      <c r="H35" s="29">
        <v>44923</v>
      </c>
      <c r="I35" s="30">
        <v>2009</v>
      </c>
      <c r="J35" s="698"/>
      <c r="K35" s="752"/>
      <c r="L35" s="702"/>
      <c r="M35" s="32">
        <f>66822+25000+4415+16946</f>
        <v>113183</v>
      </c>
      <c r="N35" s="33">
        <v>65983</v>
      </c>
      <c r="O35" s="176" t="s">
        <v>764</v>
      </c>
      <c r="P35" s="283">
        <f t="shared" si="2"/>
        <v>198224</v>
      </c>
      <c r="Q35" s="325">
        <f t="shared" si="1"/>
        <v>0</v>
      </c>
      <c r="R35" s="379">
        <v>0</v>
      </c>
    </row>
    <row r="36" spans="1:19" ht="18" customHeight="1" thickTop="1" thickBot="1" x14ac:dyDescent="0.35">
      <c r="A36" s="23"/>
      <c r="B36" s="24">
        <v>44924</v>
      </c>
      <c r="C36" s="693">
        <v>8327</v>
      </c>
      <c r="D36" s="786" t="s">
        <v>1647</v>
      </c>
      <c r="E36" s="27">
        <v>44924</v>
      </c>
      <c r="F36" s="28">
        <v>212511</v>
      </c>
      <c r="G36" s="662"/>
      <c r="H36" s="29">
        <v>44924</v>
      </c>
      <c r="I36" s="30">
        <v>6389.5</v>
      </c>
      <c r="J36" s="56"/>
      <c r="K36" s="751"/>
      <c r="L36" s="39"/>
      <c r="M36" s="32">
        <f>76195.5+24000</f>
        <v>100195.5</v>
      </c>
      <c r="N36" s="33">
        <v>97599</v>
      </c>
      <c r="O36" s="176" t="s">
        <v>764</v>
      </c>
      <c r="P36" s="283">
        <f t="shared" si="2"/>
        <v>212511</v>
      </c>
      <c r="Q36" s="325">
        <f t="shared" si="1"/>
        <v>0</v>
      </c>
      <c r="R36" s="379" t="s">
        <v>7</v>
      </c>
    </row>
    <row r="37" spans="1:19" ht="18" customHeight="1" thickBot="1" x14ac:dyDescent="0.35">
      <c r="A37" s="23"/>
      <c r="B37" s="24">
        <v>44925</v>
      </c>
      <c r="C37" s="692">
        <v>24114</v>
      </c>
      <c r="D37" s="742" t="s">
        <v>1648</v>
      </c>
      <c r="E37" s="27">
        <v>44925</v>
      </c>
      <c r="F37" s="28">
        <v>272169</v>
      </c>
      <c r="G37" s="662"/>
      <c r="H37" s="29">
        <v>44925</v>
      </c>
      <c r="I37" s="30">
        <v>288</v>
      </c>
      <c r="J37" s="56"/>
      <c r="K37" s="751"/>
      <c r="L37" s="39"/>
      <c r="M37" s="32">
        <f>108258+20000</f>
        <v>128258</v>
      </c>
      <c r="N37" s="33">
        <v>119509</v>
      </c>
      <c r="O37" s="176" t="s">
        <v>764</v>
      </c>
      <c r="P37" s="283">
        <f t="shared" si="2"/>
        <v>272169</v>
      </c>
      <c r="Q37" s="325">
        <f t="shared" si="1"/>
        <v>0</v>
      </c>
      <c r="R37" s="379">
        <v>0</v>
      </c>
    </row>
    <row r="38" spans="1:19" ht="18" thickBot="1" x14ac:dyDescent="0.35">
      <c r="A38" s="23"/>
      <c r="B38" s="24">
        <v>44926</v>
      </c>
      <c r="C38" s="692">
        <v>7235</v>
      </c>
      <c r="D38" s="742" t="s">
        <v>1649</v>
      </c>
      <c r="E38" s="27">
        <v>44926</v>
      </c>
      <c r="F38" s="28">
        <v>203541</v>
      </c>
      <c r="G38" s="662"/>
      <c r="H38" s="29">
        <v>44926</v>
      </c>
      <c r="I38" s="30">
        <v>6587</v>
      </c>
      <c r="J38" s="56">
        <v>44926</v>
      </c>
      <c r="K38" s="663" t="s">
        <v>245</v>
      </c>
      <c r="L38" s="39">
        <v>20301</v>
      </c>
      <c r="M38" s="32">
        <f>20000+81415+3620</f>
        <v>105035</v>
      </c>
      <c r="N38" s="33">
        <v>64383</v>
      </c>
      <c r="O38" s="176" t="s">
        <v>764</v>
      </c>
      <c r="P38" s="283">
        <f t="shared" si="2"/>
        <v>203541</v>
      </c>
      <c r="Q38" s="325">
        <f t="shared" si="1"/>
        <v>0</v>
      </c>
      <c r="R38" s="379">
        <v>0</v>
      </c>
    </row>
    <row r="39" spans="1:19" ht="18" thickBot="1" x14ac:dyDescent="0.35">
      <c r="A39" s="23"/>
      <c r="B39" s="24">
        <v>44927</v>
      </c>
      <c r="C39" s="904"/>
      <c r="D39" s="905" t="s">
        <v>236</v>
      </c>
      <c r="E39" s="27">
        <v>44927</v>
      </c>
      <c r="F39" s="903"/>
      <c r="G39" s="662"/>
      <c r="H39" s="29">
        <v>44927</v>
      </c>
      <c r="I39" s="902"/>
      <c r="J39" s="907" t="s">
        <v>236</v>
      </c>
      <c r="K39" s="663"/>
      <c r="L39" s="39"/>
      <c r="M39" s="334">
        <v>0</v>
      </c>
      <c r="N39" s="335">
        <v>0</v>
      </c>
      <c r="O39" s="176" t="s">
        <v>24</v>
      </c>
      <c r="P39" s="901">
        <f t="shared" si="2"/>
        <v>0</v>
      </c>
      <c r="Q39" s="325">
        <f t="shared" si="1"/>
        <v>0</v>
      </c>
      <c r="R39" s="379">
        <v>0</v>
      </c>
    </row>
    <row r="40" spans="1:19" ht="18" thickBot="1" x14ac:dyDescent="0.35">
      <c r="A40" s="23"/>
      <c r="B40" s="24">
        <v>44928</v>
      </c>
      <c r="C40" s="692">
        <v>5446</v>
      </c>
      <c r="D40" s="742" t="s">
        <v>1650</v>
      </c>
      <c r="E40" s="27">
        <v>44928</v>
      </c>
      <c r="F40" s="898">
        <v>104061</v>
      </c>
      <c r="G40" s="572"/>
      <c r="H40" s="29">
        <v>44928</v>
      </c>
      <c r="I40" s="71">
        <v>2172</v>
      </c>
      <c r="J40" s="56"/>
      <c r="K40" s="38"/>
      <c r="L40" s="39"/>
      <c r="M40" s="267">
        <f>15000+32600+1413.3+8018.5</f>
        <v>57031.8</v>
      </c>
      <c r="N40" s="268">
        <v>39415</v>
      </c>
      <c r="O40" s="176" t="s">
        <v>764</v>
      </c>
      <c r="P40" s="283">
        <f t="shared" si="2"/>
        <v>104064.8</v>
      </c>
      <c r="Q40" s="111">
        <f t="shared" ref="Q40" si="3">P40-F40</f>
        <v>3.8000000000029104</v>
      </c>
      <c r="R40" s="379">
        <v>0</v>
      </c>
    </row>
    <row r="41" spans="1:19" ht="18" thickBot="1" x14ac:dyDescent="0.35">
      <c r="A41" s="23"/>
      <c r="B41" s="24">
        <v>44929</v>
      </c>
      <c r="C41" s="692">
        <v>8011</v>
      </c>
      <c r="D41" s="896" t="s">
        <v>334</v>
      </c>
      <c r="E41" s="27">
        <v>44929</v>
      </c>
      <c r="F41" s="898">
        <v>105652</v>
      </c>
      <c r="G41" s="572"/>
      <c r="H41" s="29">
        <v>44929</v>
      </c>
      <c r="I41" s="77">
        <v>1416</v>
      </c>
      <c r="J41" s="56"/>
      <c r="K41" s="38"/>
      <c r="L41" s="39"/>
      <c r="M41" s="267">
        <f>46694+8524</f>
        <v>55218</v>
      </c>
      <c r="N41" s="268">
        <v>41007</v>
      </c>
      <c r="O41" s="176" t="s">
        <v>764</v>
      </c>
      <c r="P41" s="283">
        <f t="shared" si="2"/>
        <v>105652</v>
      </c>
      <c r="Q41" s="111">
        <f t="shared" ref="Q41:Q47" si="4">P41-F41</f>
        <v>0</v>
      </c>
      <c r="R41" s="379">
        <v>0</v>
      </c>
    </row>
    <row r="42" spans="1:19" ht="18" thickBot="1" x14ac:dyDescent="0.35">
      <c r="A42" s="23"/>
      <c r="B42" s="24">
        <v>44930</v>
      </c>
      <c r="C42" s="692">
        <v>23940</v>
      </c>
      <c r="D42" s="896" t="s">
        <v>1651</v>
      </c>
      <c r="E42" s="27">
        <v>44930</v>
      </c>
      <c r="F42" s="898">
        <v>139305</v>
      </c>
      <c r="G42" s="572"/>
      <c r="H42" s="29">
        <v>44930</v>
      </c>
      <c r="I42" s="77">
        <v>1668</v>
      </c>
      <c r="J42" s="56"/>
      <c r="K42" s="38"/>
      <c r="L42" s="39"/>
      <c r="M42" s="267">
        <f>20000+28203+14564.6+6843</f>
        <v>69610.600000000006</v>
      </c>
      <c r="N42" s="268">
        <v>44086</v>
      </c>
      <c r="O42" s="176" t="s">
        <v>764</v>
      </c>
      <c r="P42" s="283">
        <f t="shared" si="2"/>
        <v>139304.6</v>
      </c>
      <c r="Q42" s="111">
        <f t="shared" si="4"/>
        <v>-0.39999999999417923</v>
      </c>
      <c r="R42" s="379">
        <v>0</v>
      </c>
    </row>
    <row r="43" spans="1:19" ht="18" thickBot="1" x14ac:dyDescent="0.35">
      <c r="A43" s="23"/>
      <c r="B43" s="24">
        <v>44931</v>
      </c>
      <c r="C43" s="692">
        <v>8419</v>
      </c>
      <c r="D43" s="896" t="s">
        <v>1653</v>
      </c>
      <c r="E43" s="27">
        <v>44931</v>
      </c>
      <c r="F43" s="898">
        <v>132627</v>
      </c>
      <c r="G43" s="572"/>
      <c r="H43" s="29">
        <v>44931</v>
      </c>
      <c r="I43" s="77">
        <v>800</v>
      </c>
      <c r="J43" s="56"/>
      <c r="K43" s="38"/>
      <c r="L43" s="39"/>
      <c r="M43" s="267">
        <v>85760</v>
      </c>
      <c r="N43" s="268">
        <v>37648</v>
      </c>
      <c r="O43" s="176" t="s">
        <v>764</v>
      </c>
      <c r="P43" s="283">
        <f t="shared" si="2"/>
        <v>132627</v>
      </c>
      <c r="Q43" s="111">
        <f t="shared" si="4"/>
        <v>0</v>
      </c>
      <c r="R43" s="379">
        <v>0</v>
      </c>
    </row>
    <row r="44" spans="1:19" ht="18" thickBot="1" x14ac:dyDescent="0.35">
      <c r="A44" s="23"/>
      <c r="B44" s="24">
        <v>44932</v>
      </c>
      <c r="C44" s="692">
        <v>5487</v>
      </c>
      <c r="D44" s="896" t="s">
        <v>1654</v>
      </c>
      <c r="E44" s="27">
        <v>44932</v>
      </c>
      <c r="F44" s="898">
        <v>139668</v>
      </c>
      <c r="G44" s="572"/>
      <c r="H44" s="29">
        <v>44932</v>
      </c>
      <c r="I44" s="77">
        <v>480</v>
      </c>
      <c r="J44" s="56"/>
      <c r="K44" s="38"/>
      <c r="L44" s="39"/>
      <c r="M44" s="267">
        <f>14000+51321</f>
        <v>65321</v>
      </c>
      <c r="N44" s="268">
        <v>68380</v>
      </c>
      <c r="O44" s="176" t="s">
        <v>764</v>
      </c>
      <c r="P44" s="283">
        <f t="shared" si="2"/>
        <v>139668</v>
      </c>
      <c r="Q44" s="111">
        <f t="shared" si="4"/>
        <v>0</v>
      </c>
      <c r="R44" s="379">
        <v>0</v>
      </c>
    </row>
    <row r="45" spans="1:19" ht="18" thickBot="1" x14ac:dyDescent="0.35">
      <c r="A45" s="23"/>
      <c r="B45" s="24">
        <v>44933</v>
      </c>
      <c r="C45" s="692">
        <v>7446</v>
      </c>
      <c r="D45" s="896" t="s">
        <v>1655</v>
      </c>
      <c r="E45" s="27">
        <v>44933</v>
      </c>
      <c r="F45" s="898">
        <v>153001</v>
      </c>
      <c r="G45" s="572"/>
      <c r="H45" s="29">
        <v>44933</v>
      </c>
      <c r="I45" s="77">
        <v>2543</v>
      </c>
      <c r="J45" s="56">
        <v>44933</v>
      </c>
      <c r="K45" s="38" t="s">
        <v>325</v>
      </c>
      <c r="L45" s="39">
        <v>18431.5</v>
      </c>
      <c r="M45" s="267">
        <f>13000+49705.5</f>
        <v>62705.5</v>
      </c>
      <c r="N45" s="268">
        <v>61875</v>
      </c>
      <c r="O45" s="176" t="s">
        <v>764</v>
      </c>
      <c r="P45" s="283">
        <f t="shared" si="2"/>
        <v>153001</v>
      </c>
      <c r="Q45" s="111">
        <f t="shared" si="4"/>
        <v>0</v>
      </c>
      <c r="R45" s="379">
        <v>0</v>
      </c>
    </row>
    <row r="46" spans="1:19" ht="18" thickBot="1" x14ac:dyDescent="0.35">
      <c r="A46" s="23"/>
      <c r="B46" s="24">
        <v>44934</v>
      </c>
      <c r="C46" s="692">
        <v>0</v>
      </c>
      <c r="D46" s="896"/>
      <c r="E46" s="27">
        <v>44934</v>
      </c>
      <c r="F46" s="898">
        <v>91242</v>
      </c>
      <c r="G46" s="572"/>
      <c r="H46" s="29">
        <v>44934</v>
      </c>
      <c r="I46" s="77">
        <v>1450</v>
      </c>
      <c r="J46" s="56"/>
      <c r="K46" s="38"/>
      <c r="L46" s="39"/>
      <c r="M46" s="267">
        <f>13000+42400</f>
        <v>55400</v>
      </c>
      <c r="N46" s="268">
        <v>34392</v>
      </c>
      <c r="O46" s="176" t="s">
        <v>764</v>
      </c>
      <c r="P46" s="283">
        <f t="shared" si="2"/>
        <v>91242</v>
      </c>
      <c r="Q46" s="111">
        <f t="shared" si="4"/>
        <v>0</v>
      </c>
      <c r="R46" s="379">
        <v>0</v>
      </c>
    </row>
    <row r="47" spans="1:19" ht="18" thickBot="1" x14ac:dyDescent="0.35">
      <c r="A47" s="23"/>
      <c r="B47" s="24"/>
      <c r="C47" s="692"/>
      <c r="D47" s="896"/>
      <c r="E47" s="74"/>
      <c r="F47" s="908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9" ht="18" thickBot="1" x14ac:dyDescent="0.35">
      <c r="A48" s="23"/>
      <c r="B48" s="24"/>
      <c r="C48" s="692"/>
      <c r="D48" s="896"/>
      <c r="E48" s="74"/>
      <c r="F48" s="908"/>
      <c r="G48" s="572"/>
      <c r="H48" s="76"/>
      <c r="I48" s="77"/>
      <c r="J48" s="56"/>
      <c r="K48" s="38"/>
      <c r="L48" s="39"/>
      <c r="M48" s="897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/>
      <c r="C49" s="692"/>
      <c r="D49" s="697"/>
      <c r="E49" s="74"/>
      <c r="F49" s="899"/>
      <c r="G49" s="572"/>
      <c r="H49" s="76"/>
      <c r="I49" s="77"/>
      <c r="J49" s="56"/>
      <c r="K49" s="751"/>
      <c r="L49" s="39"/>
      <c r="M49" s="966">
        <f>SUM(M5:M40)</f>
        <v>2846990.3299999996</v>
      </c>
      <c r="N49" s="966">
        <f>SUM(N5:N40)</f>
        <v>1995988</v>
      </c>
      <c r="P49" s="505">
        <f>SUM(P5:P40)</f>
        <v>5742772.8300000001</v>
      </c>
      <c r="Q49" s="1087">
        <f>SUM(Q5:Q40)</f>
        <v>-248.06999999999243</v>
      </c>
      <c r="R49" s="379">
        <v>0</v>
      </c>
    </row>
    <row r="50" spans="1:18" ht="18" thickBot="1" x14ac:dyDescent="0.35">
      <c r="A50" s="23"/>
      <c r="B50" s="24"/>
      <c r="C50" s="692"/>
      <c r="D50" s="697"/>
      <c r="E50" s="74"/>
      <c r="F50" s="899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67"/>
      <c r="N50" s="967"/>
      <c r="P50" s="34"/>
      <c r="Q50" s="1088"/>
      <c r="R50" s="788">
        <f>SUM(R5:R49)</f>
        <v>49376</v>
      </c>
    </row>
    <row r="51" spans="1:18" ht="18" thickBot="1" x14ac:dyDescent="0.35">
      <c r="A51" s="23"/>
      <c r="B51" s="24"/>
      <c r="C51" s="692"/>
      <c r="D51" s="697"/>
      <c r="E51" s="74"/>
      <c r="F51" s="899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/>
      <c r="C52" s="692"/>
      <c r="D52" s="697"/>
      <c r="E52" s="74"/>
      <c r="F52" s="899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/>
      <c r="C53" s="692"/>
      <c r="D53" s="73"/>
      <c r="E53" s="74"/>
      <c r="F53" s="899"/>
      <c r="G53" s="572"/>
      <c r="H53" s="76"/>
      <c r="I53" s="77"/>
      <c r="J53" s="56">
        <v>44915</v>
      </c>
      <c r="K53" s="38" t="s">
        <v>1639</v>
      </c>
      <c r="L53" s="39">
        <v>27303</v>
      </c>
      <c r="M53" s="1022">
        <f>M49+N49</f>
        <v>4842978.33</v>
      </c>
      <c r="N53" s="1023"/>
      <c r="P53" s="34"/>
      <c r="Q53" s="13"/>
    </row>
    <row r="54" spans="1:18" ht="18" thickBot="1" x14ac:dyDescent="0.35">
      <c r="A54" s="23"/>
      <c r="B54" s="24"/>
      <c r="C54" s="692"/>
      <c r="D54" s="73"/>
      <c r="E54" s="74"/>
      <c r="F54" s="899"/>
      <c r="G54" s="572"/>
      <c r="H54" s="76"/>
      <c r="I54" s="77"/>
      <c r="J54" s="56">
        <v>44919</v>
      </c>
      <c r="K54" s="38" t="s">
        <v>1644</v>
      </c>
      <c r="L54" s="39">
        <v>20870</v>
      </c>
      <c r="M54" s="885"/>
      <c r="N54" s="885"/>
      <c r="P54" s="34"/>
      <c r="Q54" s="13"/>
    </row>
    <row r="55" spans="1:18" ht="18" thickBot="1" x14ac:dyDescent="0.35">
      <c r="A55" s="23"/>
      <c r="B55" s="24"/>
      <c r="C55" s="692"/>
      <c r="D55" s="73"/>
      <c r="E55" s="74"/>
      <c r="F55" s="899"/>
      <c r="G55" s="572"/>
      <c r="H55" s="76"/>
      <c r="I55" s="77"/>
      <c r="J55" s="622">
        <v>44926</v>
      </c>
      <c r="K55" s="804" t="s">
        <v>245</v>
      </c>
      <c r="L55" s="624">
        <v>21746</v>
      </c>
      <c r="M55" s="885"/>
      <c r="N55" s="885"/>
      <c r="P55" s="34"/>
      <c r="Q55" s="13"/>
    </row>
    <row r="56" spans="1:18" ht="18" thickBot="1" x14ac:dyDescent="0.35">
      <c r="A56" s="23"/>
      <c r="B56" s="24"/>
      <c r="C56" s="692"/>
      <c r="D56" s="73"/>
      <c r="E56" s="74"/>
      <c r="F56" s="899"/>
      <c r="G56" s="572"/>
      <c r="H56" s="76"/>
      <c r="I56" s="77"/>
      <c r="J56" s="466">
        <v>44933</v>
      </c>
      <c r="K56" s="805" t="s">
        <v>325</v>
      </c>
      <c r="L56" s="54">
        <v>23615.77</v>
      </c>
      <c r="M56" s="885"/>
      <c r="N56" s="885"/>
      <c r="P56" s="34"/>
      <c r="Q56" s="13"/>
    </row>
    <row r="57" spans="1:18" ht="18" thickBot="1" x14ac:dyDescent="0.35">
      <c r="A57" s="23"/>
      <c r="B57" s="24"/>
      <c r="C57" s="692"/>
      <c r="D57" s="73"/>
      <c r="E57" s="74"/>
      <c r="F57" s="899"/>
      <c r="G57" s="572"/>
      <c r="H57" s="76"/>
      <c r="I57" s="77"/>
      <c r="J57" s="601"/>
      <c r="K57" s="803" t="s">
        <v>7</v>
      </c>
      <c r="L57" s="69"/>
      <c r="M57" s="885"/>
      <c r="N57" s="885"/>
      <c r="P57" s="34"/>
      <c r="Q57" s="13"/>
    </row>
    <row r="58" spans="1:18" ht="18" thickBot="1" x14ac:dyDescent="0.35">
      <c r="A58" s="23"/>
      <c r="B58" s="24"/>
      <c r="C58" s="692"/>
      <c r="D58" s="73"/>
      <c r="E58" s="74"/>
      <c r="F58" s="899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899"/>
      <c r="G59" s="572"/>
      <c r="H59" s="76"/>
      <c r="I59" s="77"/>
      <c r="J59" s="601"/>
      <c r="K59" s="803"/>
      <c r="L59" s="69"/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899"/>
      <c r="G60" s="572"/>
      <c r="H60" s="76"/>
      <c r="I60" s="77"/>
      <c r="J60" s="601"/>
      <c r="K60" s="803"/>
      <c r="L60" s="69"/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899"/>
      <c r="G61" s="572"/>
      <c r="H61" s="76"/>
      <c r="I61" s="77"/>
      <c r="J61" s="601"/>
      <c r="K61" s="803"/>
      <c r="L61" s="69"/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899"/>
      <c r="G62" s="572"/>
      <c r="H62" s="76"/>
      <c r="I62" s="77"/>
      <c r="J62" s="601"/>
      <c r="K62" s="802"/>
      <c r="L62" s="69"/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899"/>
      <c r="G63" s="572"/>
      <c r="H63" s="76"/>
      <c r="I63" s="77"/>
      <c r="J63" s="601"/>
      <c r="K63" s="803"/>
      <c r="L63" s="69"/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899"/>
      <c r="G64" s="572"/>
      <c r="H64" s="76"/>
      <c r="I64" s="77"/>
      <c r="J64" s="601"/>
      <c r="K64" s="802"/>
      <c r="L64" s="69"/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899"/>
      <c r="G65" s="572"/>
      <c r="H65" s="76"/>
      <c r="I65" s="77"/>
      <c r="J65" s="601"/>
      <c r="K65" s="803"/>
      <c r="L65" s="69"/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899"/>
      <c r="G66" s="572"/>
      <c r="H66" s="76"/>
      <c r="I66" s="77"/>
      <c r="J66" s="601"/>
      <c r="K66" s="803"/>
      <c r="L66" s="69"/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899"/>
      <c r="G67" s="572"/>
      <c r="H67" s="76"/>
      <c r="I67" s="77"/>
      <c r="J67" s="601"/>
      <c r="K67" s="671"/>
      <c r="L67" s="69"/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900"/>
      <c r="G68" s="572"/>
      <c r="H68" s="823"/>
      <c r="I68" s="77"/>
      <c r="J68" s="801"/>
      <c r="K68" s="174"/>
      <c r="L68" s="69"/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57"/>
      <c r="K69" s="671"/>
      <c r="L69" s="69"/>
      <c r="M69" s="34"/>
      <c r="N69" s="34"/>
      <c r="P69" s="34"/>
      <c r="Q69" s="13"/>
    </row>
    <row r="70" spans="1:17" ht="16.5" hidden="1" thickBot="1" x14ac:dyDescent="0.3">
      <c r="A70" s="23"/>
      <c r="B70" s="595"/>
      <c r="C70" s="596"/>
      <c r="D70" s="81"/>
      <c r="E70" s="597"/>
      <c r="F70" s="34"/>
      <c r="H70" s="598"/>
      <c r="I70" s="34"/>
      <c r="J70" s="557"/>
      <c r="K70" s="671"/>
      <c r="L70" s="69"/>
      <c r="M70" s="34"/>
      <c r="N70" s="34"/>
      <c r="P70" s="34"/>
      <c r="Q70" s="13"/>
    </row>
    <row r="71" spans="1:17" ht="16.5" hidden="1" thickBot="1" x14ac:dyDescent="0.3">
      <c r="A71" s="23"/>
      <c r="B71" s="595"/>
      <c r="C71" s="596"/>
      <c r="D71" s="81"/>
      <c r="E71" s="597"/>
      <c r="F71" s="34"/>
      <c r="H71" s="598"/>
      <c r="I71" s="34"/>
      <c r="J71" s="557"/>
      <c r="K71" s="671"/>
      <c r="L71" s="69"/>
      <c r="M71" s="34"/>
      <c r="N71" s="34"/>
      <c r="P71" s="34"/>
      <c r="Q71" s="13"/>
    </row>
    <row r="72" spans="1:17" ht="16.5" hidden="1" thickBot="1" x14ac:dyDescent="0.3">
      <c r="A72" s="23"/>
      <c r="B72" s="595"/>
      <c r="C72" s="596"/>
      <c r="D72" s="81"/>
      <c r="E72" s="597"/>
      <c r="F72" s="34"/>
      <c r="H72" s="598"/>
      <c r="I72" s="34"/>
      <c r="J72" s="557"/>
      <c r="K72" s="671"/>
      <c r="L72" s="69"/>
      <c r="M72" s="34"/>
      <c r="N72" s="34"/>
      <c r="P72" s="34"/>
      <c r="Q72" s="13"/>
    </row>
    <row r="73" spans="1:17" ht="16.5" hidden="1" thickBot="1" x14ac:dyDescent="0.3">
      <c r="A73" s="23"/>
      <c r="B73" s="595"/>
      <c r="C73" s="596"/>
      <c r="D73" s="81"/>
      <c r="E73" s="597"/>
      <c r="F73" s="34"/>
      <c r="H73" s="598"/>
      <c r="I73" s="34"/>
      <c r="J73" s="557"/>
      <c r="K73" s="671"/>
      <c r="L73" s="69"/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670"/>
      <c r="K74" s="164"/>
      <c r="L74" s="9"/>
      <c r="M74" s="34"/>
      <c r="N74" s="34"/>
      <c r="P74" s="34"/>
      <c r="Q74" s="13"/>
    </row>
    <row r="75" spans="1:17" ht="16.5" thickBot="1" x14ac:dyDescent="0.3">
      <c r="B75" s="550" t="s">
        <v>8</v>
      </c>
      <c r="C75" s="87">
        <f>SUM(C5:C68)</f>
        <v>679818</v>
      </c>
      <c r="D75" s="88"/>
      <c r="E75" s="91" t="s">
        <v>8</v>
      </c>
      <c r="F75" s="90">
        <f>SUM(F5:F68)</f>
        <v>6318079</v>
      </c>
      <c r="G75" s="573"/>
      <c r="H75" s="91" t="s">
        <v>9</v>
      </c>
      <c r="I75" s="92">
        <f>SUM(I5:I68)</f>
        <v>131980.5</v>
      </c>
      <c r="J75" s="93"/>
      <c r="K75" s="94" t="s">
        <v>10</v>
      </c>
      <c r="L75" s="95">
        <f>SUM(L5:L73)-L26</f>
        <v>332479.27</v>
      </c>
      <c r="M75" s="96"/>
      <c r="N75" s="96"/>
      <c r="P75" s="34"/>
      <c r="Q75" s="13"/>
    </row>
    <row r="76" spans="1:17" ht="16.5" thickTop="1" x14ac:dyDescent="0.25">
      <c r="C76" s="3" t="s">
        <v>7</v>
      </c>
      <c r="P76" s="34"/>
      <c r="Q76" s="13"/>
    </row>
    <row r="77" spans="1:17" ht="18.75" x14ac:dyDescent="0.25">
      <c r="A77" s="98"/>
      <c r="B77" s="99"/>
      <c r="C77" s="1"/>
      <c r="H77" s="921" t="s">
        <v>11</v>
      </c>
      <c r="I77" s="922"/>
      <c r="J77" s="559"/>
      <c r="K77" s="1054">
        <f>I75+L75</f>
        <v>464459.77</v>
      </c>
      <c r="L77" s="1055"/>
      <c r="M77" s="272"/>
      <c r="N77" s="272"/>
      <c r="P77" s="34"/>
      <c r="Q77" s="13"/>
    </row>
    <row r="78" spans="1:17" x14ac:dyDescent="0.25">
      <c r="D78" s="927" t="s">
        <v>12</v>
      </c>
      <c r="E78" s="927"/>
      <c r="F78" s="312">
        <f>F75-K77-C75</f>
        <v>5173801.2300000004</v>
      </c>
      <c r="I78" s="102"/>
      <c r="J78" s="560"/>
    </row>
    <row r="79" spans="1:17" ht="18.75" x14ac:dyDescent="0.3">
      <c r="D79" s="957" t="s">
        <v>95</v>
      </c>
      <c r="E79" s="957"/>
      <c r="F79" s="111">
        <v>-2693794.79</v>
      </c>
      <c r="I79" s="928" t="s">
        <v>13</v>
      </c>
      <c r="J79" s="929"/>
      <c r="K79" s="930">
        <f>F81+F82+F83</f>
        <v>6678913.3900000006</v>
      </c>
      <c r="L79" s="930"/>
      <c r="M79" s="404"/>
      <c r="N79" s="404"/>
      <c r="O79" s="826"/>
      <c r="P79" s="404"/>
      <c r="Q79" s="404"/>
    </row>
    <row r="80" spans="1:17" ht="19.5" thickBot="1" x14ac:dyDescent="0.35">
      <c r="D80" s="313" t="s">
        <v>94</v>
      </c>
      <c r="E80" s="314"/>
      <c r="F80" s="315">
        <v>-137475</v>
      </c>
      <c r="I80" s="105"/>
      <c r="J80" s="106"/>
      <c r="K80" s="571"/>
      <c r="L80" s="154"/>
      <c r="M80" s="404"/>
      <c r="N80" s="404"/>
      <c r="O80" s="826"/>
      <c r="P80" s="404"/>
      <c r="Q80" s="404"/>
    </row>
    <row r="81" spans="2:14" ht="19.5" thickTop="1" x14ac:dyDescent="0.3">
      <c r="C81" s="4" t="s">
        <v>7</v>
      </c>
      <c r="E81" s="98" t="s">
        <v>14</v>
      </c>
      <c r="F81" s="96">
        <f>SUM(F78:F80)</f>
        <v>2342531.4400000004</v>
      </c>
      <c r="H81" s="555"/>
      <c r="I81" s="108" t="s">
        <v>15</v>
      </c>
      <c r="J81" s="109"/>
      <c r="K81" s="1056">
        <f>-C4</f>
        <v>-3445405.07</v>
      </c>
      <c r="L81" s="930"/>
    </row>
    <row r="82" spans="2:14" ht="16.5" thickBot="1" x14ac:dyDescent="0.3">
      <c r="D82" s="110" t="s">
        <v>16</v>
      </c>
      <c r="E82" s="98" t="s">
        <v>17</v>
      </c>
      <c r="F82" s="111">
        <v>323352</v>
      </c>
    </row>
    <row r="83" spans="2:14" ht="20.25" thickTop="1" thickBot="1" x14ac:dyDescent="0.35">
      <c r="C83" s="112">
        <v>44934</v>
      </c>
      <c r="D83" s="910" t="s">
        <v>18</v>
      </c>
      <c r="E83" s="911"/>
      <c r="F83" s="113">
        <v>4013029.95</v>
      </c>
      <c r="I83" s="1084" t="s">
        <v>198</v>
      </c>
      <c r="J83" s="1085"/>
      <c r="K83" s="1086">
        <f>K79+K81</f>
        <v>3233508.3200000008</v>
      </c>
      <c r="L83" s="1086"/>
    </row>
    <row r="84" spans="2:14" ht="17.25" x14ac:dyDescent="0.3">
      <c r="C84" s="114"/>
      <c r="D84" s="115"/>
      <c r="E84" s="98"/>
      <c r="F84" s="117"/>
      <c r="J84" s="118"/>
    </row>
    <row r="85" spans="2:14" ht="20.25" customHeight="1" x14ac:dyDescent="0.25">
      <c r="I85" s="119"/>
      <c r="J85" s="119"/>
      <c r="K85" s="179"/>
      <c r="L85" s="120"/>
    </row>
    <row r="86" spans="2:14" ht="16.5" customHeight="1" x14ac:dyDescent="0.25">
      <c r="B86" s="121"/>
      <c r="C86" s="122"/>
      <c r="D86" s="123"/>
      <c r="E86" s="34"/>
      <c r="I86" s="119"/>
      <c r="J86" s="119"/>
      <c r="K86" s="179"/>
      <c r="L86" s="120"/>
      <c r="M86" s="124"/>
      <c r="N86" s="98"/>
    </row>
    <row r="87" spans="2:14" x14ac:dyDescent="0.25">
      <c r="B87" s="121"/>
      <c r="C87" s="125"/>
      <c r="E87" s="34"/>
      <c r="M87" s="124"/>
      <c r="N87" s="98"/>
    </row>
    <row r="88" spans="2:14" x14ac:dyDescent="0.25">
      <c r="B88" s="121"/>
      <c r="C88" s="125"/>
      <c r="E88" s="34"/>
      <c r="F88" s="126"/>
      <c r="L88" s="127"/>
      <c r="M88" s="1"/>
    </row>
    <row r="89" spans="2:14" x14ac:dyDescent="0.25">
      <c r="B89" s="121"/>
      <c r="C89" s="125"/>
      <c r="E89" s="34"/>
      <c r="M89" s="1"/>
    </row>
    <row r="90" spans="2:14" x14ac:dyDescent="0.25">
      <c r="B90" s="121"/>
      <c r="C90" s="125"/>
      <c r="D90" s="128"/>
      <c r="E90" s="34"/>
      <c r="F90" s="129"/>
      <c r="M90" s="1"/>
    </row>
    <row r="91" spans="2:14" x14ac:dyDescent="0.25">
      <c r="D91" s="128"/>
      <c r="E91" s="130"/>
      <c r="F91" s="34"/>
      <c r="M91" s="1"/>
    </row>
    <row r="92" spans="2:14" x14ac:dyDescent="0.25">
      <c r="D92" s="128"/>
      <c r="E92" s="130"/>
      <c r="F92" s="34"/>
      <c r="M92" s="1"/>
    </row>
    <row r="93" spans="2:14" x14ac:dyDescent="0.25">
      <c r="D93" s="128"/>
      <c r="E93" s="130"/>
      <c r="F93" s="34"/>
      <c r="M93" s="1"/>
    </row>
    <row r="94" spans="2:14" x14ac:dyDescent="0.25">
      <c r="D94" s="128"/>
      <c r="E94" s="130"/>
      <c r="F94" s="34"/>
      <c r="M94" s="1"/>
    </row>
    <row r="95" spans="2:14" x14ac:dyDescent="0.25">
      <c r="D95" s="128"/>
      <c r="E95" s="130"/>
      <c r="F95" s="34"/>
      <c r="M95" s="1"/>
    </row>
    <row r="96" spans="2:14" x14ac:dyDescent="0.25">
      <c r="D96" s="128"/>
      <c r="E96" s="130"/>
      <c r="F96" s="34"/>
      <c r="M96" s="1"/>
    </row>
    <row r="97" spans="4:13" x14ac:dyDescent="0.25">
      <c r="D97" s="128"/>
      <c r="E97" s="130"/>
      <c r="F97" s="34"/>
      <c r="M97" s="1"/>
    </row>
    <row r="98" spans="4:13" x14ac:dyDescent="0.25">
      <c r="D98" s="128"/>
      <c r="E98" s="130"/>
      <c r="F98" s="34"/>
      <c r="M98" s="1"/>
    </row>
    <row r="99" spans="4:13" x14ac:dyDescent="0.25">
      <c r="D99" s="128"/>
      <c r="E99" s="130"/>
      <c r="F99" s="34"/>
      <c r="M99" s="1"/>
    </row>
    <row r="100" spans="4:13" x14ac:dyDescent="0.25">
      <c r="D100" s="128"/>
      <c r="E100" s="130"/>
      <c r="F100" s="34"/>
      <c r="M100" s="1"/>
    </row>
    <row r="101" spans="4:13" x14ac:dyDescent="0.25">
      <c r="D101" s="128"/>
      <c r="E101" s="130"/>
      <c r="F101" s="34"/>
      <c r="M101" s="1"/>
    </row>
    <row r="102" spans="4:13" x14ac:dyDescent="0.25">
      <c r="D102" s="128"/>
      <c r="E102" s="130"/>
      <c r="F102" s="34"/>
    </row>
    <row r="103" spans="4:13" x14ac:dyDescent="0.25">
      <c r="D103" s="128"/>
      <c r="E103" s="554"/>
      <c r="F103" s="129"/>
    </row>
    <row r="104" spans="4:13" x14ac:dyDescent="0.25">
      <c r="D104" s="128"/>
      <c r="E104" s="554"/>
      <c r="F104" s="129"/>
    </row>
    <row r="105" spans="4:13" x14ac:dyDescent="0.25">
      <c r="D105" s="128"/>
      <c r="E105" s="554"/>
      <c r="F105" s="12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30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1107" bestFit="1" customWidth="1"/>
    <col min="6" max="6" width="16.1406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1099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1100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1098">
        <v>44929</v>
      </c>
      <c r="F3" s="307">
        <v>71664.570000000007</v>
      </c>
      <c r="G3" s="410">
        <f>D3-F3</f>
        <v>0</v>
      </c>
      <c r="I3"/>
      <c r="J3"/>
      <c r="K3" s="3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834">
        <v>44929</v>
      </c>
      <c r="F4" s="111">
        <v>67954.600000000006</v>
      </c>
      <c r="G4" s="544">
        <f t="shared" ref="G4:G65" si="0">D4-F4</f>
        <v>0</v>
      </c>
      <c r="H4" s="138"/>
      <c r="I4" s="1092" t="s">
        <v>1656</v>
      </c>
      <c r="J4"/>
      <c r="K4" s="3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834">
        <v>44929</v>
      </c>
      <c r="F5" s="111">
        <v>11186.4</v>
      </c>
      <c r="G5" s="544">
        <f t="shared" si="0"/>
        <v>0</v>
      </c>
      <c r="I5"/>
      <c r="J5"/>
      <c r="K5" s="3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834">
        <v>44929</v>
      </c>
      <c r="F6" s="111">
        <v>146604.18</v>
      </c>
      <c r="G6" s="544">
        <f t="shared" si="0"/>
        <v>0</v>
      </c>
      <c r="I6" s="500" t="s">
        <v>1657</v>
      </c>
      <c r="J6" s="501">
        <v>10971</v>
      </c>
      <c r="K6" s="502">
        <v>9715.2000000000007</v>
      </c>
      <c r="L6" s="732"/>
      <c r="M6" s="349"/>
      <c r="N6" s="137">
        <f t="shared" si="1"/>
        <v>9715.2000000000007</v>
      </c>
    </row>
    <row r="7" spans="2:14" ht="31.5" x14ac:dyDescent="0.25">
      <c r="B7" s="454">
        <v>44897</v>
      </c>
      <c r="C7" s="246" t="s">
        <v>1575</v>
      </c>
      <c r="D7" s="111">
        <v>63814.55</v>
      </c>
      <c r="E7" s="834" t="s">
        <v>1687</v>
      </c>
      <c r="F7" s="111">
        <f>57458.25+6356.3</f>
        <v>63814.55</v>
      </c>
      <c r="G7" s="544">
        <f t="shared" si="0"/>
        <v>0</v>
      </c>
      <c r="I7" s="497" t="s">
        <v>1658</v>
      </c>
      <c r="J7" s="498">
        <v>10974</v>
      </c>
      <c r="K7" s="499">
        <v>360</v>
      </c>
      <c r="L7" s="732"/>
      <c r="M7" s="349"/>
      <c r="N7" s="137">
        <f t="shared" si="1"/>
        <v>10075.200000000001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834">
        <v>44936</v>
      </c>
      <c r="F8" s="111">
        <v>87713.600000000006</v>
      </c>
      <c r="G8" s="544">
        <f t="shared" si="0"/>
        <v>0</v>
      </c>
      <c r="I8" s="497" t="s">
        <v>1659</v>
      </c>
      <c r="J8" s="498">
        <v>10988</v>
      </c>
      <c r="K8" s="499">
        <v>480</v>
      </c>
      <c r="L8" s="732"/>
      <c r="M8" s="349"/>
      <c r="N8" s="137">
        <f t="shared" si="1"/>
        <v>10555.2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834">
        <v>44936</v>
      </c>
      <c r="F9" s="111">
        <v>176506.72</v>
      </c>
      <c r="G9" s="544">
        <f t="shared" si="0"/>
        <v>0</v>
      </c>
      <c r="I9" s="1093" t="s">
        <v>1660</v>
      </c>
      <c r="J9" s="745">
        <v>10994</v>
      </c>
      <c r="K9" s="499">
        <v>0</v>
      </c>
      <c r="L9" s="732"/>
      <c r="M9" s="349"/>
      <c r="N9" s="137">
        <f t="shared" si="1"/>
        <v>10555.2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834">
        <v>44936</v>
      </c>
      <c r="F10" s="111">
        <v>4998</v>
      </c>
      <c r="G10" s="544">
        <f t="shared" si="0"/>
        <v>0</v>
      </c>
      <c r="H10" s="138"/>
      <c r="I10" s="1093" t="s">
        <v>1660</v>
      </c>
      <c r="J10" s="745">
        <v>10997</v>
      </c>
      <c r="K10" s="499">
        <v>31564.400000000001</v>
      </c>
      <c r="L10" s="732"/>
      <c r="M10" s="349"/>
      <c r="N10" s="137">
        <f t="shared" si="1"/>
        <v>42119.600000000006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834">
        <v>44936</v>
      </c>
      <c r="F11" s="111">
        <v>39827.120000000003</v>
      </c>
      <c r="G11" s="544">
        <f t="shared" si="0"/>
        <v>0</v>
      </c>
      <c r="I11" s="1094" t="s">
        <v>1661</v>
      </c>
      <c r="J11" s="748">
        <v>11008</v>
      </c>
      <c r="K11" s="502">
        <v>9163.2000000000007</v>
      </c>
      <c r="L11" s="732"/>
      <c r="M11" s="349"/>
      <c r="N11" s="137">
        <f t="shared" si="1"/>
        <v>51282.8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834">
        <v>44936</v>
      </c>
      <c r="F12" s="111">
        <v>1600</v>
      </c>
      <c r="G12" s="544">
        <f t="shared" si="0"/>
        <v>0</v>
      </c>
      <c r="I12" s="1094" t="s">
        <v>1662</v>
      </c>
      <c r="J12" s="748">
        <v>11012</v>
      </c>
      <c r="K12" s="502">
        <v>720</v>
      </c>
      <c r="L12" s="732"/>
      <c r="M12" s="349"/>
      <c r="N12" s="137">
        <f t="shared" si="1"/>
        <v>52002.8</v>
      </c>
    </row>
    <row r="13" spans="2:14" ht="31.5" x14ac:dyDescent="0.25">
      <c r="B13" s="454">
        <v>44902</v>
      </c>
      <c r="C13" s="246" t="s">
        <v>1581</v>
      </c>
      <c r="D13" s="111">
        <v>115923</v>
      </c>
      <c r="E13" s="834" t="s">
        <v>1688</v>
      </c>
      <c r="F13" s="111">
        <f>94678.76+21244.24</f>
        <v>115923</v>
      </c>
      <c r="G13" s="544">
        <f t="shared" si="0"/>
        <v>0</v>
      </c>
      <c r="I13" s="1094" t="s">
        <v>1663</v>
      </c>
      <c r="J13" s="748">
        <v>11022</v>
      </c>
      <c r="K13" s="502">
        <v>15044.4</v>
      </c>
      <c r="L13" s="732"/>
      <c r="M13" s="349"/>
      <c r="N13" s="137">
        <f t="shared" si="1"/>
        <v>67047.199999999997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834">
        <v>44940</v>
      </c>
      <c r="F14" s="111">
        <v>117408.92</v>
      </c>
      <c r="G14" s="544">
        <f t="shared" si="0"/>
        <v>0</v>
      </c>
      <c r="I14" s="1094" t="s">
        <v>1664</v>
      </c>
      <c r="J14" s="748">
        <v>11035</v>
      </c>
      <c r="K14" s="502">
        <v>360</v>
      </c>
      <c r="L14" s="732"/>
      <c r="M14" s="349"/>
      <c r="N14" s="137">
        <f t="shared" si="1"/>
        <v>67407.199999999997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834">
        <v>44940</v>
      </c>
      <c r="F15" s="111">
        <v>23339.54</v>
      </c>
      <c r="G15" s="544">
        <f t="shared" si="0"/>
        <v>0</v>
      </c>
      <c r="I15" s="1094" t="s">
        <v>1665</v>
      </c>
      <c r="J15" s="748">
        <v>11038</v>
      </c>
      <c r="K15" s="502">
        <v>480</v>
      </c>
      <c r="L15" s="732"/>
      <c r="M15" s="349"/>
      <c r="N15" s="137">
        <f t="shared" si="1"/>
        <v>67887.199999999997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834">
        <v>44940</v>
      </c>
      <c r="F16" s="111">
        <v>12306.1</v>
      </c>
      <c r="G16" s="544">
        <f t="shared" si="0"/>
        <v>0</v>
      </c>
      <c r="I16" s="1093" t="s">
        <v>1666</v>
      </c>
      <c r="J16" s="745">
        <v>11045</v>
      </c>
      <c r="K16" s="499">
        <v>480</v>
      </c>
      <c r="L16" s="732"/>
      <c r="M16" s="349"/>
      <c r="N16" s="137">
        <f t="shared" si="1"/>
        <v>68367.199999999997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834">
        <v>44940</v>
      </c>
      <c r="F17" s="111">
        <v>5161.1000000000004</v>
      </c>
      <c r="G17" s="544">
        <f t="shared" si="0"/>
        <v>0</v>
      </c>
      <c r="I17" s="1093" t="s">
        <v>1667</v>
      </c>
      <c r="J17" s="745">
        <v>11057</v>
      </c>
      <c r="K17" s="499">
        <v>9804</v>
      </c>
      <c r="L17" s="732"/>
      <c r="M17" s="349"/>
      <c r="N17" s="137">
        <f t="shared" si="1"/>
        <v>78171.199999999997</v>
      </c>
    </row>
    <row r="18" spans="2:14" ht="31.5" x14ac:dyDescent="0.25">
      <c r="B18" s="454">
        <v>44905</v>
      </c>
      <c r="C18" s="246" t="s">
        <v>1586</v>
      </c>
      <c r="D18" s="111">
        <v>46446.26</v>
      </c>
      <c r="E18" s="834" t="s">
        <v>1689</v>
      </c>
      <c r="F18" s="111">
        <f>40354.6+6091.66</f>
        <v>46446.259999999995</v>
      </c>
      <c r="G18" s="544">
        <f t="shared" si="0"/>
        <v>0</v>
      </c>
      <c r="I18" s="1094" t="s">
        <v>1668</v>
      </c>
      <c r="J18" s="748">
        <v>11074</v>
      </c>
      <c r="K18" s="502">
        <v>5160</v>
      </c>
      <c r="L18" s="732"/>
      <c r="M18" s="349"/>
      <c r="N18" s="137">
        <f t="shared" si="1"/>
        <v>83331.199999999997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834">
        <v>44945</v>
      </c>
      <c r="F19" s="111">
        <v>12336.7</v>
      </c>
      <c r="G19" s="544">
        <f t="shared" si="0"/>
        <v>0</v>
      </c>
      <c r="I19" s="1093" t="s">
        <v>1669</v>
      </c>
      <c r="J19" s="745">
        <v>11083</v>
      </c>
      <c r="K19" s="499">
        <v>480</v>
      </c>
      <c r="L19" s="732"/>
      <c r="M19" s="349"/>
      <c r="N19" s="137">
        <f t="shared" si="1"/>
        <v>83811.199999999997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834">
        <v>44945</v>
      </c>
      <c r="F20" s="111">
        <v>34531.5</v>
      </c>
      <c r="G20" s="544">
        <f t="shared" si="0"/>
        <v>0</v>
      </c>
      <c r="I20" s="1094" t="s">
        <v>1670</v>
      </c>
      <c r="J20" s="748">
        <v>11096</v>
      </c>
      <c r="K20" s="502">
        <v>480</v>
      </c>
      <c r="L20" s="732"/>
      <c r="M20" s="706"/>
      <c r="N20" s="137">
        <f t="shared" si="1"/>
        <v>84291.199999999997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834">
        <v>44945</v>
      </c>
      <c r="F21" s="111">
        <v>178202.74</v>
      </c>
      <c r="G21" s="544">
        <f t="shared" si="0"/>
        <v>0</v>
      </c>
      <c r="I21" s="1093" t="s">
        <v>1671</v>
      </c>
      <c r="J21" s="745">
        <v>11111</v>
      </c>
      <c r="K21" s="499">
        <v>9592.7999999999993</v>
      </c>
      <c r="L21" s="732"/>
      <c r="M21" s="706"/>
      <c r="N21" s="137">
        <f t="shared" si="1"/>
        <v>93884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834">
        <v>44945</v>
      </c>
      <c r="F22" s="111">
        <v>7436</v>
      </c>
      <c r="G22" s="544">
        <f t="shared" si="0"/>
        <v>0</v>
      </c>
      <c r="H22" s="644"/>
      <c r="I22" s="1094" t="s">
        <v>1672</v>
      </c>
      <c r="J22" s="748">
        <v>11124</v>
      </c>
      <c r="K22" s="502">
        <v>1500</v>
      </c>
      <c r="L22" s="732"/>
      <c r="M22" s="706"/>
      <c r="N22" s="137">
        <f t="shared" si="1"/>
        <v>95384</v>
      </c>
    </row>
    <row r="23" spans="2:14" ht="31.5" x14ac:dyDescent="0.25">
      <c r="B23" s="454">
        <v>44910</v>
      </c>
      <c r="C23" s="246" t="s">
        <v>1591</v>
      </c>
      <c r="D23" s="111">
        <v>63697.919999999998</v>
      </c>
      <c r="E23" s="834" t="s">
        <v>1690</v>
      </c>
      <c r="F23" s="111">
        <f>49030.4+14667.52</f>
        <v>63697.919999999998</v>
      </c>
      <c r="G23" s="544">
        <f t="shared" si="0"/>
        <v>0</v>
      </c>
      <c r="H23" s="2"/>
      <c r="I23" s="1094" t="s">
        <v>1673</v>
      </c>
      <c r="J23" s="748">
        <v>11134</v>
      </c>
      <c r="K23" s="502">
        <v>12548.6</v>
      </c>
      <c r="L23" s="412"/>
      <c r="M23" s="111"/>
      <c r="N23" s="137">
        <f t="shared" si="1"/>
        <v>107932.6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834">
        <v>44950</v>
      </c>
      <c r="F24" s="111">
        <v>7062</v>
      </c>
      <c r="G24" s="544">
        <f t="shared" si="0"/>
        <v>0</v>
      </c>
      <c r="H24" s="2"/>
      <c r="I24" s="1094" t="s">
        <v>1674</v>
      </c>
      <c r="J24" s="748">
        <v>11142</v>
      </c>
      <c r="K24" s="502">
        <v>1760</v>
      </c>
      <c r="L24" s="412"/>
      <c r="M24" s="111"/>
      <c r="N24" s="137">
        <f t="shared" si="1"/>
        <v>109692.6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834">
        <v>44950</v>
      </c>
      <c r="F25" s="111">
        <v>30339.26</v>
      </c>
      <c r="G25" s="544">
        <f t="shared" si="0"/>
        <v>0</v>
      </c>
      <c r="H25" s="645"/>
      <c r="I25" s="1093" t="s">
        <v>1675</v>
      </c>
      <c r="J25" s="745">
        <v>11167</v>
      </c>
      <c r="K25" s="499">
        <v>360</v>
      </c>
      <c r="L25" s="412"/>
      <c r="M25" s="111"/>
      <c r="N25" s="137">
        <f t="shared" si="1"/>
        <v>110052.6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834">
        <v>44950</v>
      </c>
      <c r="F26" s="111">
        <v>150530.4</v>
      </c>
      <c r="G26" s="544">
        <f t="shared" si="0"/>
        <v>0</v>
      </c>
      <c r="H26" s="645"/>
      <c r="I26" s="1094" t="s">
        <v>1675</v>
      </c>
      <c r="J26" s="748">
        <v>11171</v>
      </c>
      <c r="K26" s="502">
        <v>14842.8</v>
      </c>
      <c r="L26" s="412"/>
      <c r="M26" s="111"/>
      <c r="N26" s="137">
        <f t="shared" si="1"/>
        <v>124895.40000000001</v>
      </c>
    </row>
    <row r="27" spans="2:14" ht="31.5" x14ac:dyDescent="0.25">
      <c r="B27" s="454">
        <v>44912</v>
      </c>
      <c r="C27" s="246" t="s">
        <v>1595</v>
      </c>
      <c r="D27" s="111">
        <v>133820.34</v>
      </c>
      <c r="E27" s="834" t="s">
        <v>1691</v>
      </c>
      <c r="F27" s="111">
        <f>53160.32+80660.02</f>
        <v>133820.34</v>
      </c>
      <c r="G27" s="544">
        <f t="shared" si="0"/>
        <v>0</v>
      </c>
      <c r="H27" s="645"/>
      <c r="I27" s="1094" t="s">
        <v>1676</v>
      </c>
      <c r="J27" s="748">
        <v>11198</v>
      </c>
      <c r="K27" s="502">
        <v>2380</v>
      </c>
      <c r="L27" s="412"/>
      <c r="M27" s="111"/>
      <c r="N27" s="137">
        <f t="shared" si="1"/>
        <v>127275.40000000001</v>
      </c>
    </row>
    <row r="28" spans="2:14" ht="31.5" x14ac:dyDescent="0.25">
      <c r="B28" s="454">
        <v>44912</v>
      </c>
      <c r="C28" s="246" t="s">
        <v>1596</v>
      </c>
      <c r="D28" s="111">
        <v>43916.800000000003</v>
      </c>
      <c r="E28" s="834" t="s">
        <v>1692</v>
      </c>
      <c r="F28" s="111">
        <f>8503.98+35412.82</f>
        <v>43916.800000000003</v>
      </c>
      <c r="G28" s="544">
        <f t="shared" si="0"/>
        <v>0</v>
      </c>
      <c r="H28" s="645"/>
      <c r="I28" s="1093" t="s">
        <v>1677</v>
      </c>
      <c r="J28" s="745">
        <v>11206</v>
      </c>
      <c r="K28" s="499">
        <v>480</v>
      </c>
      <c r="L28" s="412"/>
      <c r="M28" s="111"/>
      <c r="N28" s="137">
        <f t="shared" si="1"/>
        <v>127755.40000000001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834">
        <v>44957</v>
      </c>
      <c r="F29" s="111">
        <v>12678.8</v>
      </c>
      <c r="G29" s="544">
        <f t="shared" si="0"/>
        <v>0</v>
      </c>
      <c r="H29" s="645"/>
      <c r="I29" s="1093" t="s">
        <v>1677</v>
      </c>
      <c r="J29" s="745">
        <v>11207</v>
      </c>
      <c r="K29" s="499">
        <v>9239.7999999999993</v>
      </c>
      <c r="L29" s="412"/>
      <c r="M29" s="111"/>
      <c r="N29" s="137">
        <f t="shared" si="1"/>
        <v>136995.20000000001</v>
      </c>
    </row>
    <row r="30" spans="2:14" ht="31.5" x14ac:dyDescent="0.25">
      <c r="B30" s="454">
        <v>44914</v>
      </c>
      <c r="C30" s="246" t="s">
        <v>1598</v>
      </c>
      <c r="D30" s="111">
        <v>82311.899999999994</v>
      </c>
      <c r="E30" s="834" t="s">
        <v>1694</v>
      </c>
      <c r="F30" s="111">
        <f>53579.38+28732.52</f>
        <v>82311.899999999994</v>
      </c>
      <c r="G30" s="544">
        <f t="shared" si="0"/>
        <v>0</v>
      </c>
      <c r="H30" s="645"/>
      <c r="I30" s="1094" t="s">
        <v>1678</v>
      </c>
      <c r="J30" s="748">
        <v>11218</v>
      </c>
      <c r="K30" s="502">
        <v>480</v>
      </c>
      <c r="L30" s="412"/>
      <c r="M30" s="111"/>
      <c r="N30" s="137">
        <f t="shared" si="1"/>
        <v>137475.20000000001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834">
        <v>44960</v>
      </c>
      <c r="F31" s="111">
        <v>134218.38</v>
      </c>
      <c r="G31" s="544">
        <f t="shared" si="0"/>
        <v>0</v>
      </c>
      <c r="H31" s="2"/>
      <c r="I31"/>
      <c r="J31"/>
      <c r="K31" s="3">
        <v>0</v>
      </c>
      <c r="L31" s="412"/>
      <c r="M31" s="111"/>
      <c r="N31" s="137">
        <f t="shared" si="1"/>
        <v>137475.20000000001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834" t="s">
        <v>1693</v>
      </c>
      <c r="F32" s="111">
        <f>76812.1</f>
        <v>76812.100000000006</v>
      </c>
      <c r="G32" s="544">
        <f t="shared" si="0"/>
        <v>120258.5</v>
      </c>
      <c r="H32" s="2"/>
      <c r="I32"/>
      <c r="J32"/>
      <c r="K32" s="3">
        <v>0</v>
      </c>
      <c r="L32" s="412"/>
      <c r="M32" s="111"/>
      <c r="N32" s="137">
        <f t="shared" si="1"/>
        <v>137475.20000000001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834"/>
      <c r="F33" s="111"/>
      <c r="G33" s="544">
        <f t="shared" si="0"/>
        <v>41423</v>
      </c>
      <c r="I33"/>
      <c r="J33"/>
      <c r="K33" s="3">
        <v>0</v>
      </c>
      <c r="L33" s="412"/>
      <c r="M33" s="111"/>
      <c r="N33" s="137">
        <f t="shared" si="1"/>
        <v>137475.20000000001</v>
      </c>
    </row>
    <row r="34" spans="2:14" ht="18.75" x14ac:dyDescent="0.3">
      <c r="B34" s="454">
        <v>44917</v>
      </c>
      <c r="C34" s="246" t="s">
        <v>1602</v>
      </c>
      <c r="D34" s="111">
        <v>223573.03</v>
      </c>
      <c r="E34" s="834"/>
      <c r="F34" s="111"/>
      <c r="G34" s="544">
        <f t="shared" si="0"/>
        <v>223573.03</v>
      </c>
      <c r="I34"/>
      <c r="J34"/>
      <c r="K34" s="154"/>
      <c r="L34" s="412"/>
      <c r="M34" s="111"/>
      <c r="N34" s="137">
        <f t="shared" si="1"/>
        <v>137475.20000000001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834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137475.20000000001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834"/>
      <c r="F36" s="111"/>
      <c r="G36" s="544">
        <f t="shared" si="0"/>
        <v>207942.8</v>
      </c>
      <c r="I36" s="1089"/>
      <c r="J36" s="1090"/>
      <c r="K36" s="1090"/>
      <c r="L36" s="1091"/>
      <c r="M36" s="111"/>
      <c r="N36" s="137">
        <f t="shared" si="1"/>
        <v>137475.20000000001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834"/>
      <c r="F37" s="111"/>
      <c r="G37" s="544">
        <f t="shared" si="0"/>
        <v>54948.76</v>
      </c>
      <c r="I37" s="1089"/>
      <c r="J37" s="1090"/>
      <c r="K37" s="1090"/>
      <c r="L37" s="1091"/>
      <c r="M37" s="111"/>
      <c r="N37" s="137">
        <f t="shared" si="1"/>
        <v>137475.20000000001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834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137475.20000000001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1101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137475.20000000001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1101"/>
      <c r="F40" s="69"/>
      <c r="G40" s="111">
        <f t="shared" si="0"/>
        <v>22292</v>
      </c>
      <c r="I40" s="1014" t="s">
        <v>594</v>
      </c>
      <c r="J40" s="1015"/>
      <c r="K40" s="69"/>
      <c r="L40" s="253"/>
      <c r="M40" s="69"/>
      <c r="N40" s="137">
        <f t="shared" si="1"/>
        <v>137475.20000000001</v>
      </c>
    </row>
    <row r="41" spans="2:14" ht="15.75" x14ac:dyDescent="0.25">
      <c r="B41" s="830"/>
      <c r="C41" s="831"/>
      <c r="D41" s="832"/>
      <c r="E41" s="1101"/>
      <c r="F41" s="69"/>
      <c r="G41" s="111">
        <f t="shared" si="0"/>
        <v>0</v>
      </c>
      <c r="I41" s="1016"/>
      <c r="J41" s="1017"/>
      <c r="K41" s="69"/>
      <c r="L41" s="253"/>
      <c r="M41" s="69"/>
      <c r="N41" s="137">
        <f t="shared" si="1"/>
        <v>137475.20000000001</v>
      </c>
    </row>
    <row r="42" spans="2:14" ht="15.75" x14ac:dyDescent="0.25">
      <c r="B42" s="830"/>
      <c r="C42" s="831"/>
      <c r="D42" s="832"/>
      <c r="E42" s="1101"/>
      <c r="F42" s="69"/>
      <c r="G42" s="111">
        <f t="shared" si="0"/>
        <v>0</v>
      </c>
      <c r="I42" s="1018"/>
      <c r="J42" s="1019"/>
      <c r="K42" s="69"/>
      <c r="L42" s="253"/>
      <c r="M42" s="69"/>
      <c r="N42" s="137">
        <f t="shared" si="1"/>
        <v>137475.20000000001</v>
      </c>
    </row>
    <row r="43" spans="2:14" ht="15.75" x14ac:dyDescent="0.25">
      <c r="B43" s="667"/>
      <c r="C43" s="668"/>
      <c r="D43" s="111"/>
      <c r="E43" s="1101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137475.20000000001</v>
      </c>
    </row>
    <row r="44" spans="2:14" ht="15.75" x14ac:dyDescent="0.25">
      <c r="B44" s="669"/>
      <c r="C44" s="668"/>
      <c r="D44" s="111"/>
      <c r="E44" s="1101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137475.20000000001</v>
      </c>
    </row>
    <row r="45" spans="2:14" ht="15.75" x14ac:dyDescent="0.25">
      <c r="B45" s="669"/>
      <c r="C45" s="668"/>
      <c r="D45" s="111"/>
      <c r="E45" s="1101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137475.20000000001</v>
      </c>
    </row>
    <row r="46" spans="2:14" ht="15.75" x14ac:dyDescent="0.25">
      <c r="B46" s="666"/>
      <c r="C46" s="664"/>
      <c r="D46" s="69"/>
      <c r="E46" s="1101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137475.20000000001</v>
      </c>
    </row>
    <row r="47" spans="2:14" ht="15.75" x14ac:dyDescent="0.25">
      <c r="B47" s="134"/>
      <c r="C47" s="664"/>
      <c r="D47" s="69"/>
      <c r="E47" s="1101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137475.20000000001</v>
      </c>
    </row>
    <row r="48" spans="2:14" ht="15.75" x14ac:dyDescent="0.25">
      <c r="B48" s="134"/>
      <c r="C48" s="664"/>
      <c r="D48" s="69"/>
      <c r="E48" s="1101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137475.20000000001</v>
      </c>
    </row>
    <row r="49" spans="2:14" ht="15.75" hidden="1" x14ac:dyDescent="0.25">
      <c r="B49" s="134"/>
      <c r="C49" s="665"/>
      <c r="D49" s="69"/>
      <c r="E49" s="1101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137475.20000000001</v>
      </c>
    </row>
    <row r="50" spans="2:14" ht="15.75" hidden="1" x14ac:dyDescent="0.25">
      <c r="B50" s="134"/>
      <c r="C50" s="139"/>
      <c r="D50" s="69"/>
      <c r="E50" s="1102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137475.20000000001</v>
      </c>
    </row>
    <row r="51" spans="2:14" ht="15.75" hidden="1" x14ac:dyDescent="0.25">
      <c r="B51" s="134"/>
      <c r="C51" s="139"/>
      <c r="D51" s="69"/>
      <c r="E51" s="1102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137475.20000000001</v>
      </c>
    </row>
    <row r="52" spans="2:14" ht="15.75" hidden="1" x14ac:dyDescent="0.25">
      <c r="B52" s="134"/>
      <c r="C52" s="139"/>
      <c r="D52" s="69"/>
      <c r="E52" s="1102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137475.20000000001</v>
      </c>
    </row>
    <row r="53" spans="2:14" ht="15.75" hidden="1" x14ac:dyDescent="0.25">
      <c r="B53" s="134"/>
      <c r="C53" s="139"/>
      <c r="D53" s="69"/>
      <c r="E53" s="1102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137475.20000000001</v>
      </c>
    </row>
    <row r="54" spans="2:14" ht="15.75" hidden="1" x14ac:dyDescent="0.25">
      <c r="B54" s="134"/>
      <c r="C54" s="139"/>
      <c r="D54" s="69"/>
      <c r="E54" s="1102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137475.20000000001</v>
      </c>
    </row>
    <row r="55" spans="2:14" ht="15.75" hidden="1" x14ac:dyDescent="0.25">
      <c r="B55" s="356"/>
      <c r="C55" s="357"/>
      <c r="D55" s="34"/>
      <c r="E55" s="1103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137475.20000000001</v>
      </c>
    </row>
    <row r="56" spans="2:14" ht="15.75" hidden="1" x14ac:dyDescent="0.25">
      <c r="B56" s="134"/>
      <c r="C56" s="139"/>
      <c r="D56" s="69"/>
      <c r="E56" s="1102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137475.20000000001</v>
      </c>
    </row>
    <row r="57" spans="2:14" ht="15.75" hidden="1" x14ac:dyDescent="0.25">
      <c r="B57" s="134"/>
      <c r="C57" s="139"/>
      <c r="D57" s="69"/>
      <c r="E57" s="1102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137475.20000000001</v>
      </c>
    </row>
    <row r="58" spans="2:14" ht="15.75" hidden="1" x14ac:dyDescent="0.25">
      <c r="B58" s="134"/>
      <c r="C58" s="139"/>
      <c r="D58" s="69"/>
      <c r="E58" s="1102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137475.20000000001</v>
      </c>
    </row>
    <row r="59" spans="2:14" ht="15.75" hidden="1" x14ac:dyDescent="0.25">
      <c r="B59" s="134"/>
      <c r="C59" s="139"/>
      <c r="D59" s="69"/>
      <c r="E59" s="1102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137475.20000000001</v>
      </c>
    </row>
    <row r="60" spans="2:14" ht="15.75" hidden="1" x14ac:dyDescent="0.25">
      <c r="B60" s="134"/>
      <c r="C60" s="139"/>
      <c r="D60" s="69"/>
      <c r="E60" s="1102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137475.20000000001</v>
      </c>
    </row>
    <row r="61" spans="2:14" ht="15.75" hidden="1" x14ac:dyDescent="0.25">
      <c r="B61" s="134"/>
      <c r="C61" s="139"/>
      <c r="D61" s="69"/>
      <c r="E61" s="1102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137475.20000000001</v>
      </c>
    </row>
    <row r="62" spans="2:14" ht="15.75" hidden="1" x14ac:dyDescent="0.25">
      <c r="B62" s="134"/>
      <c r="C62" s="139"/>
      <c r="D62" s="69"/>
      <c r="E62" s="1102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137475.20000000001</v>
      </c>
    </row>
    <row r="63" spans="2:14" ht="15.75" hidden="1" x14ac:dyDescent="0.25">
      <c r="B63" s="134"/>
      <c r="C63" s="139"/>
      <c r="D63" s="69"/>
      <c r="E63" s="1102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137475.20000000001</v>
      </c>
    </row>
    <row r="64" spans="2:14" ht="15.75" hidden="1" x14ac:dyDescent="0.25">
      <c r="B64" s="134"/>
      <c r="C64" s="139"/>
      <c r="D64" s="69"/>
      <c r="E64" s="1102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137475.20000000001</v>
      </c>
    </row>
    <row r="65" spans="2:14" ht="15.75" hidden="1" x14ac:dyDescent="0.25">
      <c r="B65" s="134"/>
      <c r="C65" s="139"/>
      <c r="D65" s="69"/>
      <c r="E65" s="1102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137475.20000000001</v>
      </c>
    </row>
    <row r="66" spans="2:14" ht="16.5" thickBot="1" x14ac:dyDescent="0.3">
      <c r="B66" s="149"/>
      <c r="C66" s="210"/>
      <c r="D66" s="34">
        <v>0</v>
      </c>
      <c r="E66" s="1104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1105"/>
      <c r="F67" s="395">
        <f>SUM(F3:F66)</f>
        <v>1960349.5</v>
      </c>
      <c r="G67" s="153">
        <f>SUM(G3:G66)</f>
        <v>733445.29000000015</v>
      </c>
      <c r="I67" s="1010" t="s">
        <v>594</v>
      </c>
      <c r="J67" s="1011"/>
      <c r="K67" s="642">
        <f>SUM(K3:K66)</f>
        <v>137475.20000000001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1106"/>
      <c r="F68" s="3"/>
      <c r="G68" s="972" t="s">
        <v>207</v>
      </c>
      <c r="I68" s="1012"/>
      <c r="J68" s="1013"/>
      <c r="K68" s="1"/>
      <c r="L68" s="256"/>
      <c r="M68" s="3"/>
      <c r="N68" s="1"/>
    </row>
    <row r="69" spans="2:14" x14ac:dyDescent="0.25">
      <c r="C69" s="163"/>
      <c r="D69" s="1"/>
      <c r="E69" s="1106"/>
      <c r="F69" s="3"/>
      <c r="G69" s="97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>
        <v>354868.5</v>
      </c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4">
        <v>411680.5</v>
      </c>
      <c r="E72" s="1108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4">
        <v>219814.5</v>
      </c>
      <c r="E73" s="1108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>
        <v>287629</v>
      </c>
      <c r="E74" s="1108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>
        <v>255759.5</v>
      </c>
      <c r="E75" s="1108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>
        <v>89164</v>
      </c>
      <c r="E76" s="1108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>
        <v>101671</v>
      </c>
      <c r="E77" s="1108"/>
      <c r="I77"/>
      <c r="J77"/>
      <c r="K77"/>
      <c r="M77"/>
      <c r="N77"/>
    </row>
    <row r="78" spans="2:14" ht="15.75" x14ac:dyDescent="0.25">
      <c r="C78" s="194"/>
      <c r="D78" s="233">
        <v>239762.5</v>
      </c>
      <c r="E78" s="1108"/>
      <c r="I78"/>
      <c r="J78"/>
      <c r="K78"/>
      <c r="M78"/>
      <c r="N78"/>
    </row>
    <row r="79" spans="2:14" ht="15.75" x14ac:dyDescent="0.25">
      <c r="C79" s="194"/>
      <c r="D79" s="233">
        <v>0</v>
      </c>
      <c r="E79" s="1108"/>
      <c r="I79"/>
      <c r="J79"/>
      <c r="K79"/>
      <c r="M79"/>
      <c r="N79"/>
    </row>
    <row r="80" spans="2:14" ht="15.75" x14ac:dyDescent="0.25">
      <c r="C80" s="194"/>
      <c r="D80" s="233">
        <v>0</v>
      </c>
      <c r="E80" s="1108"/>
      <c r="I80"/>
      <c r="J80"/>
      <c r="K80"/>
      <c r="M80"/>
      <c r="N80"/>
    </row>
    <row r="81" spans="3:14" ht="15.75" x14ac:dyDescent="0.25">
      <c r="C81" s="194"/>
      <c r="D81" s="233">
        <v>0</v>
      </c>
      <c r="E81" s="1108"/>
      <c r="I81"/>
      <c r="J81"/>
      <c r="K81"/>
      <c r="M81"/>
      <c r="N81"/>
    </row>
    <row r="82" spans="3:14" ht="15.75" x14ac:dyDescent="0.25">
      <c r="C82" s="194"/>
      <c r="D82" s="233">
        <v>0</v>
      </c>
      <c r="E82" s="1108"/>
      <c r="I82"/>
      <c r="J82"/>
      <c r="K82"/>
      <c r="M82"/>
      <c r="N82"/>
    </row>
    <row r="83" spans="3:14" ht="15.75" x14ac:dyDescent="0.25">
      <c r="C83" s="194"/>
      <c r="D83" s="233">
        <v>0</v>
      </c>
      <c r="E83" s="1108"/>
      <c r="I83"/>
      <c r="J83"/>
      <c r="K83"/>
      <c r="M83"/>
      <c r="N83"/>
    </row>
    <row r="84" spans="3:14" ht="15.75" x14ac:dyDescent="0.25">
      <c r="C84" s="194"/>
      <c r="D84" s="233">
        <v>0</v>
      </c>
      <c r="E84" s="1108"/>
      <c r="I84"/>
      <c r="J84"/>
      <c r="K84"/>
      <c r="M84"/>
      <c r="N84"/>
    </row>
    <row r="85" spans="3:14" ht="15.75" x14ac:dyDescent="0.25">
      <c r="C85" s="194"/>
      <c r="D85" s="233">
        <v>0</v>
      </c>
      <c r="E85" s="1108"/>
      <c r="I85"/>
      <c r="J85"/>
      <c r="K85"/>
      <c r="M85"/>
      <c r="N85"/>
    </row>
    <row r="86" spans="3:14" ht="15.75" x14ac:dyDescent="0.25">
      <c r="C86" s="194"/>
      <c r="D86" s="233">
        <v>0</v>
      </c>
      <c r="E86" s="1108"/>
      <c r="I86"/>
      <c r="J86"/>
      <c r="K86"/>
      <c r="M86"/>
      <c r="N86"/>
    </row>
    <row r="87" spans="3:14" ht="15.75" x14ac:dyDescent="0.25">
      <c r="C87" s="194"/>
      <c r="D87" s="233">
        <f>SUM(D71:D86)</f>
        <v>1960349.5</v>
      </c>
      <c r="E87" s="1108"/>
      <c r="I87"/>
      <c r="J87"/>
      <c r="K87"/>
      <c r="M87"/>
      <c r="N87"/>
    </row>
    <row r="88" spans="3:14" ht="15.75" x14ac:dyDescent="0.25">
      <c r="C88" s="116"/>
      <c r="D88" s="233"/>
      <c r="E88" s="1108"/>
      <c r="I88"/>
      <c r="J88"/>
      <c r="K88"/>
      <c r="M88"/>
      <c r="N88"/>
    </row>
    <row r="89" spans="3:14" ht="15.75" x14ac:dyDescent="0.25">
      <c r="C89" s="116"/>
      <c r="D89" s="233"/>
      <c r="E89" s="1108"/>
      <c r="I89"/>
      <c r="J89"/>
      <c r="K89"/>
      <c r="M89"/>
      <c r="N89"/>
    </row>
    <row r="90" spans="3:14" ht="15.75" x14ac:dyDescent="0.25">
      <c r="C90" s="116"/>
      <c r="D90" s="233"/>
      <c r="E90" s="1108"/>
      <c r="I90"/>
      <c r="J90"/>
      <c r="K90"/>
      <c r="M90"/>
      <c r="N90"/>
    </row>
    <row r="91" spans="3:14" ht="15.75" x14ac:dyDescent="0.25">
      <c r="C91" s="116"/>
      <c r="D91" s="233"/>
      <c r="E91" s="1108"/>
      <c r="I91"/>
      <c r="J91"/>
      <c r="K91"/>
      <c r="M91"/>
      <c r="N91"/>
    </row>
    <row r="92" spans="3:14" ht="15.75" x14ac:dyDescent="0.25">
      <c r="C92" s="116"/>
      <c r="D92" s="233"/>
      <c r="E92" s="1108"/>
      <c r="I92"/>
      <c r="J92"/>
      <c r="K92"/>
      <c r="M92"/>
      <c r="N92"/>
    </row>
    <row r="93" spans="3:14" ht="15.75" x14ac:dyDescent="0.25">
      <c r="C93" s="116"/>
      <c r="D93" s="233"/>
      <c r="E93" s="1108"/>
      <c r="I93"/>
      <c r="J93"/>
      <c r="K93"/>
      <c r="M93"/>
      <c r="N93"/>
    </row>
    <row r="94" spans="3:14" ht="15.75" x14ac:dyDescent="0.25">
      <c r="C94" s="116"/>
      <c r="D94" s="233"/>
      <c r="E94" s="1108"/>
      <c r="I94"/>
      <c r="J94"/>
      <c r="K94"/>
      <c r="M94"/>
      <c r="N94"/>
    </row>
    <row r="95" spans="3:14" ht="15.75" x14ac:dyDescent="0.25">
      <c r="C95" s="116"/>
      <c r="D95" s="233"/>
      <c r="E95" s="1108"/>
      <c r="I95"/>
      <c r="J95"/>
      <c r="K95"/>
      <c r="M95"/>
      <c r="N95"/>
    </row>
    <row r="96" spans="3:14" ht="15.75" x14ac:dyDescent="0.25">
      <c r="C96" s="116"/>
      <c r="D96" s="233"/>
      <c r="E96" s="1108"/>
      <c r="I96"/>
      <c r="J96"/>
      <c r="K96"/>
      <c r="M96"/>
      <c r="N96"/>
    </row>
    <row r="97" spans="3:14" ht="15.75" x14ac:dyDescent="0.25">
      <c r="C97" s="116"/>
      <c r="D97" s="233"/>
      <c r="E97" s="1108"/>
      <c r="I97"/>
      <c r="J97"/>
      <c r="K97"/>
      <c r="M97"/>
      <c r="N97"/>
    </row>
    <row r="98" spans="3:14" ht="15.75" x14ac:dyDescent="0.25">
      <c r="C98" s="116"/>
      <c r="D98" s="233"/>
      <c r="E98" s="1108"/>
      <c r="I98"/>
      <c r="J98"/>
      <c r="K98"/>
      <c r="M98"/>
      <c r="N98"/>
    </row>
    <row r="99" spans="3:14" ht="15.75" x14ac:dyDescent="0.25">
      <c r="C99" s="116"/>
      <c r="D99" s="233"/>
      <c r="E99" s="1108"/>
      <c r="I99"/>
      <c r="J99"/>
      <c r="K99"/>
      <c r="M99"/>
      <c r="N99"/>
    </row>
    <row r="100" spans="3:14" ht="15.75" x14ac:dyDescent="0.25">
      <c r="C100" s="116"/>
      <c r="D100" s="233"/>
      <c r="E100" s="1108"/>
      <c r="I100"/>
      <c r="J100"/>
      <c r="K100"/>
      <c r="M100"/>
      <c r="N100"/>
    </row>
    <row r="101" spans="3:14" ht="15.75" x14ac:dyDescent="0.25">
      <c r="C101" s="116"/>
      <c r="D101" s="233"/>
      <c r="E101" s="1108"/>
      <c r="I101"/>
      <c r="J101"/>
      <c r="K101"/>
      <c r="M101"/>
      <c r="N101"/>
    </row>
    <row r="102" spans="3:14" ht="15.75" x14ac:dyDescent="0.25">
      <c r="C102" s="116"/>
      <c r="D102" s="233"/>
      <c r="E102" s="1108"/>
      <c r="I102"/>
      <c r="J102"/>
      <c r="K102"/>
      <c r="M102"/>
      <c r="N102"/>
    </row>
    <row r="103" spans="3:14" ht="15.75" x14ac:dyDescent="0.25">
      <c r="C103" s="116"/>
      <c r="D103" s="233"/>
      <c r="E103" s="1108"/>
      <c r="I103"/>
      <c r="J103"/>
      <c r="K103"/>
      <c r="M103"/>
      <c r="N103"/>
    </row>
    <row r="104" spans="3:14" x14ac:dyDescent="0.25">
      <c r="C104" s="116"/>
      <c r="D104" s="129"/>
      <c r="E104" s="1108"/>
      <c r="I104"/>
      <c r="J104"/>
      <c r="K104"/>
      <c r="M104"/>
      <c r="N104"/>
    </row>
    <row r="105" spans="3:14" x14ac:dyDescent="0.25">
      <c r="C105" s="116"/>
      <c r="D105" s="129"/>
      <c r="E105" s="1108"/>
      <c r="I105"/>
      <c r="J105"/>
      <c r="K105"/>
      <c r="M105"/>
      <c r="N105"/>
    </row>
    <row r="106" spans="3:14" x14ac:dyDescent="0.25">
      <c r="C106" s="116"/>
      <c r="D106" s="129"/>
      <c r="E106" s="1108"/>
      <c r="I106"/>
      <c r="J106"/>
      <c r="K106"/>
      <c r="M106"/>
      <c r="N106"/>
    </row>
    <row r="107" spans="3:14" x14ac:dyDescent="0.25">
      <c r="C107" s="116"/>
      <c r="D107" s="129"/>
      <c r="E107" s="1108"/>
      <c r="I107"/>
      <c r="J107"/>
      <c r="K107"/>
      <c r="M107"/>
      <c r="N107"/>
    </row>
    <row r="108" spans="3:14" x14ac:dyDescent="0.25">
      <c r="C108" s="116"/>
      <c r="D108" s="129"/>
      <c r="E108" s="1108"/>
      <c r="I108"/>
      <c r="J108"/>
      <c r="K108"/>
      <c r="M108"/>
      <c r="N108"/>
    </row>
    <row r="109" spans="3:14" x14ac:dyDescent="0.25">
      <c r="C109" s="116"/>
      <c r="E109" s="1108"/>
      <c r="I109"/>
      <c r="J109"/>
      <c r="K109"/>
      <c r="M109"/>
      <c r="N109"/>
    </row>
    <row r="110" spans="3:14" x14ac:dyDescent="0.25">
      <c r="C110" s="116"/>
      <c r="E110" s="1108"/>
      <c r="I110"/>
      <c r="J110"/>
      <c r="K110"/>
      <c r="M110"/>
      <c r="N110"/>
    </row>
    <row r="111" spans="3:14" x14ac:dyDescent="0.25">
      <c r="C111" s="116"/>
      <c r="E111" s="1108"/>
      <c r="I111"/>
      <c r="J111"/>
      <c r="K111"/>
      <c r="M111"/>
      <c r="N111"/>
    </row>
    <row r="112" spans="3:14" x14ac:dyDescent="0.25">
      <c r="C112" s="116"/>
      <c r="E112" s="1108"/>
      <c r="I112"/>
      <c r="J112"/>
      <c r="K112"/>
      <c r="M112"/>
      <c r="N112"/>
    </row>
    <row r="113" spans="3:14" x14ac:dyDescent="0.25">
      <c r="C113" s="116"/>
      <c r="E113" s="1108"/>
      <c r="I113"/>
      <c r="J113"/>
      <c r="K113"/>
      <c r="M113"/>
      <c r="N113"/>
    </row>
    <row r="114" spans="3:14" x14ac:dyDescent="0.25">
      <c r="C114" s="116"/>
      <c r="E114" s="1108"/>
      <c r="I114"/>
      <c r="J114"/>
      <c r="K114"/>
      <c r="M114"/>
      <c r="N114"/>
    </row>
    <row r="115" spans="3:14" x14ac:dyDescent="0.25">
      <c r="C115" s="116"/>
      <c r="E115" s="1108"/>
      <c r="I115"/>
      <c r="J115"/>
      <c r="K115"/>
      <c r="M115"/>
      <c r="N115"/>
    </row>
    <row r="116" spans="3:14" x14ac:dyDescent="0.25">
      <c r="C116" s="116"/>
      <c r="E116" s="1108"/>
      <c r="I116"/>
      <c r="J116"/>
      <c r="K116"/>
      <c r="M116"/>
      <c r="N116"/>
    </row>
    <row r="117" spans="3:14" x14ac:dyDescent="0.25">
      <c r="C117" s="116"/>
      <c r="E117" s="1108"/>
      <c r="I117"/>
      <c r="J117"/>
      <c r="K117"/>
      <c r="M117"/>
      <c r="N117"/>
    </row>
    <row r="118" spans="3:14" x14ac:dyDescent="0.25">
      <c r="C118" s="116"/>
      <c r="E118" s="1108"/>
      <c r="I118"/>
      <c r="J118"/>
      <c r="K118"/>
      <c r="M118"/>
      <c r="N118"/>
    </row>
    <row r="119" spans="3:14" x14ac:dyDescent="0.25">
      <c r="C119" s="116"/>
      <c r="E119" s="1108"/>
      <c r="I119"/>
      <c r="J119"/>
      <c r="K119"/>
      <c r="M119"/>
      <c r="N119"/>
    </row>
    <row r="120" spans="3:14" x14ac:dyDescent="0.25">
      <c r="C120" s="116"/>
      <c r="E120" s="1108"/>
      <c r="I120"/>
      <c r="J120"/>
      <c r="K120"/>
      <c r="M120"/>
      <c r="N120"/>
    </row>
    <row r="121" spans="3:14" x14ac:dyDescent="0.25">
      <c r="C121" s="116"/>
      <c r="E121" s="1108"/>
      <c r="I121"/>
      <c r="J121"/>
      <c r="K121"/>
      <c r="M121"/>
      <c r="N121"/>
    </row>
    <row r="122" spans="3:14" x14ac:dyDescent="0.25">
      <c r="C122" s="116"/>
      <c r="E122" s="1108"/>
      <c r="I122"/>
      <c r="J122"/>
      <c r="K122"/>
      <c r="M122"/>
      <c r="N122"/>
    </row>
    <row r="123" spans="3:14" x14ac:dyDescent="0.25">
      <c r="C123" s="116"/>
      <c r="E123" s="1108"/>
      <c r="I123"/>
      <c r="J123"/>
      <c r="K123"/>
      <c r="M123"/>
      <c r="N123"/>
    </row>
    <row r="124" spans="3:14" x14ac:dyDescent="0.25">
      <c r="C124" s="116"/>
      <c r="E124" s="1108"/>
      <c r="I124"/>
      <c r="J124"/>
      <c r="K124"/>
      <c r="M124"/>
      <c r="N124"/>
    </row>
    <row r="125" spans="3:14" x14ac:dyDescent="0.25">
      <c r="C125" s="116"/>
      <c r="E125" s="1108"/>
      <c r="I125"/>
      <c r="J125"/>
      <c r="K125"/>
      <c r="M125"/>
      <c r="N125"/>
    </row>
    <row r="126" spans="3:14" x14ac:dyDescent="0.25">
      <c r="C126" s="116"/>
      <c r="E126" s="1108"/>
      <c r="I126"/>
      <c r="J126"/>
      <c r="K126"/>
      <c r="M126"/>
      <c r="N126"/>
    </row>
    <row r="127" spans="3:14" x14ac:dyDescent="0.25">
      <c r="C127" s="116"/>
      <c r="E127" s="1108"/>
      <c r="I127"/>
      <c r="J127"/>
      <c r="K127"/>
      <c r="M127"/>
      <c r="N127"/>
    </row>
    <row r="128" spans="3:14" x14ac:dyDescent="0.25">
      <c r="C128" s="116"/>
      <c r="E128" s="1108"/>
      <c r="I128"/>
      <c r="J128"/>
      <c r="K128"/>
      <c r="M128"/>
      <c r="N128"/>
    </row>
    <row r="129" spans="3:14" x14ac:dyDescent="0.25">
      <c r="C129" s="116"/>
      <c r="E129" s="1108"/>
      <c r="I129"/>
      <c r="J129"/>
      <c r="K129"/>
      <c r="M129"/>
      <c r="N129"/>
    </row>
    <row r="130" spans="3:14" x14ac:dyDescent="0.25">
      <c r="C130" s="116"/>
      <c r="E130" s="1108"/>
      <c r="I130"/>
      <c r="J130"/>
      <c r="K130"/>
      <c r="M130"/>
      <c r="N130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7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7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4"/>
      <c r="C1" s="936" t="s">
        <v>208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9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8" t="s">
        <v>0</v>
      </c>
      <c r="C3" s="939"/>
      <c r="D3" s="10"/>
      <c r="E3" s="11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41" t="s">
        <v>2</v>
      </c>
      <c r="F4" s="942"/>
      <c r="H4" s="943" t="s">
        <v>3</v>
      </c>
      <c r="I4" s="944"/>
      <c r="J4" s="19"/>
      <c r="K4" s="166"/>
      <c r="L4" s="20"/>
      <c r="M4" s="21" t="s">
        <v>4</v>
      </c>
      <c r="N4" s="22" t="s">
        <v>5</v>
      </c>
      <c r="P4" s="965"/>
      <c r="Q4" s="322" t="s">
        <v>217</v>
      </c>
      <c r="R4" s="975"/>
      <c r="W4" s="947" t="s">
        <v>124</v>
      </c>
      <c r="X4" s="94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47"/>
      <c r="X5" s="94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5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5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53"/>
      <c r="X21" s="95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54"/>
      <c r="X23" s="95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54"/>
      <c r="X24" s="95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55"/>
      <c r="X25" s="95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55"/>
      <c r="X26" s="95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48"/>
      <c r="X27" s="949"/>
      <c r="Y27" s="95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49"/>
      <c r="X28" s="949"/>
      <c r="Y28" s="95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66">
        <f>SUM(M5:M35)</f>
        <v>1077791.3</v>
      </c>
      <c r="N36" s="968">
        <f>SUM(N5:N35)</f>
        <v>936398</v>
      </c>
      <c r="O36" s="276"/>
      <c r="P36" s="277">
        <v>0</v>
      </c>
      <c r="Q36" s="97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67"/>
      <c r="N37" s="969"/>
      <c r="O37" s="276"/>
      <c r="P37" s="277">
        <v>0</v>
      </c>
      <c r="Q37" s="97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1" t="s">
        <v>11</v>
      </c>
      <c r="I52" s="922"/>
      <c r="J52" s="100"/>
      <c r="K52" s="923">
        <f>I50+L50</f>
        <v>90750.75</v>
      </c>
      <c r="L52" s="956"/>
      <c r="M52" s="272"/>
      <c r="N52" s="272"/>
      <c r="P52" s="34"/>
      <c r="Q52" s="13"/>
    </row>
    <row r="53" spans="1:17" ht="16.5" thickBot="1" x14ac:dyDescent="0.3">
      <c r="D53" s="927" t="s">
        <v>12</v>
      </c>
      <c r="E53" s="927"/>
      <c r="F53" s="312">
        <f>F50-K52-C50</f>
        <v>1739855.03</v>
      </c>
      <c r="I53" s="102"/>
      <c r="J53" s="103"/>
    </row>
    <row r="54" spans="1:17" ht="18.75" x14ac:dyDescent="0.3">
      <c r="D54" s="957" t="s">
        <v>95</v>
      </c>
      <c r="E54" s="957"/>
      <c r="F54" s="111">
        <v>-1567070.66</v>
      </c>
      <c r="I54" s="928" t="s">
        <v>13</v>
      </c>
      <c r="J54" s="929"/>
      <c r="K54" s="930">
        <f>F56+F57+F58</f>
        <v>703192.8600000001</v>
      </c>
      <c r="L54" s="930"/>
      <c r="M54" s="958" t="s">
        <v>211</v>
      </c>
      <c r="N54" s="959"/>
      <c r="O54" s="959"/>
      <c r="P54" s="959"/>
      <c r="Q54" s="960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61"/>
      <c r="N55" s="962"/>
      <c r="O55" s="962"/>
      <c r="P55" s="962"/>
      <c r="Q55" s="96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32">
        <f>-C4</f>
        <v>-567389.35</v>
      </c>
      <c r="L56" s="93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10" t="s">
        <v>18</v>
      </c>
      <c r="E58" s="911"/>
      <c r="F58" s="113">
        <v>754143.23</v>
      </c>
      <c r="I58" s="912" t="s">
        <v>198</v>
      </c>
      <c r="J58" s="913"/>
      <c r="K58" s="914">
        <f>K54+K56</f>
        <v>135803.51000000013</v>
      </c>
      <c r="L58" s="9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7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7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4"/>
      <c r="C1" s="976" t="s">
        <v>316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25" ht="16.5" thickBot="1" x14ac:dyDescent="0.3">
      <c r="B2" s="9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8" t="s">
        <v>0</v>
      </c>
      <c r="C3" s="939"/>
      <c r="D3" s="10"/>
      <c r="E3" s="11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41" t="s">
        <v>2</v>
      </c>
      <c r="F4" s="942"/>
      <c r="H4" s="943" t="s">
        <v>3</v>
      </c>
      <c r="I4" s="944"/>
      <c r="J4" s="19"/>
      <c r="K4" s="166"/>
      <c r="L4" s="20"/>
      <c r="M4" s="21" t="s">
        <v>4</v>
      </c>
      <c r="N4" s="22" t="s">
        <v>5</v>
      </c>
      <c r="P4" s="965"/>
      <c r="Q4" s="322" t="s">
        <v>217</v>
      </c>
      <c r="R4" s="975"/>
      <c r="W4" s="947" t="s">
        <v>124</v>
      </c>
      <c r="X4" s="94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47"/>
      <c r="X5" s="94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5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5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53"/>
      <c r="X21" s="95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54"/>
      <c r="X23" s="95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54"/>
      <c r="X24" s="95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55"/>
      <c r="X25" s="95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55"/>
      <c r="X26" s="95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48"/>
      <c r="X27" s="949"/>
      <c r="Y27" s="95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49"/>
      <c r="X28" s="949"/>
      <c r="Y28" s="95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66">
        <f>SUM(M5:M35)</f>
        <v>1818445.73</v>
      </c>
      <c r="N36" s="968">
        <f>SUM(N5:N35)</f>
        <v>739014</v>
      </c>
      <c r="O36" s="276"/>
      <c r="P36" s="277">
        <v>0</v>
      </c>
      <c r="Q36" s="97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67"/>
      <c r="N37" s="969"/>
      <c r="O37" s="276"/>
      <c r="P37" s="277">
        <v>0</v>
      </c>
      <c r="Q37" s="97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1" t="s">
        <v>11</v>
      </c>
      <c r="I52" s="922"/>
      <c r="J52" s="100"/>
      <c r="K52" s="923">
        <f>I50+L50</f>
        <v>158798.12</v>
      </c>
      <c r="L52" s="956"/>
      <c r="M52" s="272"/>
      <c r="N52" s="272"/>
      <c r="P52" s="34"/>
      <c r="Q52" s="13"/>
    </row>
    <row r="53" spans="1:17" x14ac:dyDescent="0.25">
      <c r="D53" s="927" t="s">
        <v>12</v>
      </c>
      <c r="E53" s="927"/>
      <c r="F53" s="312">
        <f>F50-K52-C50</f>
        <v>2078470.75</v>
      </c>
      <c r="I53" s="102"/>
      <c r="J53" s="103"/>
    </row>
    <row r="54" spans="1:17" ht="18.75" x14ac:dyDescent="0.3">
      <c r="D54" s="957" t="s">
        <v>95</v>
      </c>
      <c r="E54" s="957"/>
      <c r="F54" s="111">
        <v>-1448401.2</v>
      </c>
      <c r="I54" s="928" t="s">
        <v>13</v>
      </c>
      <c r="J54" s="929"/>
      <c r="K54" s="930">
        <f>F56+F57+F58</f>
        <v>1025960.7</v>
      </c>
      <c r="L54" s="93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32">
        <f>-C4</f>
        <v>-754143.23</v>
      </c>
      <c r="L56" s="93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10" t="s">
        <v>18</v>
      </c>
      <c r="E58" s="911"/>
      <c r="F58" s="113">
        <v>1149740.4099999999</v>
      </c>
      <c r="I58" s="912" t="s">
        <v>198</v>
      </c>
      <c r="J58" s="913"/>
      <c r="K58" s="914">
        <f>K54+K56</f>
        <v>271817.46999999997</v>
      </c>
      <c r="L58" s="9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78" t="s">
        <v>413</v>
      </c>
      <c r="C43" s="979"/>
      <c r="D43" s="979"/>
      <c r="E43" s="98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81"/>
      <c r="C44" s="982"/>
      <c r="D44" s="982"/>
      <c r="E44" s="98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84"/>
      <c r="C45" s="985"/>
      <c r="D45" s="985"/>
      <c r="E45" s="98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93" t="s">
        <v>593</v>
      </c>
      <c r="C47" s="99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95"/>
      <c r="C48" s="996"/>
      <c r="D48" s="253"/>
      <c r="E48" s="69"/>
      <c r="F48" s="137">
        <f t="shared" si="2"/>
        <v>0</v>
      </c>
      <c r="I48" s="348"/>
      <c r="J48" s="987" t="s">
        <v>414</v>
      </c>
      <c r="K48" s="988"/>
      <c r="L48" s="98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90"/>
      <c r="K49" s="991"/>
      <c r="L49" s="99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97" t="s">
        <v>594</v>
      </c>
      <c r="J50" s="99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97"/>
      <c r="J51" s="99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97"/>
      <c r="J52" s="99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97"/>
      <c r="J53" s="99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97"/>
      <c r="J54" s="99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97"/>
      <c r="J55" s="99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97"/>
      <c r="J56" s="99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97"/>
      <c r="J57" s="99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97"/>
      <c r="J58" s="99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97"/>
      <c r="J59" s="99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97"/>
      <c r="J60" s="99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97"/>
      <c r="J61" s="99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97"/>
      <c r="J62" s="99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97"/>
      <c r="J63" s="99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97"/>
      <c r="J64" s="99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97"/>
      <c r="J65" s="99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97"/>
      <c r="J66" s="99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97"/>
      <c r="J67" s="99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97"/>
      <c r="J68" s="99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97"/>
      <c r="J69" s="99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97"/>
      <c r="J70" s="99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97"/>
      <c r="J71" s="99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97"/>
      <c r="J72" s="99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97"/>
      <c r="J73" s="99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97"/>
      <c r="J74" s="99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97"/>
      <c r="J75" s="99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97"/>
      <c r="J76" s="99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97"/>
      <c r="J77" s="99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99"/>
      <c r="J78" s="100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7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7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34"/>
      <c r="C1" s="976" t="s">
        <v>646</v>
      </c>
      <c r="D1" s="977"/>
      <c r="E1" s="977"/>
      <c r="F1" s="977"/>
      <c r="G1" s="977"/>
      <c r="H1" s="977"/>
      <c r="I1" s="977"/>
      <c r="J1" s="977"/>
      <c r="K1" s="977"/>
      <c r="L1" s="977"/>
      <c r="M1" s="977"/>
    </row>
    <row r="2" spans="1:25" ht="16.5" thickBot="1" x14ac:dyDescent="0.3">
      <c r="B2" s="9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938" t="s">
        <v>0</v>
      </c>
      <c r="C3" s="939"/>
      <c r="D3" s="10"/>
      <c r="E3" s="11"/>
      <c r="F3" s="11"/>
      <c r="H3" s="940" t="s">
        <v>26</v>
      </c>
      <c r="I3" s="940"/>
      <c r="K3" s="165"/>
      <c r="L3" s="13"/>
      <c r="M3" s="14"/>
      <c r="P3" s="964" t="s">
        <v>6</v>
      </c>
      <c r="R3" s="97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41" t="s">
        <v>2</v>
      </c>
      <c r="F4" s="942"/>
      <c r="H4" s="943" t="s">
        <v>3</v>
      </c>
      <c r="I4" s="944"/>
      <c r="J4" s="19"/>
      <c r="K4" s="166"/>
      <c r="L4" s="20"/>
      <c r="M4" s="21" t="s">
        <v>4</v>
      </c>
      <c r="N4" s="22" t="s">
        <v>5</v>
      </c>
      <c r="P4" s="965"/>
      <c r="Q4" s="322" t="s">
        <v>217</v>
      </c>
      <c r="R4" s="975"/>
      <c r="W4" s="947" t="s">
        <v>124</v>
      </c>
      <c r="X4" s="94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47"/>
      <c r="X5" s="94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5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5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53"/>
      <c r="X21" s="95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54"/>
      <c r="X23" s="95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54"/>
      <c r="X24" s="95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55"/>
      <c r="X25" s="95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55"/>
      <c r="X26" s="95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48"/>
      <c r="X27" s="949"/>
      <c r="Y27" s="95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49"/>
      <c r="X28" s="949"/>
      <c r="Y28" s="95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66">
        <f>SUM(M5:M35)</f>
        <v>2143864.4900000002</v>
      </c>
      <c r="N36" s="968">
        <f>SUM(N5:N35)</f>
        <v>791108</v>
      </c>
      <c r="O36" s="276"/>
      <c r="P36" s="277">
        <v>0</v>
      </c>
      <c r="Q36" s="100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67"/>
      <c r="N37" s="969"/>
      <c r="O37" s="276"/>
      <c r="P37" s="277">
        <v>0</v>
      </c>
      <c r="Q37" s="100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1003">
        <f>M36+N36</f>
        <v>2934972.49</v>
      </c>
      <c r="N39" s="100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1" t="s">
        <v>11</v>
      </c>
      <c r="I52" s="922"/>
      <c r="J52" s="100"/>
      <c r="K52" s="923">
        <f>I50+L50</f>
        <v>197471.8</v>
      </c>
      <c r="L52" s="956"/>
      <c r="M52" s="272"/>
      <c r="N52" s="272"/>
      <c r="P52" s="34"/>
      <c r="Q52" s="13"/>
    </row>
    <row r="53" spans="1:17" x14ac:dyDescent="0.25">
      <c r="D53" s="927" t="s">
        <v>12</v>
      </c>
      <c r="E53" s="927"/>
      <c r="F53" s="312">
        <f>F50-K52-C50</f>
        <v>2057786.11</v>
      </c>
      <c r="I53" s="102"/>
      <c r="J53" s="103"/>
    </row>
    <row r="54" spans="1:17" ht="18.75" x14ac:dyDescent="0.3">
      <c r="D54" s="957" t="s">
        <v>95</v>
      </c>
      <c r="E54" s="957"/>
      <c r="F54" s="111">
        <v>-1702928.14</v>
      </c>
      <c r="I54" s="928" t="s">
        <v>13</v>
      </c>
      <c r="J54" s="929"/>
      <c r="K54" s="930">
        <f>F56+F57+F58</f>
        <v>1147965.3400000003</v>
      </c>
      <c r="L54" s="93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32">
        <f>-C4</f>
        <v>-1149740.4099999999</v>
      </c>
      <c r="L56" s="93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10" t="s">
        <v>18</v>
      </c>
      <c r="E58" s="911"/>
      <c r="F58" s="113">
        <v>1266568.45</v>
      </c>
      <c r="I58" s="912" t="s">
        <v>97</v>
      </c>
      <c r="J58" s="913"/>
      <c r="K58" s="914">
        <f>K54+K56</f>
        <v>-1775.0699999995995</v>
      </c>
      <c r="L58" s="9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2023-02-07T17:29:43Z</dcterms:modified>
</cp:coreProperties>
</file>