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19" i="38"/>
  <c r="Q35" i="38" l="1"/>
  <c r="Q33" i="38" l="1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S101" i="38" l="1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GO5" i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U10" i="161"/>
  <c r="Q10" i="161"/>
  <c r="U9" i="161"/>
  <c r="Q9" i="161"/>
  <c r="Q73" i="161" s="1"/>
  <c r="R5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R6" i="129" l="1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Q75" i="161"/>
  <c r="S5" i="16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Q16" i="38" l="1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9" i="188"/>
  <c r="V9" i="188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U9" i="65"/>
  <c r="U10" i="65" s="1"/>
  <c r="U11" i="65" s="1"/>
  <c r="U12" i="65" s="1"/>
  <c r="U13" i="65" s="1"/>
  <c r="R9" i="65"/>
  <c r="P9" i="65"/>
  <c r="S112" i="38"/>
  <c r="T112" i="38" s="1"/>
  <c r="I112" i="38"/>
  <c r="AJ78" i="188" l="1"/>
  <c r="AK6" i="188" s="1"/>
  <c r="AL6" i="188" s="1"/>
  <c r="AI83" i="188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U14" i="65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Q11" i="38"/>
  <c r="Q6" i="38"/>
  <c r="Q12" i="38"/>
  <c r="Q17" i="38"/>
  <c r="Q7" i="38"/>
  <c r="AA6" i="188" l="1"/>
  <c r="AB6" i="188" s="1"/>
  <c r="Q112" i="65"/>
  <c r="S5" i="65"/>
  <c r="T5" i="65" s="1"/>
  <c r="AA115" i="40"/>
  <c r="AC118" i="40" s="1"/>
  <c r="AB114" i="40"/>
  <c r="AD114" i="40" s="1"/>
  <c r="AI114" i="40" s="1"/>
  <c r="AD113" i="40"/>
  <c r="AI113" i="40" s="1"/>
  <c r="AB113" i="40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D90" i="40"/>
  <c r="AI90" i="40" s="1"/>
  <c r="AB90" i="40"/>
  <c r="AD89" i="40"/>
  <c r="AI89" i="40" s="1"/>
  <c r="AB89" i="40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D81" i="40"/>
  <c r="AI81" i="40" s="1"/>
  <c r="AB81" i="40"/>
  <c r="AB80" i="40"/>
  <c r="AD80" i="40" s="1"/>
  <c r="AI80" i="40" s="1"/>
  <c r="AB79" i="40"/>
  <c r="AD79" i="40" s="1"/>
  <c r="AI79" i="40" s="1"/>
  <c r="AD78" i="40"/>
  <c r="AI78" i="40" s="1"/>
  <c r="AB78" i="40"/>
  <c r="AD77" i="40"/>
  <c r="AI77" i="40" s="1"/>
  <c r="AB77" i="40"/>
  <c r="AI76" i="40"/>
  <c r="AB76" i="40"/>
  <c r="AD76" i="40" s="1"/>
  <c r="AD75" i="40"/>
  <c r="AI75" i="40" s="1"/>
  <c r="AB75" i="40"/>
  <c r="AD74" i="40"/>
  <c r="AI74" i="40" s="1"/>
  <c r="AB74" i="40"/>
  <c r="AD73" i="40"/>
  <c r="AI73" i="40" s="1"/>
  <c r="AB73" i="40"/>
  <c r="AI72" i="40"/>
  <c r="AB72" i="40"/>
  <c r="AD72" i="40" s="1"/>
  <c r="AD71" i="40"/>
  <c r="AI71" i="40" s="1"/>
  <c r="AB71" i="40"/>
  <c r="AD70" i="40"/>
  <c r="AI70" i="40" s="1"/>
  <c r="AB70" i="40"/>
  <c r="AD69" i="40"/>
  <c r="AI69" i="40" s="1"/>
  <c r="AB69" i="40"/>
  <c r="AB68" i="40"/>
  <c r="AD68" i="40" s="1"/>
  <c r="AI68" i="40" s="1"/>
  <c r="AB67" i="40"/>
  <c r="AD67" i="40" s="1"/>
  <c r="AI67" i="40" s="1"/>
  <c r="AD66" i="40"/>
  <c r="AI66" i="40" s="1"/>
  <c r="AB66" i="40"/>
  <c r="AD65" i="40"/>
  <c r="AI65" i="40" s="1"/>
  <c r="AB65" i="40"/>
  <c r="AB64" i="40"/>
  <c r="AD64" i="40" s="1"/>
  <c r="AI64" i="40" s="1"/>
  <c r="AB63" i="40"/>
  <c r="AD63" i="40" s="1"/>
  <c r="AI63" i="40" s="1"/>
  <c r="AD62" i="40"/>
  <c r="AI62" i="40" s="1"/>
  <c r="AB62" i="40"/>
  <c r="AD61" i="40"/>
  <c r="AI61" i="40" s="1"/>
  <c r="AB61" i="40"/>
  <c r="AI60" i="40"/>
  <c r="AB60" i="40"/>
  <c r="AD60" i="40" s="1"/>
  <c r="AB59" i="40"/>
  <c r="AD59" i="40" s="1"/>
  <c r="AI59" i="40" s="1"/>
  <c r="AD58" i="40"/>
  <c r="AI58" i="40" s="1"/>
  <c r="AB58" i="40"/>
  <c r="AD57" i="40"/>
  <c r="AI57" i="40" s="1"/>
  <c r="AB57" i="40"/>
  <c r="AI56" i="40"/>
  <c r="AB56" i="40"/>
  <c r="AD56" i="40" s="1"/>
  <c r="AD55" i="40"/>
  <c r="AI55" i="40" s="1"/>
  <c r="AB55" i="40"/>
  <c r="AD54" i="40"/>
  <c r="AI54" i="40" s="1"/>
  <c r="AB54" i="40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D49" i="40"/>
  <c r="AI49" i="40" s="1"/>
  <c r="AB49" i="40"/>
  <c r="AB48" i="40"/>
  <c r="AD48" i="40" s="1"/>
  <c r="AI48" i="40" s="1"/>
  <c r="AB47" i="40"/>
  <c r="AD47" i="40" s="1"/>
  <c r="AI47" i="40" s="1"/>
  <c r="AI46" i="40"/>
  <c r="AB46" i="40"/>
  <c r="AD46" i="40" s="1"/>
  <c r="AD45" i="40"/>
  <c r="AI45" i="40" s="1"/>
  <c r="AB45" i="40"/>
  <c r="AI44" i="40"/>
  <c r="AB44" i="40"/>
  <c r="AD44" i="40" s="1"/>
  <c r="AB43" i="40"/>
  <c r="AD43" i="40" s="1"/>
  <c r="AI43" i="40" s="1"/>
  <c r="AB42" i="40"/>
  <c r="AD42" i="40" s="1"/>
  <c r="AI42" i="40" s="1"/>
  <c r="AD41" i="40"/>
  <c r="AI41" i="40" s="1"/>
  <c r="AB41" i="40"/>
  <c r="AI40" i="40"/>
  <c r="AB40" i="40"/>
  <c r="AD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I34" i="40"/>
  <c r="AB34" i="40"/>
  <c r="AD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I23" i="40"/>
  <c r="AB23" i="40"/>
  <c r="AD23" i="40" s="1"/>
  <c r="AB22" i="40"/>
  <c r="AD22" i="40" s="1"/>
  <c r="AI22" i="40" s="1"/>
  <c r="AB21" i="40"/>
  <c r="AD21" i="40" s="1"/>
  <c r="AI21" i="40" s="1"/>
  <c r="AD20" i="40"/>
  <c r="AI20" i="40" s="1"/>
  <c r="AB20" i="40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I15" i="40"/>
  <c r="AB15" i="40"/>
  <c r="AD15" i="40" s="1"/>
  <c r="AB14" i="40"/>
  <c r="AD14" i="40" s="1"/>
  <c r="AI14" i="40" s="1"/>
  <c r="AB13" i="40"/>
  <c r="AD13" i="40" s="1"/>
  <c r="AI13" i="40" s="1"/>
  <c r="AD12" i="40"/>
  <c r="AI12" i="40" s="1"/>
  <c r="AB12" i="40"/>
  <c r="AI11" i="40"/>
  <c r="AB11" i="40"/>
  <c r="AD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AB115" i="40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R17" i="40"/>
  <c r="W17" i="40" s="1"/>
  <c r="P17" i="40"/>
  <c r="W16" i="40"/>
  <c r="P16" i="40"/>
  <c r="R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42" i="196" l="1"/>
  <c r="E47" i="196" s="1"/>
  <c r="AD9" i="40"/>
  <c r="R9" i="40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O83" i="197"/>
  <c r="K1" i="180"/>
  <c r="K1" i="177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T69" i="117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U69" i="117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P33" i="1"/>
  <c r="Z32" i="1"/>
  <c r="Z33" i="1" s="1"/>
  <c r="X32" i="1"/>
  <c r="P32" i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AC29" i="1" s="1"/>
  <c r="S9" i="1"/>
  <c r="S29" i="1" s="1"/>
  <c r="AC8" i="1"/>
  <c r="S8" i="1"/>
  <c r="AB5" i="1"/>
  <c r="R5" i="1"/>
  <c r="AC120" i="40" l="1"/>
  <c r="AE5" i="40"/>
  <c r="AF5" i="40" s="1"/>
  <c r="Q120" i="40"/>
  <c r="S5" i="40"/>
  <c r="T5" i="40" s="1"/>
  <c r="AE69" i="117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D9" i="40"/>
  <c r="F9" i="40" s="1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J56" i="129"/>
  <c r="F56" i="129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J48" i="129"/>
  <c r="F48" i="129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J40" i="129"/>
  <c r="F40" i="129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J32" i="129"/>
  <c r="F32" i="129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J24" i="129"/>
  <c r="F24" i="129"/>
  <c r="F23" i="129"/>
  <c r="J23" i="129" s="1"/>
  <c r="J22" i="129"/>
  <c r="F22" i="129"/>
  <c r="F21" i="129"/>
  <c r="J21" i="129" s="1"/>
  <c r="J20" i="129"/>
  <c r="F20" i="129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F56" i="65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I99" i="38"/>
  <c r="E112" i="65" l="1"/>
  <c r="G5" i="65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C31" i="205"/>
  <c r="D33" i="205" s="1"/>
  <c r="F29" i="205"/>
  <c r="I29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D30" i="205" s="1"/>
  <c r="D115" i="40" l="1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E73" i="54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I9" i="205"/>
  <c r="D31" i="205"/>
  <c r="F30" i="205"/>
  <c r="E83" i="197" l="1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30" i="205"/>
  <c r="I31" i="205" s="1"/>
  <c r="F31" i="205"/>
  <c r="G5" i="205" s="1"/>
  <c r="H5" i="205" s="1"/>
  <c r="J30" i="205"/>
  <c r="E120" i="40" l="1"/>
  <c r="G5" i="40"/>
  <c r="H5" i="40" s="1"/>
  <c r="E34" i="205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39" i="209" l="1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I151" i="38" l="1"/>
  <c r="I150" i="38"/>
  <c r="I149" i="38"/>
  <c r="I144" i="38"/>
  <c r="I143" i="38"/>
  <c r="I142" i="38"/>
  <c r="I141" i="38"/>
  <c r="I152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9" i="38" l="1"/>
  <c r="I153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7" i="38" l="1"/>
  <c r="I156" i="38"/>
  <c r="I155" i="38"/>
  <c r="S21" i="38" l="1"/>
  <c r="BP5" i="1" l="1"/>
  <c r="H4" i="1" l="1"/>
  <c r="G4" i="1"/>
  <c r="F4" i="1"/>
  <c r="E4" i="1"/>
  <c r="D4" i="1"/>
  <c r="B4" i="1"/>
  <c r="I137" i="38" l="1"/>
  <c r="I168" i="38" l="1"/>
  <c r="I16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2" i="38" l="1"/>
  <c r="I161" i="38"/>
  <c r="I160" i="38"/>
  <c r="I158" i="38"/>
  <c r="I154" i="38"/>
  <c r="I14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5" i="1" l="1"/>
  <c r="I93" i="38" l="1"/>
  <c r="I94" i="38"/>
  <c r="I9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191" i="38"/>
  <c r="I120" i="38" l="1"/>
  <c r="S115" i="38" l="1"/>
  <c r="T115" i="38" s="1"/>
  <c r="I11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5" i="38" l="1"/>
  <c r="AE1" i="1" l="1"/>
  <c r="F10" i="156" l="1"/>
  <c r="I14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5" i="38" l="1"/>
  <c r="GF5" i="1" l="1"/>
  <c r="FV5" i="1"/>
  <c r="EH5" i="1"/>
  <c r="DX5" i="1"/>
  <c r="I6" i="1"/>
  <c r="I139" i="38" l="1"/>
  <c r="I147" i="38"/>
  <c r="I163" i="38"/>
  <c r="I164" i="38"/>
  <c r="I16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2" i="38"/>
  <c r="M192" i="38"/>
  <c r="K192" i="38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92" i="38"/>
  <c r="I192" i="38"/>
  <c r="H19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<sst xmlns="http://schemas.openxmlformats.org/spreadsheetml/2006/main" count="3278" uniqueCount="499">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</sst>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2" xfId="0" applyFont="1" applyBorder="1" applyAlignment="1"/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2" xfId="0" applyNumberFormat="1" applyFont="1" applyBorder="1"/>
    <xf numFmtId="44" fontId="45" fillId="0" borderId="33" xfId="1" applyFont="1" applyFill="1" applyBorder="1" applyAlignment="1">
      <alignment horizontal="right"/>
    </xf>
    <xf numFmtId="0" fontId="83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4" fillId="0" borderId="33" xfId="0" applyFont="1" applyFill="1" applyBorder="1" applyAlignment="1">
      <alignment wrapText="1"/>
    </xf>
    <xf numFmtId="0" fontId="84" fillId="0" borderId="33" xfId="0" applyFont="1" applyFill="1" applyBorder="1" applyAlignment="1">
      <alignment horizontal="left"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4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1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1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2" xfId="0" applyNumberFormat="1" applyFont="1" applyFill="1" applyBorder="1"/>
    <xf numFmtId="0" fontId="7" fillId="0" borderId="33" xfId="0" applyFont="1" applyBorder="1" applyAlignment="1">
      <alignment vertical="center"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5" fillId="0" borderId="51" xfId="0" applyNumberFormat="1" applyFont="1" applyBorder="1" applyAlignment="1">
      <alignment horizontal="right"/>
    </xf>
    <xf numFmtId="168" fontId="85" fillId="0" borderId="0" xfId="0" applyNumberFormat="1" applyFont="1"/>
    <xf numFmtId="2" fontId="85" fillId="0" borderId="5" xfId="0" applyNumberFormat="1" applyFont="1" applyBorder="1" applyAlignment="1">
      <alignment horizontal="right"/>
    </xf>
    <xf numFmtId="164" fontId="85" fillId="0" borderId="0" xfId="0" applyNumberFormat="1" applyFont="1" applyAlignment="1">
      <alignment horizontal="right"/>
    </xf>
    <xf numFmtId="44" fontId="85" fillId="0" borderId="0" xfId="1" applyFont="1" applyFill="1"/>
    <xf numFmtId="44" fontId="85" fillId="0" borderId="0" xfId="1" applyFont="1"/>
    <xf numFmtId="0" fontId="86" fillId="0" borderId="0" xfId="0" applyFont="1"/>
    <xf numFmtId="164" fontId="86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5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3" xfId="0" applyFont="1" applyFill="1" applyBorder="1" applyAlignment="1">
      <alignment horizontal="center"/>
    </xf>
    <xf numFmtId="0" fontId="79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80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2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80" fillId="0" borderId="33" xfId="1" applyFont="1" applyFill="1" applyBorder="1"/>
    <xf numFmtId="0" fontId="83" fillId="0" borderId="33" xfId="0" applyFont="1" applyFill="1" applyBorder="1" applyAlignment="1">
      <alignment wrapText="1"/>
    </xf>
    <xf numFmtId="167" fontId="84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2" xfId="0" applyFont="1" applyBorder="1" applyAlignment="1">
      <alignment vertical="center"/>
    </xf>
    <xf numFmtId="0" fontId="7" fillId="0" borderId="74" xfId="0" applyFont="1" applyBorder="1" applyAlignment="1"/>
    <xf numFmtId="0" fontId="81" fillId="0" borderId="87" xfId="0" applyFont="1" applyFill="1" applyBorder="1" applyAlignment="1">
      <alignment vertical="center"/>
    </xf>
    <xf numFmtId="0" fontId="15" fillId="2" borderId="9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4" xfId="0" applyFont="1" applyFill="1" applyBorder="1" applyAlignment="1">
      <alignment horizontal="center" wrapText="1"/>
    </xf>
    <xf numFmtId="0" fontId="88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wrapText="1"/>
    </xf>
    <xf numFmtId="164" fontId="22" fillId="0" borderId="91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8" fillId="0" borderId="33" xfId="0" applyFont="1" applyFill="1" applyBorder="1" applyAlignment="1">
      <alignment vertical="center" wrapText="1"/>
    </xf>
    <xf numFmtId="0" fontId="64" fillId="0" borderId="33" xfId="0" applyFont="1" applyFill="1" applyBorder="1" applyAlignment="1">
      <alignment vertical="center" wrapText="1"/>
    </xf>
    <xf numFmtId="0" fontId="7" fillId="0" borderId="92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7" fillId="0" borderId="68" xfId="0" applyFont="1" applyBorder="1" applyAlignment="1">
      <alignment vertical="center" wrapText="1"/>
    </xf>
    <xf numFmtId="0" fontId="55" fillId="0" borderId="91" xfId="0" applyFont="1" applyBorder="1" applyAlignment="1">
      <alignment horizontal="center" wrapText="1"/>
    </xf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168" fontId="10" fillId="0" borderId="38" xfId="0" applyNumberFormat="1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44" fontId="7" fillId="0" borderId="92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2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2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87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7" fillId="0" borderId="52" xfId="0" applyFont="1" applyFill="1" applyBorder="1" applyAlignment="1">
      <alignment horizontal="center" vertical="center" wrapText="1"/>
    </xf>
    <xf numFmtId="0" fontId="7" fillId="0" borderId="104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168" fontId="10" fillId="0" borderId="38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7" fillId="0" borderId="48" xfId="0" applyFont="1" applyFill="1" applyBorder="1" applyAlignment="1">
      <alignment horizontal="center" vertical="center" wrapText="1"/>
    </xf>
    <xf numFmtId="0" fontId="87" fillId="0" borderId="51" xfId="0" applyFont="1" applyFill="1" applyBorder="1" applyAlignment="1">
      <alignment horizontal="center" vertical="center" wrapText="1"/>
    </xf>
    <xf numFmtId="0" fontId="87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FFCCFF"/>
      <color rgb="FF66FFFF"/>
      <color rgb="FF99FFCC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0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18949.169999999998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2111045</c:v>
                </c:pt>
                <c:pt idx="2" formatCode="0">
                  <c:v>1211480</c:v>
                </c:pt>
                <c:pt idx="3" formatCode="0">
                  <c:v>2111540</c:v>
                </c:pt>
                <c:pt idx="4">
                  <c:v>2111874</c:v>
                </c:pt>
                <c:pt idx="5" formatCode="0">
                  <c:v>1213583</c:v>
                </c:pt>
                <c:pt idx="6" formatCode="0">
                  <c:v>0</c:v>
                </c:pt>
                <c:pt idx="7" formatCode="0">
                  <c:v>2111873</c:v>
                </c:pt>
                <c:pt idx="8" formatCode="0">
                  <c:v>2113851</c:v>
                </c:pt>
                <c:pt idx="9" formatCode="0">
                  <c:v>1219005</c:v>
                </c:pt>
                <c:pt idx="10" formatCode="0">
                  <c:v>2113852</c:v>
                </c:pt>
                <c:pt idx="12" formatCode="0">
                  <c:v>2114514</c:v>
                </c:pt>
                <c:pt idx="13" formatCode="0">
                  <c:v>2114320</c:v>
                </c:pt>
                <c:pt idx="14" formatCode="0">
                  <c:v>2114513</c:v>
                </c:pt>
                <c:pt idx="15" formatCode="0">
                  <c:v>2114512</c:v>
                </c:pt>
                <c:pt idx="16" formatCode="0">
                  <c:v>1220782</c:v>
                </c:pt>
                <c:pt idx="17" formatCode="0">
                  <c:v>2116427</c:v>
                </c:pt>
                <c:pt idx="18" formatCode="0">
                  <c:v>2116428</c:v>
                </c:pt>
                <c:pt idx="19" formatCode="0">
                  <c:v>2116429</c:v>
                </c:pt>
                <c:pt idx="20" formatCode="0">
                  <c:v>1231770</c:v>
                </c:pt>
                <c:pt idx="21" formatCode="0">
                  <c:v>1231769</c:v>
                </c:pt>
                <c:pt idx="22" formatCode="0">
                  <c:v>1233100</c:v>
                </c:pt>
                <c:pt idx="23" formatCode="0">
                  <c:v>2116430</c:v>
                </c:pt>
                <c:pt idx="24" formatCode="0">
                  <c:v>2116432</c:v>
                </c:pt>
                <c:pt idx="25" formatCode="0">
                  <c:v>2117525</c:v>
                </c:pt>
                <c:pt idx="26" formatCode="0">
                  <c:v>2116431</c:v>
                </c:pt>
                <c:pt idx="27" formatCode="0">
                  <c:v>2117526</c:v>
                </c:pt>
                <c:pt idx="28" formatCode="0">
                  <c:v>2118200</c:v>
                </c:pt>
                <c:pt idx="29" formatCode="0">
                  <c:v>1238364</c:v>
                </c:pt>
                <c:pt idx="30" formatCode="0">
                  <c:v>2118754</c:v>
                </c:pt>
                <c:pt idx="31" formatCode="0">
                  <c:v>1239758</c:v>
                </c:pt>
                <c:pt idx="32" formatCode="0">
                  <c:v>2118201</c:v>
                </c:pt>
                <c:pt idx="33" formatCode="0">
                  <c:v>2118756</c:v>
                </c:pt>
                <c:pt idx="35" formatCode="0">
                  <c:v>2120376</c:v>
                </c:pt>
                <c:pt idx="36" formatCode="0">
                  <c:v>2120377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5">
                  <c:v>795183.43039999995</c:v>
                </c:pt>
                <c:pt idx="36">
                  <c:v>800140.25600000005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12151</c:v>
                </c:pt>
                <c:pt idx="2">
                  <c:v>899694.97000000009</c:v>
                </c:pt>
                <c:pt idx="3">
                  <c:v>931588.34939999995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49663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870557.3173</c:v>
                </c:pt>
                <c:pt idx="25">
                  <c:v>887588.46959999995</c:v>
                </c:pt>
                <c:pt idx="26">
                  <c:v>879419.92820000008</c:v>
                </c:pt>
                <c:pt idx="27">
                  <c:v>889552.73719999997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0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0.74487880991174116</c:v>
                </c:pt>
                <c:pt idx="2">
                  <c:v>47.613512671397096</c:v>
                </c:pt>
                <c:pt idx="3">
                  <c:v>48.696665035628961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2.8076389952790919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0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45.618860838056598</c:v>
                </c:pt>
                <c:pt idx="25">
                  <c:v>46.770477206044731</c:v>
                </c:pt>
                <c:pt idx="26">
                  <c:v>46.248998388967323</c:v>
                </c:pt>
                <c:pt idx="27">
                  <c:v>46.985438557099862</c:v>
                </c:pt>
                <c:pt idx="28">
                  <c:v>43.141535649109883</c:v>
                </c:pt>
                <c:pt idx="29">
                  <c:v>43.515315998310896</c:v>
                </c:pt>
                <c:pt idx="30">
                  <c:v>43.143453479367182</c:v>
                </c:pt>
                <c:pt idx="31">
                  <c:v>42.797302343139712</c:v>
                </c:pt>
                <c:pt idx="32">
                  <c:v>42.579960602363215</c:v>
                </c:pt>
                <c:pt idx="33">
                  <c:v>42.581087423675868</c:v>
                </c:pt>
                <c:pt idx="34">
                  <c:v>0.1</c:v>
                </c:pt>
                <c:pt idx="35">
                  <c:v>41.810383248358193</c:v>
                </c:pt>
                <c:pt idx="36">
                  <c:v>41.810250895309991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3"/>
  <sheetViews>
    <sheetView tabSelected="1" zoomScaleNormal="100" workbookViewId="0">
      <pane xSplit="1" ySplit="2" topLeftCell="G10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6" customWidth="1"/>
    <col min="13" max="13" width="14.140625" bestFit="1" customWidth="1"/>
    <col min="14" max="14" width="16" style="937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9" t="s">
        <v>320</v>
      </c>
      <c r="C1" s="510"/>
      <c r="D1" s="511"/>
      <c r="E1" s="512"/>
      <c r="F1" s="513"/>
      <c r="G1" s="514"/>
      <c r="H1" s="513"/>
      <c r="I1" s="515"/>
      <c r="J1" s="516"/>
      <c r="K1" s="1145" t="s">
        <v>26</v>
      </c>
      <c r="L1" s="649"/>
      <c r="M1" s="1147" t="s">
        <v>27</v>
      </c>
      <c r="N1" s="930"/>
      <c r="P1" s="97" t="s">
        <v>38</v>
      </c>
      <c r="Q1" s="1143" t="s">
        <v>28</v>
      </c>
      <c r="R1" s="657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1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46"/>
      <c r="L2" s="650" t="s">
        <v>29</v>
      </c>
      <c r="M2" s="1148"/>
      <c r="N2" s="931" t="s">
        <v>29</v>
      </c>
      <c r="O2" s="387" t="s">
        <v>30</v>
      </c>
      <c r="P2" s="98" t="s">
        <v>39</v>
      </c>
      <c r="Q2" s="1144"/>
      <c r="R2" s="67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2">
        <f>PIERNA!E3</f>
        <v>0</v>
      </c>
      <c r="F3" s="446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51"/>
      <c r="M3" s="355"/>
      <c r="N3" s="930"/>
      <c r="O3" s="127"/>
      <c r="P3" s="116"/>
      <c r="Q3" s="244"/>
      <c r="R3" s="65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9" t="str">
        <f>PIERNA!B4</f>
        <v>SEABOARD FOODS</v>
      </c>
      <c r="C4" s="803" t="str">
        <f>PIERNA!C4</f>
        <v>Seaboard</v>
      </c>
      <c r="D4" s="804" t="str">
        <f>PIERNA!D4</f>
        <v>PED. 90393224</v>
      </c>
      <c r="E4" s="805">
        <f>PIERNA!E4</f>
        <v>44895</v>
      </c>
      <c r="F4" s="602">
        <f>PIERNA!F4</f>
        <v>18729.12</v>
      </c>
      <c r="G4" s="377">
        <f>PIERNA!G4</f>
        <v>21</v>
      </c>
      <c r="H4" s="410">
        <f>PIERNA!H4</f>
        <v>18759.599999999999</v>
      </c>
      <c r="I4" s="697">
        <f>PIERNA!I4</f>
        <v>-30.479999999999563</v>
      </c>
      <c r="J4" s="1048" t="s">
        <v>230</v>
      </c>
      <c r="K4" s="994">
        <v>11151</v>
      </c>
      <c r="L4" s="926" t="s">
        <v>233</v>
      </c>
      <c r="M4" s="762"/>
      <c r="N4" s="780"/>
      <c r="O4" s="781"/>
      <c r="P4" s="782"/>
      <c r="Q4" s="525"/>
      <c r="R4" s="783"/>
      <c r="S4" s="65">
        <f>Q4</f>
        <v>0</v>
      </c>
      <c r="T4" s="65">
        <f>S4/H4</f>
        <v>0</v>
      </c>
      <c r="U4" s="211"/>
    </row>
    <row r="5" spans="1:29" s="152" customFormat="1" ht="30" customHeight="1" x14ac:dyDescent="0.25">
      <c r="A5" s="100">
        <v>2</v>
      </c>
      <c r="B5" s="603" t="str">
        <f>PIERNA!B5</f>
        <v>SEABOARD FOODS</v>
      </c>
      <c r="C5" s="271" t="str">
        <f>PIERNA!C5</f>
        <v>Seaboard</v>
      </c>
      <c r="D5" s="600" t="str">
        <f>PIERNA!D5</f>
        <v>PED. 90393221</v>
      </c>
      <c r="E5" s="601">
        <f>PIERNA!E5</f>
        <v>44895</v>
      </c>
      <c r="F5" s="602">
        <f>PIERNA!F5</f>
        <v>18857.04</v>
      </c>
      <c r="G5" s="377">
        <f>PIERNA!G5</f>
        <v>21</v>
      </c>
      <c r="H5" s="410">
        <f>PIERNA!H5</f>
        <v>18842.3</v>
      </c>
      <c r="I5" s="697">
        <f>PIERNA!I5</f>
        <v>14.740000000001601</v>
      </c>
      <c r="J5" s="778" t="s">
        <v>231</v>
      </c>
      <c r="K5" s="925">
        <v>12151</v>
      </c>
      <c r="L5" s="926" t="s">
        <v>233</v>
      </c>
      <c r="M5" s="762"/>
      <c r="N5" s="780"/>
      <c r="O5" s="1083">
        <v>2111045</v>
      </c>
      <c r="P5" s="782"/>
      <c r="Q5" s="920"/>
      <c r="R5" s="921"/>
      <c r="S5" s="65">
        <f>Q5+M5+K5+P5</f>
        <v>12151</v>
      </c>
      <c r="T5" s="65">
        <f>S5/H5+0.1</f>
        <v>0.74487880991174116</v>
      </c>
      <c r="U5" s="187"/>
    </row>
    <row r="6" spans="1:29" s="152" customFormat="1" ht="30" customHeight="1" x14ac:dyDescent="0.3">
      <c r="A6" s="100">
        <v>3</v>
      </c>
      <c r="B6" s="604" t="str">
        <f>PIERNA!B6</f>
        <v>TYSON FRESH MEAT</v>
      </c>
      <c r="C6" s="271" t="str">
        <f>PIERNA!C6</f>
        <v xml:space="preserve">I B P </v>
      </c>
      <c r="D6" s="600" t="str">
        <f>PIERNA!D6</f>
        <v>PED. 90429145</v>
      </c>
      <c r="E6" s="601">
        <f>PIERNA!E6</f>
        <v>44896</v>
      </c>
      <c r="F6" s="602">
        <f>PIERNA!F6</f>
        <v>18857.04</v>
      </c>
      <c r="G6" s="377">
        <f>PIERNA!G6</f>
        <v>20</v>
      </c>
      <c r="H6" s="410">
        <f>PIERNA!H6</f>
        <v>18935.560000000001</v>
      </c>
      <c r="I6" s="697">
        <f>PIERNA!I6</f>
        <v>-78.520000000000437</v>
      </c>
      <c r="J6" s="813" t="s">
        <v>354</v>
      </c>
      <c r="K6" s="994">
        <v>12161</v>
      </c>
      <c r="L6" s="1064" t="s">
        <v>233</v>
      </c>
      <c r="M6" s="762">
        <v>37120</v>
      </c>
      <c r="N6" s="780" t="s">
        <v>389</v>
      </c>
      <c r="O6" s="784">
        <v>1211480</v>
      </c>
      <c r="P6" s="782"/>
      <c r="Q6" s="1062">
        <f>44062.9*19.3</f>
        <v>850413.97000000009</v>
      </c>
      <c r="R6" s="1063" t="s">
        <v>232</v>
      </c>
      <c r="S6" s="65">
        <f t="shared" si="0"/>
        <v>899694.97000000009</v>
      </c>
      <c r="T6" s="65">
        <f t="shared" ref="T6:T31" si="1">S6/H6+0.1</f>
        <v>47.613512671397096</v>
      </c>
      <c r="U6" s="211"/>
    </row>
    <row r="7" spans="1:29" s="152" customFormat="1" ht="30" customHeight="1" x14ac:dyDescent="0.25">
      <c r="A7" s="100">
        <v>4</v>
      </c>
      <c r="B7" s="605" t="str">
        <f>PIERNA!B7</f>
        <v>SEABOARD FOODS</v>
      </c>
      <c r="C7" s="271" t="str">
        <f>PIERNA!C7</f>
        <v>Seaboard</v>
      </c>
      <c r="D7" s="600" t="str">
        <f>PIERNA!D7</f>
        <v>PED. 90446524</v>
      </c>
      <c r="E7" s="601">
        <f>PIERNA!E7</f>
        <v>44896</v>
      </c>
      <c r="F7" s="602">
        <f>PIERNA!F7</f>
        <v>19184.009999999998</v>
      </c>
      <c r="G7" s="377">
        <f>PIERNA!G7</f>
        <v>21</v>
      </c>
      <c r="H7" s="410">
        <f>PIERNA!H7</f>
        <v>19169.8</v>
      </c>
      <c r="I7" s="697">
        <f>PIERNA!I7</f>
        <v>14.209999999999127</v>
      </c>
      <c r="J7" s="790" t="s">
        <v>352</v>
      </c>
      <c r="K7" s="994">
        <v>9851</v>
      </c>
      <c r="L7" s="1064" t="s">
        <v>233</v>
      </c>
      <c r="M7" s="762">
        <v>37120</v>
      </c>
      <c r="N7" s="780" t="s">
        <v>389</v>
      </c>
      <c r="O7" s="784">
        <v>2111540</v>
      </c>
      <c r="P7" s="782"/>
      <c r="Q7" s="922">
        <f>45575.34*19.41</f>
        <v>884617.34939999995</v>
      </c>
      <c r="R7" s="921" t="s">
        <v>368</v>
      </c>
      <c r="S7" s="65">
        <f t="shared" si="0"/>
        <v>931588.34939999995</v>
      </c>
      <c r="T7" s="65">
        <f t="shared" si="1"/>
        <v>48.696665035628961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7" t="str">
        <f>PIERNA!B8</f>
        <v>SEABOARD FOODS</v>
      </c>
      <c r="C8" s="447" t="str">
        <f>PIERNA!C8</f>
        <v>Seaboard</v>
      </c>
      <c r="D8" s="600" t="str">
        <f>PIERNA!D8</f>
        <v>PED. 90509378</v>
      </c>
      <c r="E8" s="601">
        <f>PIERNA!E8</f>
        <v>44897</v>
      </c>
      <c r="F8" s="602">
        <f>PIERNA!F8</f>
        <v>18054.09</v>
      </c>
      <c r="G8" s="377">
        <f>PIERNA!G8</f>
        <v>20</v>
      </c>
      <c r="H8" s="410">
        <f>PIERNA!H8</f>
        <v>18007.599999999999</v>
      </c>
      <c r="I8" s="697">
        <f>PIERNA!I8</f>
        <v>46.490000000001601</v>
      </c>
      <c r="J8" s="778" t="s">
        <v>355</v>
      </c>
      <c r="K8" s="761">
        <v>12151</v>
      </c>
      <c r="L8" s="793" t="s">
        <v>388</v>
      </c>
      <c r="M8" s="762">
        <v>37120</v>
      </c>
      <c r="N8" s="786" t="s">
        <v>390</v>
      </c>
      <c r="O8" s="1083">
        <v>2111874</v>
      </c>
      <c r="P8" s="782"/>
      <c r="Q8" s="922">
        <f>40887.03*19.405</f>
        <v>793412.81715000002</v>
      </c>
      <c r="R8" s="924" t="s">
        <v>370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03" t="str">
        <f>PIERNA!B9</f>
        <v>TYSON FRESH MEAT</v>
      </c>
      <c r="C9" s="271" t="str">
        <f>PIERNA!C9</f>
        <v xml:space="preserve">I B P </v>
      </c>
      <c r="D9" s="600" t="str">
        <f>PIERNA!D9</f>
        <v>PED. 90509303</v>
      </c>
      <c r="E9" s="601">
        <f>PIERNA!E9</f>
        <v>44898</v>
      </c>
      <c r="F9" s="602">
        <f>PIERNA!F9</f>
        <v>18435.43</v>
      </c>
      <c r="G9" s="377">
        <f>PIERNA!G9</f>
        <v>20</v>
      </c>
      <c r="H9" s="410">
        <f>PIERNA!H9</f>
        <v>18351.310000000001</v>
      </c>
      <c r="I9" s="697">
        <f>PIERNA!I9</f>
        <v>84.119999999998981</v>
      </c>
      <c r="J9" s="778" t="s">
        <v>357</v>
      </c>
      <c r="K9" s="994">
        <v>12161</v>
      </c>
      <c r="L9" s="1064" t="s">
        <v>233</v>
      </c>
      <c r="M9" s="762">
        <v>37120</v>
      </c>
      <c r="N9" s="786" t="s">
        <v>390</v>
      </c>
      <c r="O9" s="788">
        <v>1213583</v>
      </c>
      <c r="P9" s="782"/>
      <c r="Q9" s="525">
        <f>43731.05*19.445</f>
        <v>850350.26725000003</v>
      </c>
      <c r="R9" s="789" t="s">
        <v>384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 xml:space="preserve">OJAI ALIMENTOS SA DE CV </v>
      </c>
      <c r="C10" s="271" t="str">
        <f>PIERNA!C10</f>
        <v>CERDO EN COMBO</v>
      </c>
      <c r="D10" s="600">
        <f>PIERNA!D10</f>
        <v>0</v>
      </c>
      <c r="E10" s="601">
        <f>PIERNA!E10</f>
        <v>44898</v>
      </c>
      <c r="F10" s="602">
        <f>PIERNA!F10</f>
        <v>1123</v>
      </c>
      <c r="G10" s="377">
        <f>PIERNA!G10</f>
        <v>2</v>
      </c>
      <c r="H10" s="410">
        <f>PIERNA!H10</f>
        <v>1123</v>
      </c>
      <c r="I10" s="697">
        <f>PIERNA!I10</f>
        <v>0</v>
      </c>
      <c r="J10" s="1071" t="s">
        <v>362</v>
      </c>
      <c r="K10" s="761"/>
      <c r="L10" s="793"/>
      <c r="M10" s="762"/>
      <c r="N10" s="786"/>
      <c r="O10" s="788" t="s">
        <v>358</v>
      </c>
      <c r="P10" s="782"/>
      <c r="Q10" s="525">
        <f>134+65000</f>
        <v>65134</v>
      </c>
      <c r="R10" s="789" t="s">
        <v>377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7" t="str">
        <f>PIERNA!B11</f>
        <v>SEABOARD FOODS</v>
      </c>
      <c r="C11" s="271" t="str">
        <f>PIERNA!C11</f>
        <v>Seaboard</v>
      </c>
      <c r="D11" s="600" t="str">
        <f>PIERNA!D11</f>
        <v>PED. 90587790</v>
      </c>
      <c r="E11" s="601">
        <f>PIERNA!E11</f>
        <v>44901</v>
      </c>
      <c r="F11" s="602">
        <f>PIERNA!F11</f>
        <v>18014.7</v>
      </c>
      <c r="G11" s="377">
        <f>PIERNA!G11</f>
        <v>20</v>
      </c>
      <c r="H11" s="410">
        <f>PIERNA!H11</f>
        <v>18032</v>
      </c>
      <c r="I11" s="697">
        <f>PIERNA!I11</f>
        <v>-17.299999999999272</v>
      </c>
      <c r="J11" s="790" t="s">
        <v>361</v>
      </c>
      <c r="K11" s="761">
        <v>11151</v>
      </c>
      <c r="L11" s="787" t="s">
        <v>390</v>
      </c>
      <c r="M11" s="762">
        <v>27840</v>
      </c>
      <c r="N11" s="786" t="s">
        <v>394</v>
      </c>
      <c r="O11" s="791">
        <v>2111873</v>
      </c>
      <c r="P11" s="782"/>
      <c r="Q11" s="920">
        <f>40942.64*19.405</f>
        <v>794491.92920000001</v>
      </c>
      <c r="R11" s="923" t="s">
        <v>370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00" t="str">
        <f>PIERNA!D12</f>
        <v>PED. 90644060</v>
      </c>
      <c r="E12" s="601">
        <f>PIERNA!E12</f>
        <v>44901</v>
      </c>
      <c r="F12" s="602">
        <f>PIERNA!F12</f>
        <v>19221</v>
      </c>
      <c r="G12" s="377">
        <f>PIERNA!G12</f>
        <v>21</v>
      </c>
      <c r="H12" s="410">
        <f>PIERNA!H12</f>
        <v>19080.599999999999</v>
      </c>
      <c r="I12" s="697">
        <f>PIERNA!I12</f>
        <v>140.40000000000146</v>
      </c>
      <c r="J12" s="778" t="s">
        <v>351</v>
      </c>
      <c r="K12" s="761">
        <v>11151</v>
      </c>
      <c r="L12" s="787" t="s">
        <v>391</v>
      </c>
      <c r="M12" s="762">
        <v>37120</v>
      </c>
      <c r="N12" s="786" t="s">
        <v>392</v>
      </c>
      <c r="O12" s="791">
        <v>2113851</v>
      </c>
      <c r="P12" s="782"/>
      <c r="Q12" s="920">
        <f>43121.86*19.335</f>
        <v>833761.16310000001</v>
      </c>
      <c r="R12" s="923" t="s">
        <v>369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05" t="str">
        <f>PIERNA!B13</f>
        <v>TYSON FRESH MEAT</v>
      </c>
      <c r="C13" s="271" t="str">
        <f>PIERNA!C13</f>
        <v xml:space="preserve">I B P </v>
      </c>
      <c r="D13" s="600" t="str">
        <f>PIERNA!D13</f>
        <v>PED. 90707882</v>
      </c>
      <c r="E13" s="601">
        <f>PIERNA!E13</f>
        <v>44902</v>
      </c>
      <c r="F13" s="602">
        <f>PIERNA!F13</f>
        <v>18623.95</v>
      </c>
      <c r="G13" s="377">
        <f>PIERNA!G13</f>
        <v>20</v>
      </c>
      <c r="H13" s="410">
        <f>PIERNA!H13</f>
        <v>18651.62</v>
      </c>
      <c r="I13" s="697">
        <f>PIERNA!I13</f>
        <v>-27.669999999998254</v>
      </c>
      <c r="J13" s="917" t="s">
        <v>363</v>
      </c>
      <c r="K13" s="761">
        <v>11151</v>
      </c>
      <c r="L13" s="787" t="s">
        <v>392</v>
      </c>
      <c r="M13" s="762">
        <v>37120</v>
      </c>
      <c r="N13" s="786" t="s">
        <v>386</v>
      </c>
      <c r="O13" s="791">
        <v>1219005</v>
      </c>
      <c r="P13" s="782"/>
      <c r="Q13" s="386">
        <f>42254.91*19.79</f>
        <v>836224.66890000005</v>
      </c>
      <c r="R13" s="789" t="s">
        <v>387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03" t="str">
        <f>PIERNA!B14</f>
        <v>SEABOARD FOODS</v>
      </c>
      <c r="C14" s="271" t="str">
        <f>PIERNA!C14</f>
        <v>Seaboard</v>
      </c>
      <c r="D14" s="600" t="str">
        <f>PIERNA!D14</f>
        <v>PED. 90757463</v>
      </c>
      <c r="E14" s="601">
        <f>PIERNA!E14</f>
        <v>44903</v>
      </c>
      <c r="F14" s="602">
        <f>PIERNA!F14</f>
        <v>18888.5</v>
      </c>
      <c r="G14" s="377">
        <f>PIERNA!G14</f>
        <v>21</v>
      </c>
      <c r="H14" s="410">
        <f>PIERNA!H14</f>
        <v>18798.7</v>
      </c>
      <c r="I14" s="697">
        <f>PIERNA!I14</f>
        <v>89.799999999999272</v>
      </c>
      <c r="J14" s="790" t="s">
        <v>364</v>
      </c>
      <c r="K14" s="761">
        <v>12001</v>
      </c>
      <c r="L14" s="787" t="s">
        <v>386</v>
      </c>
      <c r="M14" s="762">
        <v>37120</v>
      </c>
      <c r="N14" s="786" t="s">
        <v>393</v>
      </c>
      <c r="O14" s="788">
        <v>2113852</v>
      </c>
      <c r="P14" s="782"/>
      <c r="Q14" s="386">
        <f>41091.73*19.185</f>
        <v>788344.84005</v>
      </c>
      <c r="R14" s="792" t="s">
        <v>380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9" t="str">
        <f>PIERNA!B15</f>
        <v>TYSON FRESH MEAT</v>
      </c>
      <c r="C15" s="271" t="str">
        <f>PIERNA!C15</f>
        <v xml:space="preserve">I B P </v>
      </c>
      <c r="D15" s="600" t="str">
        <f>PIERNA!D15</f>
        <v>PED. 90722929</v>
      </c>
      <c r="E15" s="601">
        <f>PIERNA!E15</f>
        <v>44903</v>
      </c>
      <c r="F15" s="602">
        <f>PIERNA!F15</f>
        <v>18366.080000000002</v>
      </c>
      <c r="G15" s="377">
        <f>PIERNA!G15</f>
        <v>20</v>
      </c>
      <c r="H15" s="410">
        <f>PIERNA!H15</f>
        <v>18341.810000000001</v>
      </c>
      <c r="I15" s="697">
        <f>PIERNA!I15</f>
        <v>24.270000000000437</v>
      </c>
      <c r="J15" s="1082" t="s">
        <v>365</v>
      </c>
      <c r="K15" s="761">
        <v>12543</v>
      </c>
      <c r="L15" s="787" t="s">
        <v>392</v>
      </c>
      <c r="M15" s="762">
        <v>37120</v>
      </c>
      <c r="N15" s="793" t="s">
        <v>386</v>
      </c>
      <c r="O15" s="794"/>
      <c r="P15" s="782"/>
      <c r="Q15" s="386"/>
      <c r="R15" s="795"/>
      <c r="S15" s="65">
        <f t="shared" si="0"/>
        <v>49663</v>
      </c>
      <c r="T15" s="65">
        <f t="shared" si="1"/>
        <v>2.8076389952790919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05" t="str">
        <f>PIERNA!B16</f>
        <v>SEABOARD FOODS</v>
      </c>
      <c r="C16" s="271" t="str">
        <f>PIERNA!C16</f>
        <v>Seaboard</v>
      </c>
      <c r="D16" s="600" t="str">
        <f>PIERNA!D16</f>
        <v>PED. 90825607</v>
      </c>
      <c r="E16" s="601">
        <f>PIERNA!E16</f>
        <v>44904</v>
      </c>
      <c r="F16" s="602">
        <f>PIERNA!F16</f>
        <v>18847.11</v>
      </c>
      <c r="G16" s="377">
        <f>PIERNA!G16</f>
        <v>21</v>
      </c>
      <c r="H16" s="410">
        <f>PIERNA!H16</f>
        <v>18871.3</v>
      </c>
      <c r="I16" s="697">
        <f>PIERNA!I16</f>
        <v>-24.18999999999869</v>
      </c>
      <c r="J16" s="796" t="s">
        <v>366</v>
      </c>
      <c r="K16" s="761">
        <v>11151</v>
      </c>
      <c r="L16" s="787" t="s">
        <v>393</v>
      </c>
      <c r="M16" s="762">
        <v>37120</v>
      </c>
      <c r="N16" s="793" t="s">
        <v>394</v>
      </c>
      <c r="O16" s="791">
        <v>2114514</v>
      </c>
      <c r="P16" s="782"/>
      <c r="Q16" s="525">
        <f>40672.07*19.8</f>
        <v>805306.98600000003</v>
      </c>
      <c r="R16" s="789" t="s">
        <v>385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03" t="str">
        <f>PIERNA!B17</f>
        <v>SEABOARD FOODS</v>
      </c>
      <c r="C17" s="271" t="str">
        <f>PIERNA!C17</f>
        <v>Seaboard</v>
      </c>
      <c r="D17" s="600" t="str">
        <f>PIERNA!D17</f>
        <v>PED. 90825386</v>
      </c>
      <c r="E17" s="601">
        <f>PIERNA!E17</f>
        <v>44904</v>
      </c>
      <c r="F17" s="602">
        <f>PIERNA!F17</f>
        <v>19130.18</v>
      </c>
      <c r="G17" s="377">
        <f>PIERNA!G17</f>
        <v>21</v>
      </c>
      <c r="H17" s="410">
        <f>PIERNA!H17</f>
        <v>19185.5</v>
      </c>
      <c r="I17" s="697">
        <f>PIERNA!I17</f>
        <v>-55.319999999999709</v>
      </c>
      <c r="J17" s="928" t="s">
        <v>367</v>
      </c>
      <c r="K17" s="761">
        <v>9851</v>
      </c>
      <c r="L17" s="787" t="s">
        <v>393</v>
      </c>
      <c r="M17" s="762">
        <v>37120</v>
      </c>
      <c r="N17" s="793" t="s">
        <v>394</v>
      </c>
      <c r="O17" s="791">
        <v>2114320</v>
      </c>
      <c r="P17" s="782"/>
      <c r="Q17" s="920">
        <f>41349.55*19.335</f>
        <v>799493.54925000004</v>
      </c>
      <c r="R17" s="923" t="s">
        <v>369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03" t="str">
        <f>PIERNA!B18</f>
        <v>SEABOARD FOODS</v>
      </c>
      <c r="C18" s="271" t="str">
        <f>PIERNA!C18</f>
        <v>Seaboard</v>
      </c>
      <c r="D18" s="600" t="str">
        <f>PIERNA!D18</f>
        <v>PED. 90825608</v>
      </c>
      <c r="E18" s="601">
        <f>PIERNA!E18</f>
        <v>44904</v>
      </c>
      <c r="F18" s="602">
        <f>PIERNA!F18</f>
        <v>18790.439999999999</v>
      </c>
      <c r="G18" s="377">
        <f>PIERNA!G18</f>
        <v>21</v>
      </c>
      <c r="H18" s="410">
        <f>PIERNA!H18</f>
        <v>18821</v>
      </c>
      <c r="I18" s="697">
        <f>PIERNA!I18</f>
        <v>-30.56000000000131</v>
      </c>
      <c r="J18" s="790" t="s">
        <v>424</v>
      </c>
      <c r="K18" s="761">
        <v>12001</v>
      </c>
      <c r="L18" s="787" t="s">
        <v>393</v>
      </c>
      <c r="M18" s="762">
        <v>37120</v>
      </c>
      <c r="N18" s="793" t="s">
        <v>488</v>
      </c>
      <c r="O18" s="781">
        <v>2114513</v>
      </c>
      <c r="P18" s="782"/>
      <c r="Q18" s="525">
        <f>40564.53*19.445</f>
        <v>788777.28584999999</v>
      </c>
      <c r="R18" s="792" t="s">
        <v>498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03" t="str">
        <f>PIERNA!B19</f>
        <v>SEABOARD FOODS</v>
      </c>
      <c r="C19" s="271" t="str">
        <f>PIERNA!C19</f>
        <v>Seaboard</v>
      </c>
      <c r="D19" s="600" t="str">
        <f>PIERNA!D19</f>
        <v>PED. 90826159</v>
      </c>
      <c r="E19" s="601">
        <f>PIERNA!E19</f>
        <v>44905</v>
      </c>
      <c r="F19" s="602">
        <f>PIERNA!F19</f>
        <v>18848.189999999999</v>
      </c>
      <c r="G19" s="377">
        <f>PIERNA!G19</f>
        <v>21</v>
      </c>
      <c r="H19" s="410">
        <f>PIERNA!H19</f>
        <v>18826.7</v>
      </c>
      <c r="I19" s="697">
        <f>PIERNA!I19</f>
        <v>21.489999999997963</v>
      </c>
      <c r="J19" s="790" t="s">
        <v>425</v>
      </c>
      <c r="K19" s="761">
        <v>12161</v>
      </c>
      <c r="L19" s="787" t="s">
        <v>393</v>
      </c>
      <c r="M19" s="762">
        <v>27840</v>
      </c>
      <c r="N19" s="786" t="s">
        <v>497</v>
      </c>
      <c r="O19" s="788">
        <v>2114512</v>
      </c>
      <c r="P19" s="734"/>
      <c r="Q19" s="525">
        <f>40576.27*19.445</f>
        <v>789005.57014999993</v>
      </c>
      <c r="R19" s="780" t="s">
        <v>498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05" t="str">
        <f>PIERNA!B20</f>
        <v>TYSON FRESH MEAT</v>
      </c>
      <c r="C20" s="271" t="str">
        <f>PIERNA!C20</f>
        <v xml:space="preserve">I B P </v>
      </c>
      <c r="D20" s="600" t="str">
        <f>PIERNA!D20</f>
        <v>PED. 90888795</v>
      </c>
      <c r="E20" s="601">
        <f>PIERNA!E20</f>
        <v>44905</v>
      </c>
      <c r="F20" s="602">
        <f>PIERNA!F20</f>
        <v>18920.68</v>
      </c>
      <c r="G20" s="377">
        <f>PIERNA!G20</f>
        <v>20</v>
      </c>
      <c r="H20" s="410">
        <f>PIERNA!H20</f>
        <v>18959.16</v>
      </c>
      <c r="I20" s="697">
        <f>PIERNA!I20</f>
        <v>-38.479999999999563</v>
      </c>
      <c r="J20" s="778" t="s">
        <v>426</v>
      </c>
      <c r="K20" s="761">
        <v>11151</v>
      </c>
      <c r="L20" s="787" t="s">
        <v>394</v>
      </c>
      <c r="M20" s="762">
        <v>37120</v>
      </c>
      <c r="N20" s="786" t="s">
        <v>394</v>
      </c>
      <c r="O20" s="788">
        <v>1220782</v>
      </c>
      <c r="P20" s="782"/>
      <c r="Q20" s="525">
        <f>41547.21*19.56</f>
        <v>812663.42759999994</v>
      </c>
      <c r="R20" s="780" t="s">
        <v>462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7" t="str">
        <f>PIERNA!B21</f>
        <v>SEABOARD FOODS</v>
      </c>
      <c r="C21" s="378" t="str">
        <f>PIERNA!C21</f>
        <v>Seaboard</v>
      </c>
      <c r="D21" s="600" t="str">
        <f>PIERNA!D21</f>
        <v>PED. 90971391</v>
      </c>
      <c r="E21" s="601">
        <f>PIERNA!E21</f>
        <v>44908</v>
      </c>
      <c r="F21" s="602">
        <f>PIERNA!F21</f>
        <v>18992.169999999998</v>
      </c>
      <c r="G21" s="377">
        <f>PIERNA!G21</f>
        <v>21</v>
      </c>
      <c r="H21" s="410">
        <f>PIERNA!H21</f>
        <v>18917.400000000001</v>
      </c>
      <c r="I21" s="697">
        <f>PIERNA!I21</f>
        <v>74.769999999996799</v>
      </c>
      <c r="J21" s="778" t="s">
        <v>430</v>
      </c>
      <c r="K21" s="761">
        <v>12151</v>
      </c>
      <c r="L21" s="787" t="s">
        <v>493</v>
      </c>
      <c r="M21" s="762">
        <v>37120</v>
      </c>
      <c r="N21" s="786" t="s">
        <v>493</v>
      </c>
      <c r="O21" s="791">
        <v>2116427</v>
      </c>
      <c r="P21" s="782"/>
      <c r="Q21" s="525">
        <f>42604.72*19.74</f>
        <v>841017.17279999994</v>
      </c>
      <c r="R21" s="780" t="s">
        <v>487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00" t="str">
        <f>PIERNA!D22</f>
        <v>PED. 90970890</v>
      </c>
      <c r="E22" s="601">
        <f>PIERNA!E22</f>
        <v>44908</v>
      </c>
      <c r="F22" s="602">
        <f>PIERNA!F22</f>
        <v>18949.169999999998</v>
      </c>
      <c r="G22" s="377">
        <f>PIERNA!G22</f>
        <v>21</v>
      </c>
      <c r="H22" s="410">
        <f>PIERNA!H22</f>
        <v>0</v>
      </c>
      <c r="I22" s="697">
        <f>PIERNA!I22</f>
        <v>18949.169999999998</v>
      </c>
      <c r="J22" s="790" t="s">
        <v>431</v>
      </c>
      <c r="K22" s="761">
        <v>12151</v>
      </c>
      <c r="L22" s="787" t="s">
        <v>493</v>
      </c>
      <c r="M22" s="762">
        <v>37120</v>
      </c>
      <c r="N22" s="786" t="s">
        <v>493</v>
      </c>
      <c r="O22" s="791">
        <v>2116428</v>
      </c>
      <c r="P22" s="798"/>
      <c r="Q22" s="525">
        <f>42500.53*19.74</f>
        <v>838960.46219999995</v>
      </c>
      <c r="R22" s="780" t="s">
        <v>487</v>
      </c>
      <c r="S22" s="65">
        <f>Q22+M22+K22</f>
        <v>888231.46219999995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SEABOARD FOODS</v>
      </c>
      <c r="C23" s="271" t="str">
        <f>PIERNA!C23</f>
        <v>Seaboard</v>
      </c>
      <c r="D23" s="600" t="str">
        <f>PIERNA!D23</f>
        <v>PED. 90973441</v>
      </c>
      <c r="E23" s="601">
        <f>PIERNA!E23</f>
        <v>44908</v>
      </c>
      <c r="F23" s="602">
        <f>PIERNA!F23</f>
        <v>19166.849999999999</v>
      </c>
      <c r="G23" s="377">
        <f>PIERNA!G23</f>
        <v>21</v>
      </c>
      <c r="H23" s="410">
        <f>PIERNA!H23</f>
        <v>19058.7</v>
      </c>
      <c r="I23" s="697">
        <f>PIERNA!I23</f>
        <v>108.14999999999782</v>
      </c>
      <c r="J23" s="778" t="s">
        <v>432</v>
      </c>
      <c r="K23" s="761">
        <v>9851</v>
      </c>
      <c r="L23" s="787" t="s">
        <v>493</v>
      </c>
      <c r="M23" s="762">
        <v>37120</v>
      </c>
      <c r="N23" s="786" t="s">
        <v>493</v>
      </c>
      <c r="O23" s="781">
        <v>2116429</v>
      </c>
      <c r="P23" s="782"/>
      <c r="Q23" s="525">
        <f>42921.39*19.81</f>
        <v>850272.73589999997</v>
      </c>
      <c r="R23" s="780" t="s">
        <v>461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03" t="str">
        <f>PIERNA!B24</f>
        <v>TYSON FRESH MEAT</v>
      </c>
      <c r="C24" s="271" t="str">
        <f>PIERNA!C24</f>
        <v xml:space="preserve">I B P </v>
      </c>
      <c r="D24" s="606" t="str">
        <f>PIERNA!D24</f>
        <v>PED. 910285201</v>
      </c>
      <c r="E24" s="601">
        <f>PIERNA!E24</f>
        <v>44909</v>
      </c>
      <c r="F24" s="602">
        <f>PIERNA!F24</f>
        <v>18590.849999999999</v>
      </c>
      <c r="G24" s="377">
        <f>PIERNA!G24</f>
        <v>20</v>
      </c>
      <c r="H24" s="410">
        <f>PIERNA!H24</f>
        <v>18618.48</v>
      </c>
      <c r="I24" s="697">
        <f>PIERNA!I24</f>
        <v>-27.630000000001019</v>
      </c>
      <c r="J24" s="790" t="s">
        <v>433</v>
      </c>
      <c r="K24" s="761">
        <v>11001</v>
      </c>
      <c r="L24" s="787" t="s">
        <v>493</v>
      </c>
      <c r="M24" s="762">
        <v>37120</v>
      </c>
      <c r="N24" s="786" t="s">
        <v>494</v>
      </c>
      <c r="O24" s="788">
        <v>1231770</v>
      </c>
      <c r="P24" s="782"/>
      <c r="Q24" s="525">
        <f>42032.13*19.825</f>
        <v>833286.97724999988</v>
      </c>
      <c r="R24" s="780" t="s">
        <v>464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TYSON FREHS MEAT</v>
      </c>
      <c r="C25" s="382" t="str">
        <f>PIERNA!HN5</f>
        <v xml:space="preserve">I B P </v>
      </c>
      <c r="D25" s="606" t="str">
        <f>PIERNA!HO5</f>
        <v>PED. 91026280</v>
      </c>
      <c r="E25" s="601">
        <f>PIERNA!E25</f>
        <v>44909</v>
      </c>
      <c r="F25" s="602">
        <f>PIERNA!HQ5</f>
        <v>18256.88</v>
      </c>
      <c r="G25" s="377">
        <f>PIERNA!HR5</f>
        <v>20</v>
      </c>
      <c r="H25" s="410">
        <f>PIERNA!HS5</f>
        <v>18237.5</v>
      </c>
      <c r="I25" s="697">
        <f>PIERNA!I25</f>
        <v>19.380000000001019</v>
      </c>
      <c r="J25" s="778" t="s">
        <v>434</v>
      </c>
      <c r="K25" s="761">
        <v>12151</v>
      </c>
      <c r="L25" s="787" t="s">
        <v>493</v>
      </c>
      <c r="M25" s="762">
        <v>37120</v>
      </c>
      <c r="N25" s="786" t="s">
        <v>494</v>
      </c>
      <c r="O25" s="788">
        <v>1231769</v>
      </c>
      <c r="P25" s="798"/>
      <c r="Q25" s="525">
        <f>41171.97*19.84</f>
        <v>816851.8848</v>
      </c>
      <c r="R25" s="783" t="s">
        <v>465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>TYSON FRESH MEAT</v>
      </c>
      <c r="C26" s="271" t="str">
        <f>PIERNA!HX5</f>
        <v xml:space="preserve">I B P </v>
      </c>
      <c r="D26" s="606" t="str">
        <f>PIERNA!HY5</f>
        <v>PED. 91075573</v>
      </c>
      <c r="E26" s="601">
        <f>PIERNA!HZ5</f>
        <v>44910</v>
      </c>
      <c r="F26" s="602">
        <f>PIERNA!IA5</f>
        <v>18753.78</v>
      </c>
      <c r="G26" s="607">
        <f>PIERNA!IB5</f>
        <v>20</v>
      </c>
      <c r="H26" s="410">
        <f>PIERNA!IC5</f>
        <v>18785</v>
      </c>
      <c r="I26" s="697">
        <f>PIERNA!I26</f>
        <v>-31.220000000001164</v>
      </c>
      <c r="J26" s="790" t="s">
        <v>436</v>
      </c>
      <c r="K26" s="761">
        <v>9851</v>
      </c>
      <c r="L26" s="779" t="s">
        <v>494</v>
      </c>
      <c r="M26" s="762">
        <v>37120</v>
      </c>
      <c r="N26" s="780" t="s">
        <v>496</v>
      </c>
      <c r="O26" s="788">
        <v>1233100</v>
      </c>
      <c r="P26" s="782"/>
      <c r="Q26" s="525">
        <f>43530.26*19.785</f>
        <v>861246.19410000008</v>
      </c>
      <c r="R26" s="780" t="s">
        <v>459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06" t="str">
        <f>PIERNA!II5</f>
        <v>PED. 91025870</v>
      </c>
      <c r="E27" s="601">
        <f>PIERNA!IJ5</f>
        <v>44910</v>
      </c>
      <c r="F27" s="602">
        <f>PIERNA!IK5</f>
        <v>19116.189999999999</v>
      </c>
      <c r="G27" s="607">
        <f>PIERNA!IL5</f>
        <v>21</v>
      </c>
      <c r="H27" s="410">
        <f>PIERNA!IM5</f>
        <v>19114.3</v>
      </c>
      <c r="I27" s="697">
        <f>PIERNA!I27</f>
        <v>1.8899999999994179</v>
      </c>
      <c r="J27" s="790" t="s">
        <v>437</v>
      </c>
      <c r="K27" s="761">
        <v>12001</v>
      </c>
      <c r="L27" s="779" t="s">
        <v>493</v>
      </c>
      <c r="M27" s="762">
        <v>37120</v>
      </c>
      <c r="N27" s="780" t="s">
        <v>494</v>
      </c>
      <c r="O27" s="788">
        <v>2116430</v>
      </c>
      <c r="P27" s="798"/>
      <c r="Q27" s="525">
        <f>43046.01*19.72</f>
        <v>848867.31720000005</v>
      </c>
      <c r="R27" s="780" t="s">
        <v>386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06" t="str">
        <f>PIERNA!IS5</f>
        <v>PED. 9102497</v>
      </c>
      <c r="E28" s="601">
        <f>PIERNA!IT5</f>
        <v>44911</v>
      </c>
      <c r="F28" s="602">
        <f>PIERNA!IU5</f>
        <v>19165.84</v>
      </c>
      <c r="G28" s="607">
        <f>PIERNA!IV5</f>
        <v>21</v>
      </c>
      <c r="H28" s="410">
        <f>PIERNA!IW5</f>
        <v>19125.2</v>
      </c>
      <c r="I28" s="697">
        <f>PIERNA!I28</f>
        <v>40.639999999999418</v>
      </c>
      <c r="J28" s="790" t="s">
        <v>438</v>
      </c>
      <c r="K28" s="761"/>
      <c r="L28" s="779"/>
      <c r="M28" s="762"/>
      <c r="N28" s="780"/>
      <c r="O28" s="788">
        <v>2116432</v>
      </c>
      <c r="P28" s="782"/>
      <c r="Q28" s="525">
        <f>44213.17*19.69</f>
        <v>870557.3173</v>
      </c>
      <c r="R28" s="783" t="s">
        <v>387</v>
      </c>
      <c r="S28" s="65">
        <f t="shared" si="0"/>
        <v>870557.3173</v>
      </c>
      <c r="T28" s="65">
        <f t="shared" si="1"/>
        <v>45.618860838056598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94" t="str">
        <f>PIERNA!JA5</f>
        <v>SEABOARD FOODS</v>
      </c>
      <c r="C29" s="271" t="str">
        <f>PIERNA!JB5</f>
        <v>Seaboard</v>
      </c>
      <c r="D29" s="606" t="str">
        <f>PIERNA!JC5</f>
        <v>PED. 91179969</v>
      </c>
      <c r="E29" s="601">
        <f>PIERNA!JD5</f>
        <v>44911</v>
      </c>
      <c r="F29" s="602">
        <f>PIERNA!JE5</f>
        <v>19052.3</v>
      </c>
      <c r="G29" s="607">
        <f>PIERNA!JF5</f>
        <v>21</v>
      </c>
      <c r="H29" s="410">
        <f>PIERNA!JG5</f>
        <v>19018.2</v>
      </c>
      <c r="I29" s="697">
        <f>PIERNA!I29</f>
        <v>34.099999999998545</v>
      </c>
      <c r="J29" s="797" t="s">
        <v>439</v>
      </c>
      <c r="K29" s="699">
        <v>12001</v>
      </c>
      <c r="L29" s="779" t="s">
        <v>496</v>
      </c>
      <c r="M29" s="762">
        <v>37120</v>
      </c>
      <c r="N29" s="780" t="s">
        <v>497</v>
      </c>
      <c r="O29" s="781">
        <v>2117525</v>
      </c>
      <c r="P29" s="782"/>
      <c r="Q29" s="525">
        <f>42368.24*19.79</f>
        <v>838467.46959999995</v>
      </c>
      <c r="R29" s="783" t="s">
        <v>488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06" t="str">
        <f>PIERNA!JM5</f>
        <v>PED. 91092545</v>
      </c>
      <c r="E30" s="608">
        <f>PIERNA!JN5</f>
        <v>44912</v>
      </c>
      <c r="F30" s="609">
        <f>PIERNA!JO5</f>
        <v>19132.05</v>
      </c>
      <c r="G30" s="389">
        <f>PIERNA!JP5</f>
        <v>21</v>
      </c>
      <c r="H30" s="610">
        <f>PIERNA!JQ5</f>
        <v>19056.099999999999</v>
      </c>
      <c r="I30" s="697">
        <f>PIERNA!I30</f>
        <v>75.950000000000728</v>
      </c>
      <c r="J30" s="778" t="s">
        <v>440</v>
      </c>
      <c r="K30" s="761">
        <v>12001</v>
      </c>
      <c r="L30" s="779" t="s">
        <v>495</v>
      </c>
      <c r="M30" s="762"/>
      <c r="N30" s="780"/>
      <c r="O30" s="781">
        <v>2116431</v>
      </c>
      <c r="P30" s="782"/>
      <c r="Q30" s="525">
        <f>44053.78*19.69</f>
        <v>867418.92820000008</v>
      </c>
      <c r="R30" s="783" t="s">
        <v>387</v>
      </c>
      <c r="S30" s="65">
        <f>Q30+M30+K30</f>
        <v>879419.92820000008</v>
      </c>
      <c r="T30" s="65">
        <f t="shared" si="1"/>
        <v>46.248998388967323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SEABOARD FOODS</v>
      </c>
      <c r="C31" s="611" t="str">
        <f>PIERNA!JV5</f>
        <v>Seaboard</v>
      </c>
      <c r="D31" s="606" t="str">
        <f>PIERNA!JW5</f>
        <v>PED. 91143502</v>
      </c>
      <c r="E31" s="608">
        <f>PIERNA!JX5</f>
        <v>44912</v>
      </c>
      <c r="F31" s="609">
        <f>PIERNA!JY5</f>
        <v>19022.099999999999</v>
      </c>
      <c r="G31" s="389">
        <f>PIERNA!JZ5</f>
        <v>21</v>
      </c>
      <c r="H31" s="610">
        <f>PIERNA!KA5</f>
        <v>18972.900000000001</v>
      </c>
      <c r="I31" s="697">
        <f>PIERNA!I31</f>
        <v>49.19999999999709</v>
      </c>
      <c r="J31" s="778" t="s">
        <v>441</v>
      </c>
      <c r="K31" s="761">
        <v>12161</v>
      </c>
      <c r="L31" s="779" t="s">
        <v>496</v>
      </c>
      <c r="M31" s="762">
        <v>37120</v>
      </c>
      <c r="N31" s="780" t="s">
        <v>497</v>
      </c>
      <c r="O31" s="781">
        <v>2117526</v>
      </c>
      <c r="P31" s="782"/>
      <c r="Q31" s="525">
        <f>42267.19*19.88</f>
        <v>840271.73719999997</v>
      </c>
      <c r="R31" s="783" t="s">
        <v>489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952" t="str">
        <f>PIERNA!KG5</f>
        <v>PED. 91307670</v>
      </c>
      <c r="E32" s="953">
        <f>PIERNA!KH5</f>
        <v>44915</v>
      </c>
      <c r="F32" s="609">
        <f>PIERNA!KI5</f>
        <v>19011.71</v>
      </c>
      <c r="G32" s="389">
        <f>PIERNA!KJ5</f>
        <v>21</v>
      </c>
      <c r="H32" s="610">
        <f>PIERNA!H32</f>
        <v>19014.5</v>
      </c>
      <c r="I32" s="697">
        <f>PIERNA!I32</f>
        <v>-2.7900000000008731</v>
      </c>
      <c r="J32" s="778" t="s">
        <v>447</v>
      </c>
      <c r="K32" s="761"/>
      <c r="L32" s="779"/>
      <c r="M32" s="762"/>
      <c r="N32" s="780"/>
      <c r="O32" s="781">
        <v>2118200</v>
      </c>
      <c r="P32" s="782"/>
      <c r="Q32" s="525">
        <f>41167.67*19.88</f>
        <v>818413.27959999989</v>
      </c>
      <c r="R32" s="783" t="s">
        <v>489</v>
      </c>
      <c r="S32" s="65">
        <f>Q32+M32+K32+P32</f>
        <v>818413.27959999989</v>
      </c>
      <c r="T32" s="65">
        <f t="shared" ref="T32:T41" si="8">S32/H32+0.1</f>
        <v>43.141535649109883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7" t="str">
        <f>PIERNA!KO5</f>
        <v>TYSON FRESH MEAT</v>
      </c>
      <c r="C33" s="271" t="str">
        <f>PIERNA!KP5</f>
        <v xml:space="preserve">I  B P </v>
      </c>
      <c r="D33" s="952" t="str">
        <f>PIERNA!KQ5</f>
        <v>PED. 91354477</v>
      </c>
      <c r="E33" s="953">
        <f>PIERNA!KR5</f>
        <v>44915</v>
      </c>
      <c r="F33" s="612">
        <f>PIERNA!KS5</f>
        <v>18789.09</v>
      </c>
      <c r="G33" s="613">
        <f>PIERNA!KT5</f>
        <v>20</v>
      </c>
      <c r="H33" s="610">
        <f>PIERNA!KU5</f>
        <v>18755.48</v>
      </c>
      <c r="I33" s="698">
        <f>PIERNA!I33</f>
        <v>33.610000000000582</v>
      </c>
      <c r="J33" s="778" t="s">
        <v>448</v>
      </c>
      <c r="K33" s="699"/>
      <c r="L33" s="779"/>
      <c r="M33" s="762"/>
      <c r="N33" s="780"/>
      <c r="O33" s="781">
        <v>1238364</v>
      </c>
      <c r="P33" s="799"/>
      <c r="Q33" s="525">
        <f>41312.79*19.71</f>
        <v>814275.09090000007</v>
      </c>
      <c r="R33" s="783" t="s">
        <v>492</v>
      </c>
      <c r="S33" s="65">
        <f>Q33+M33+K33+P33</f>
        <v>814275.09090000007</v>
      </c>
      <c r="T33" s="65">
        <f t="shared" si="8"/>
        <v>43.515315998310896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 t="str">
        <f>PIERNA!B34</f>
        <v>SEABOARD FOODS</v>
      </c>
      <c r="C34" s="378" t="str">
        <f>PIERNA!C34</f>
        <v>Seaboard</v>
      </c>
      <c r="D34" s="606" t="str">
        <f>PIERNA!D34</f>
        <v>PED. 91409199</v>
      </c>
      <c r="E34" s="608">
        <f>PIERNA!E34</f>
        <v>44916</v>
      </c>
      <c r="F34" s="612">
        <f>PIERNA!F34</f>
        <v>19050.21</v>
      </c>
      <c r="G34" s="613">
        <f>PIERNA!G34</f>
        <v>21</v>
      </c>
      <c r="H34" s="610">
        <f>PIERNA!H34</f>
        <v>18981.900000000001</v>
      </c>
      <c r="I34" s="697">
        <f>PIERNA!I34</f>
        <v>68.309999999997672</v>
      </c>
      <c r="J34" s="778" t="s">
        <v>449</v>
      </c>
      <c r="K34" s="761"/>
      <c r="L34" s="779"/>
      <c r="M34" s="762"/>
      <c r="N34" s="780"/>
      <c r="O34" s="784">
        <v>2118754</v>
      </c>
      <c r="P34" s="782"/>
      <c r="Q34" s="526">
        <f>41098.92*19.88</f>
        <v>817046.52959999989</v>
      </c>
      <c r="R34" s="785" t="s">
        <v>489</v>
      </c>
      <c r="S34" s="65">
        <f>Q34+M34+K34+P34</f>
        <v>817046.52959999989</v>
      </c>
      <c r="T34" s="65">
        <f t="shared" si="8"/>
        <v>43.143453479367182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 t="str">
        <f>PIERNA!B35</f>
        <v>TYSON FRESH MEAT</v>
      </c>
      <c r="C35" s="378" t="str">
        <f>PIERNA!C35</f>
        <v xml:space="preserve"> I B P</v>
      </c>
      <c r="D35" s="606" t="str">
        <f>PIERNA!D35</f>
        <v>PED. 91408419</v>
      </c>
      <c r="E35" s="608">
        <f>PIERNA!E35</f>
        <v>44916</v>
      </c>
      <c r="F35" s="612">
        <f>PIERNA!F35</f>
        <v>18670.64</v>
      </c>
      <c r="G35" s="614">
        <f>PIERNA!G35</f>
        <v>20</v>
      </c>
      <c r="H35" s="610">
        <f>PIERNA!H35</f>
        <v>18728.29</v>
      </c>
      <c r="I35" s="697">
        <f>PIERNA!I35</f>
        <v>-57.650000000001455</v>
      </c>
      <c r="J35" s="778" t="s">
        <v>450</v>
      </c>
      <c r="K35" s="761"/>
      <c r="L35" s="779"/>
      <c r="M35" s="762"/>
      <c r="N35" s="780"/>
      <c r="O35" s="784">
        <v>1239758</v>
      </c>
      <c r="P35" s="799"/>
      <c r="Q35" s="386">
        <f>40653.15*19.67</f>
        <v>799647.46050000004</v>
      </c>
      <c r="R35" s="783" t="s">
        <v>460</v>
      </c>
      <c r="S35" s="65">
        <f>Q35+M35+K35</f>
        <v>799647.46050000004</v>
      </c>
      <c r="T35" s="65">
        <f t="shared" si="8"/>
        <v>42.797302343139712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 t="str">
        <f>PIERNA!B36</f>
        <v>SEABOARD FOODS</v>
      </c>
      <c r="C36" s="378" t="str">
        <f>PIERNA!C36</f>
        <v>Seaboard</v>
      </c>
      <c r="D36" s="606" t="str">
        <f>PIERNA!D36</f>
        <v>PED. 91479897</v>
      </c>
      <c r="E36" s="608">
        <f>PIERNA!E36</f>
        <v>44917</v>
      </c>
      <c r="F36" s="612">
        <f>PIERNA!F36</f>
        <v>18579.03</v>
      </c>
      <c r="G36" s="614">
        <f>PIERNA!G36</f>
        <v>21</v>
      </c>
      <c r="H36" s="610">
        <f>PIERNA!H36</f>
        <v>18686.400000000001</v>
      </c>
      <c r="I36" s="697">
        <f>PIERNA!I36</f>
        <v>-107.37000000000262</v>
      </c>
      <c r="J36" s="778" t="s">
        <v>451</v>
      </c>
      <c r="K36" s="761"/>
      <c r="L36" s="779"/>
      <c r="M36" s="762"/>
      <c r="N36" s="786"/>
      <c r="O36" s="784">
        <v>2118201</v>
      </c>
      <c r="P36" s="799"/>
      <c r="Q36" s="386">
        <f>40458.59*19.62</f>
        <v>793797.53579999995</v>
      </c>
      <c r="R36" s="780" t="s">
        <v>490</v>
      </c>
      <c r="S36" s="65">
        <f t="shared" ref="S36:S39" si="9">Q36+M36+K36</f>
        <v>793797.53579999995</v>
      </c>
      <c r="T36" s="65">
        <f t="shared" si="8"/>
        <v>42.579960602363215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 t="str">
        <f>PIERNA!B37</f>
        <v>SEABOARD FOODS</v>
      </c>
      <c r="C37" s="378" t="str">
        <f>PIERNA!C37</f>
        <v>Seaboard</v>
      </c>
      <c r="D37" s="600" t="str">
        <f>PIERNA!D37</f>
        <v>PED. 91408800</v>
      </c>
      <c r="E37" s="601">
        <f>PIERNA!E37</f>
        <v>44917</v>
      </c>
      <c r="F37" s="602">
        <f>PIERNA!F37</f>
        <v>19089.29</v>
      </c>
      <c r="G37" s="377">
        <f>PIERNA!G37</f>
        <v>21</v>
      </c>
      <c r="H37" s="410">
        <f>PIERNA!H37</f>
        <v>19014.3</v>
      </c>
      <c r="I37" s="697">
        <f>PIERNA!I37</f>
        <v>74.990000000001601</v>
      </c>
      <c r="J37" s="778" t="s">
        <v>452</v>
      </c>
      <c r="K37" s="761"/>
      <c r="L37" s="779"/>
      <c r="M37" s="762"/>
      <c r="N37" s="780"/>
      <c r="O37" s="788">
        <v>2118756</v>
      </c>
      <c r="P37" s="782"/>
      <c r="Q37" s="525">
        <f>41169.63*19.62</f>
        <v>807748.14060000004</v>
      </c>
      <c r="R37" s="780" t="s">
        <v>462</v>
      </c>
      <c r="S37" s="65">
        <f>Q37+M37+K37</f>
        <v>807748.14060000004</v>
      </c>
      <c r="T37" s="65">
        <f t="shared" si="8"/>
        <v>42.581087423675868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 t="str">
        <f>PIERNA!B38</f>
        <v>TYSON FRESH MEAT</v>
      </c>
      <c r="C38" s="378" t="str">
        <f>PIERNA!C38</f>
        <v xml:space="preserve">I B P </v>
      </c>
      <c r="D38" s="441" t="str">
        <f>PIERNA!D38</f>
        <v>PED. 91478998</v>
      </c>
      <c r="E38" s="601">
        <f>PIERNA!E38</f>
        <v>44917</v>
      </c>
      <c r="F38" s="615">
        <f>PIERNA!F38</f>
        <v>18357.23</v>
      </c>
      <c r="G38" s="377">
        <f>PIERNA!G38</f>
        <v>20</v>
      </c>
      <c r="H38" s="409">
        <f>PIERNA!H38</f>
        <v>18390.810000000001</v>
      </c>
      <c r="I38" s="697">
        <f>PIERNA!I38</f>
        <v>-33.580000000001746</v>
      </c>
      <c r="J38" s="800" t="s">
        <v>453</v>
      </c>
      <c r="K38" s="761"/>
      <c r="L38" s="801"/>
      <c r="M38" s="762"/>
      <c r="N38" s="780"/>
      <c r="O38" s="788"/>
      <c r="P38" s="782"/>
      <c r="Q38" s="525"/>
      <c r="R38" s="783"/>
      <c r="S38" s="65">
        <f t="shared" si="9"/>
        <v>0</v>
      </c>
      <c r="T38" s="65">
        <f t="shared" si="8"/>
        <v>0.1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802" t="s">
        <v>454</v>
      </c>
      <c r="K39" s="386"/>
      <c r="L39" s="801"/>
      <c r="M39" s="762"/>
      <c r="N39" s="780"/>
      <c r="O39" s="781">
        <v>2120376</v>
      </c>
      <c r="P39" s="782"/>
      <c r="Q39" s="525">
        <f>40079.81*19.84</f>
        <v>795183.43039999995</v>
      </c>
      <c r="R39" s="783" t="s">
        <v>491</v>
      </c>
      <c r="S39" s="65">
        <f t="shared" si="9"/>
        <v>795183.43039999995</v>
      </c>
      <c r="T39" s="65">
        <f t="shared" si="8"/>
        <v>41.810383248358193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34" t="s">
        <v>455</v>
      </c>
      <c r="K40" s="762"/>
      <c r="L40" s="779"/>
      <c r="M40" s="762"/>
      <c r="N40" s="780"/>
      <c r="O40" s="781">
        <v>2120377</v>
      </c>
      <c r="P40" s="782"/>
      <c r="Q40" s="525">
        <f>40329.65*19.84</f>
        <v>800140.25600000005</v>
      </c>
      <c r="R40" s="783" t="s">
        <v>491</v>
      </c>
      <c r="S40" s="65">
        <f>Q40+M40+K40+P40</f>
        <v>800140.25600000005</v>
      </c>
      <c r="T40" s="65">
        <f t="shared" si="8"/>
        <v>41.810250895309991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34"/>
      <c r="K41" s="386"/>
      <c r="L41" s="779"/>
      <c r="M41" s="762"/>
      <c r="N41" s="780"/>
      <c r="O41" s="781"/>
      <c r="P41" s="782"/>
      <c r="Q41" s="525"/>
      <c r="R41" s="78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0">
        <f>PIERNA!C42</f>
        <v>0</v>
      </c>
      <c r="D42" s="166">
        <f>PIERNA!D42</f>
        <v>0</v>
      </c>
      <c r="E42" s="134">
        <f>PIERNA!E42</f>
        <v>0</v>
      </c>
      <c r="F42" s="446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34"/>
      <c r="K42" s="762"/>
      <c r="L42" s="779"/>
      <c r="M42" s="762"/>
      <c r="N42" s="780"/>
      <c r="O42" s="781"/>
      <c r="P42" s="782"/>
      <c r="Q42" s="525"/>
      <c r="R42" s="78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6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34"/>
      <c r="K43" s="762"/>
      <c r="L43" s="779"/>
      <c r="M43" s="762"/>
      <c r="N43" s="780"/>
      <c r="O43" s="781"/>
      <c r="P43" s="782"/>
      <c r="Q43" s="525"/>
      <c r="R43" s="78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6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597"/>
      <c r="M44" s="382"/>
      <c r="N44" s="598"/>
      <c r="O44" s="385"/>
      <c r="P44" s="384"/>
      <c r="Q44" s="386"/>
      <c r="R44" s="659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6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597"/>
      <c r="M45" s="382"/>
      <c r="N45" s="598"/>
      <c r="O45" s="385"/>
      <c r="P45" s="384"/>
      <c r="Q45" s="386"/>
      <c r="R45" s="659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6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597"/>
      <c r="M46" s="382"/>
      <c r="N46" s="598"/>
      <c r="O46" s="385"/>
      <c r="P46" s="384"/>
      <c r="Q46" s="386"/>
      <c r="R46" s="659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6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597"/>
      <c r="M47" s="583"/>
      <c r="N47" s="598"/>
      <c r="O47" s="388"/>
      <c r="P47" s="384"/>
      <c r="Q47" s="386"/>
      <c r="R47" s="659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6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597"/>
      <c r="M48" s="584"/>
      <c r="N48" s="598"/>
      <c r="O48" s="385"/>
      <c r="P48" s="384"/>
      <c r="Q48" s="386"/>
      <c r="R48" s="659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6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597"/>
      <c r="M49" s="584"/>
      <c r="N49" s="598"/>
      <c r="O49" s="385"/>
      <c r="P49" s="384"/>
      <c r="Q49" s="386"/>
      <c r="R49" s="659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6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597"/>
      <c r="M50" s="584"/>
      <c r="N50" s="598"/>
      <c r="O50" s="385"/>
      <c r="P50" s="384"/>
      <c r="Q50" s="386"/>
      <c r="R50" s="659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6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597"/>
      <c r="M51" s="584"/>
      <c r="N51" s="598"/>
      <c r="O51" s="385"/>
      <c r="P51" s="585"/>
      <c r="Q51" s="386"/>
      <c r="R51" s="659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6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597"/>
      <c r="M52" s="584"/>
      <c r="N52" s="598"/>
      <c r="O52" s="385"/>
      <c r="P52" s="384"/>
      <c r="Q52" s="386"/>
      <c r="R52" s="659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6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597"/>
      <c r="M53" s="584"/>
      <c r="N53" s="598"/>
      <c r="O53" s="385"/>
      <c r="P53" s="384"/>
      <c r="Q53" s="386"/>
      <c r="R53" s="659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6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597"/>
      <c r="M54" s="584"/>
      <c r="N54" s="598"/>
      <c r="O54" s="385"/>
      <c r="P54" s="384"/>
      <c r="Q54" s="386"/>
      <c r="R54" s="659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49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597"/>
      <c r="M55" s="584"/>
      <c r="N55" s="598"/>
      <c r="O55" s="385"/>
      <c r="P55" s="384"/>
      <c r="Q55" s="386"/>
      <c r="R55" s="65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6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597"/>
      <c r="M56" s="584"/>
      <c r="N56" s="598"/>
      <c r="O56" s="385"/>
      <c r="P56" s="384"/>
      <c r="Q56" s="386"/>
      <c r="R56" s="65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6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597"/>
      <c r="M57" s="584"/>
      <c r="N57" s="598"/>
      <c r="O57" s="385"/>
      <c r="P57" s="384"/>
      <c r="Q57" s="386"/>
      <c r="R57" s="65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6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597"/>
      <c r="M58" s="584"/>
      <c r="N58" s="598"/>
      <c r="O58" s="385"/>
      <c r="P58" s="384"/>
      <c r="Q58" s="386"/>
      <c r="R58" s="65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6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597"/>
      <c r="M59" s="584"/>
      <c r="N59" s="598"/>
      <c r="O59" s="385"/>
      <c r="P59" s="384"/>
      <c r="Q59" s="386"/>
      <c r="R59" s="65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6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86"/>
      <c r="L60" s="652"/>
      <c r="M60" s="584"/>
      <c r="N60" s="598"/>
      <c r="O60" s="385"/>
      <c r="P60" s="384"/>
      <c r="Q60" s="386"/>
      <c r="R60" s="65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6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597"/>
      <c r="M61" s="584"/>
      <c r="N61" s="598"/>
      <c r="O61" s="385"/>
      <c r="P61" s="384"/>
      <c r="Q61" s="386"/>
      <c r="R61" s="65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6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597"/>
      <c r="M62" s="584"/>
      <c r="N62" s="598"/>
      <c r="O62" s="385"/>
      <c r="P62" s="384"/>
      <c r="Q62" s="386"/>
      <c r="R62" s="65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6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597"/>
      <c r="M63" s="584"/>
      <c r="N63" s="598"/>
      <c r="O63" s="385"/>
      <c r="P63" s="384"/>
      <c r="Q63" s="386"/>
      <c r="R63" s="65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6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597"/>
      <c r="M64" s="584"/>
      <c r="N64" s="598"/>
      <c r="O64" s="385"/>
      <c r="P64" s="384"/>
      <c r="Q64" s="386"/>
      <c r="R64" s="65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6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597"/>
      <c r="M65" s="584"/>
      <c r="N65" s="598"/>
      <c r="O65" s="385"/>
      <c r="P65" s="384"/>
      <c r="Q65" s="386"/>
      <c r="R65" s="65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6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597"/>
      <c r="M66" s="584"/>
      <c r="N66" s="598"/>
      <c r="O66" s="385"/>
      <c r="P66" s="384"/>
      <c r="Q66" s="386"/>
      <c r="R66" s="65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6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597"/>
      <c r="M67" s="584"/>
      <c r="N67" s="598"/>
      <c r="O67" s="385"/>
      <c r="P67" s="384"/>
      <c r="Q67" s="386"/>
      <c r="R67" s="65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6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597"/>
      <c r="M68" s="584"/>
      <c r="N68" s="598"/>
      <c r="O68" s="385"/>
      <c r="P68" s="384"/>
      <c r="Q68" s="386"/>
      <c r="R68" s="65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6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597"/>
      <c r="M69" s="584"/>
      <c r="N69" s="598"/>
      <c r="O69" s="385"/>
      <c r="P69" s="384"/>
      <c r="Q69" s="386"/>
      <c r="R69" s="65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6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1"/>
      <c r="K70" s="382"/>
      <c r="L70" s="597"/>
      <c r="M70" s="584"/>
      <c r="N70" s="598"/>
      <c r="O70" s="385"/>
      <c r="P70" s="384"/>
      <c r="Q70" s="386"/>
      <c r="R70" s="65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6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1"/>
      <c r="K71" s="382"/>
      <c r="L71" s="597"/>
      <c r="M71" s="584"/>
      <c r="N71" s="598"/>
      <c r="O71" s="385"/>
      <c r="P71" s="384"/>
      <c r="Q71" s="386"/>
      <c r="R71" s="65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6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1"/>
      <c r="K72" s="382"/>
      <c r="L72" s="597"/>
      <c r="M72" s="584"/>
      <c r="N72" s="598"/>
      <c r="O72" s="385"/>
      <c r="P72" s="384"/>
      <c r="Q72" s="386"/>
      <c r="R72" s="659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6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1"/>
      <c r="K73" s="382"/>
      <c r="L73" s="597"/>
      <c r="M73" s="584"/>
      <c r="N73" s="598"/>
      <c r="O73" s="385"/>
      <c r="P73" s="384"/>
      <c r="Q73" s="386"/>
      <c r="R73" s="65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6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1"/>
      <c r="K74" s="382"/>
      <c r="L74" s="597"/>
      <c r="M74" s="584"/>
      <c r="N74" s="598"/>
      <c r="O74" s="385"/>
      <c r="P74" s="384"/>
      <c r="Q74" s="386"/>
      <c r="R74" s="65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6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1"/>
      <c r="K75" s="382"/>
      <c r="L75" s="597"/>
      <c r="M75" s="584"/>
      <c r="N75" s="598"/>
      <c r="O75" s="385"/>
      <c r="P75" s="384"/>
      <c r="Q75" s="386"/>
      <c r="R75" s="65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6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1"/>
      <c r="K76" s="382"/>
      <c r="L76" s="597"/>
      <c r="M76" s="584"/>
      <c r="N76" s="598"/>
      <c r="O76" s="385"/>
      <c r="P76" s="384"/>
      <c r="Q76" s="386"/>
      <c r="R76" s="65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6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1"/>
      <c r="K77" s="382"/>
      <c r="L77" s="597"/>
      <c r="M77" s="584"/>
      <c r="N77" s="598"/>
      <c r="O77" s="385"/>
      <c r="P77" s="384"/>
      <c r="Q77" s="386"/>
      <c r="R77" s="65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6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1"/>
      <c r="K78" s="382"/>
      <c r="L78" s="597"/>
      <c r="M78" s="584"/>
      <c r="N78" s="598"/>
      <c r="O78" s="385"/>
      <c r="P78" s="384"/>
      <c r="Q78" s="386"/>
      <c r="R78" s="65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6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1"/>
      <c r="K79" s="382"/>
      <c r="L79" s="597"/>
      <c r="M79" s="584"/>
      <c r="N79" s="598"/>
      <c r="O79" s="385"/>
      <c r="P79" s="384"/>
      <c r="Q79" s="386"/>
      <c r="R79" s="65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6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1"/>
      <c r="K80" s="382"/>
      <c r="L80" s="597"/>
      <c r="M80" s="584"/>
      <c r="N80" s="598"/>
      <c r="O80" s="385"/>
      <c r="P80" s="384"/>
      <c r="Q80" s="386"/>
      <c r="R80" s="65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6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1"/>
      <c r="K81" s="382"/>
      <c r="L81" s="597"/>
      <c r="M81" s="584"/>
      <c r="N81" s="598"/>
      <c r="O81" s="385"/>
      <c r="P81" s="384"/>
      <c r="Q81" s="386"/>
      <c r="R81" s="65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6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1"/>
      <c r="K82" s="382"/>
      <c r="L82" s="597"/>
      <c r="M82" s="584"/>
      <c r="N82" s="598"/>
      <c r="O82" s="385"/>
      <c r="P82" s="384"/>
      <c r="Q82" s="386"/>
      <c r="R82" s="65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6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1"/>
      <c r="K83" s="382"/>
      <c r="L83" s="597"/>
      <c r="M83" s="584"/>
      <c r="N83" s="598"/>
      <c r="O83" s="385"/>
      <c r="P83" s="384"/>
      <c r="Q83" s="386"/>
      <c r="R83" s="65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6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1"/>
      <c r="K84" s="382"/>
      <c r="L84" s="597"/>
      <c r="M84" s="584"/>
      <c r="N84" s="598"/>
      <c r="O84" s="385"/>
      <c r="P84" s="384"/>
      <c r="Q84" s="386"/>
      <c r="R84" s="65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6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1"/>
      <c r="K85" s="382"/>
      <c r="L85" s="597"/>
      <c r="M85" s="584"/>
      <c r="N85" s="598"/>
      <c r="O85" s="385"/>
      <c r="P85" s="384"/>
      <c r="Q85" s="386"/>
      <c r="R85" s="65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6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1"/>
      <c r="K86" s="382"/>
      <c r="L86" s="597"/>
      <c r="M86" s="584"/>
      <c r="N86" s="598"/>
      <c r="O86" s="385"/>
      <c r="P86" s="384"/>
      <c r="Q86" s="386"/>
      <c r="R86" s="65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6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1"/>
      <c r="K87" s="382"/>
      <c r="L87" s="597"/>
      <c r="M87" s="584"/>
      <c r="N87" s="598"/>
      <c r="O87" s="385"/>
      <c r="P87" s="384"/>
      <c r="Q87" s="386"/>
      <c r="R87" s="65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6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1"/>
      <c r="K88" s="382"/>
      <c r="L88" s="597"/>
      <c r="M88" s="584"/>
      <c r="N88" s="598"/>
      <c r="O88" s="385"/>
      <c r="P88" s="384"/>
      <c r="Q88" s="386"/>
      <c r="R88" s="65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6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1"/>
      <c r="K89" s="382"/>
      <c r="L89" s="597"/>
      <c r="M89" s="584"/>
      <c r="N89" s="598"/>
      <c r="O89" s="385"/>
      <c r="P89" s="384"/>
      <c r="Q89" s="386"/>
      <c r="R89" s="65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6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1"/>
      <c r="K90" s="382"/>
      <c r="L90" s="597"/>
      <c r="M90" s="584"/>
      <c r="N90" s="598"/>
      <c r="O90" s="385"/>
      <c r="P90" s="384"/>
      <c r="Q90" s="386"/>
      <c r="R90" s="65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6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1"/>
      <c r="K91" s="382"/>
      <c r="L91" s="597"/>
      <c r="M91" s="584"/>
      <c r="N91" s="598"/>
      <c r="O91" s="385"/>
      <c r="P91" s="384"/>
      <c r="Q91" s="386"/>
      <c r="R91" s="65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6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1"/>
      <c r="K92" s="382"/>
      <c r="L92" s="597"/>
      <c r="M92" s="584"/>
      <c r="N92" s="598"/>
      <c r="O92" s="385"/>
      <c r="P92" s="384"/>
      <c r="Q92" s="386"/>
      <c r="R92" s="65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6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1"/>
      <c r="K93" s="382"/>
      <c r="L93" s="597"/>
      <c r="M93" s="584"/>
      <c r="N93" s="598"/>
      <c r="O93" s="385"/>
      <c r="P93" s="384"/>
      <c r="Q93" s="386"/>
      <c r="R93" s="65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6"/>
      <c r="G94" s="161"/>
      <c r="H94" s="369"/>
      <c r="I94" s="105">
        <f>PIERNA!I94</f>
        <v>0</v>
      </c>
      <c r="J94" s="275"/>
      <c r="K94" s="587"/>
      <c r="L94" s="597"/>
      <c r="M94" s="584"/>
      <c r="N94" s="598"/>
      <c r="O94" s="385"/>
      <c r="P94" s="384"/>
      <c r="Q94" s="386"/>
      <c r="R94" s="65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6"/>
      <c r="G95" s="161"/>
      <c r="H95" s="369"/>
      <c r="I95" s="105">
        <f>PIERNA!I95</f>
        <v>0</v>
      </c>
      <c r="J95" s="441"/>
      <c r="K95" s="382"/>
      <c r="L95" s="597"/>
      <c r="M95" s="382"/>
      <c r="N95" s="598"/>
      <c r="O95" s="385"/>
      <c r="P95" s="384"/>
      <c r="Q95" s="386"/>
      <c r="R95" s="65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6"/>
      <c r="G96" s="161"/>
      <c r="H96" s="369"/>
      <c r="I96" s="105"/>
      <c r="J96" s="441"/>
      <c r="K96" s="382"/>
      <c r="L96" s="597"/>
      <c r="M96" s="382"/>
      <c r="N96" s="598"/>
      <c r="O96" s="385"/>
      <c r="P96" s="384"/>
      <c r="Q96" s="386"/>
      <c r="R96" s="659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6"/>
      <c r="G97" s="161"/>
      <c r="H97" s="369"/>
      <c r="I97" s="105"/>
      <c r="J97" s="441"/>
      <c r="K97" s="382"/>
      <c r="L97" s="597"/>
      <c r="M97" s="382"/>
      <c r="N97" s="598"/>
      <c r="O97" s="463"/>
      <c r="P97" s="463"/>
      <c r="Q97" s="524"/>
      <c r="R97" s="66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6"/>
      <c r="G98" s="161"/>
      <c r="H98" s="369"/>
      <c r="I98" s="105"/>
      <c r="J98" s="441"/>
      <c r="K98" s="382"/>
      <c r="L98" s="597"/>
      <c r="M98" s="382"/>
      <c r="N98" s="598"/>
      <c r="O98" s="812"/>
      <c r="P98" s="812"/>
      <c r="Q98" s="907"/>
      <c r="R98" s="819"/>
      <c r="S98" s="65"/>
      <c r="T98" s="170"/>
    </row>
    <row r="99" spans="1:20" s="152" customFormat="1" ht="26.25" customHeight="1" x14ac:dyDescent="0.25">
      <c r="A99" s="100">
        <v>61</v>
      </c>
      <c r="B99" s="909" t="s">
        <v>353</v>
      </c>
      <c r="C99" s="811" t="s">
        <v>71</v>
      </c>
      <c r="D99" s="1049"/>
      <c r="E99" s="1057">
        <v>44893</v>
      </c>
      <c r="F99" s="1051">
        <v>2810.63</v>
      </c>
      <c r="G99" s="811">
        <v>94</v>
      </c>
      <c r="H99" s="1052">
        <v>2810.63</v>
      </c>
      <c r="I99" s="467">
        <f>H99-F99</f>
        <v>0</v>
      </c>
      <c r="J99" s="978"/>
      <c r="K99" s="762"/>
      <c r="L99" s="779"/>
      <c r="M99" s="762"/>
      <c r="N99" s="979"/>
      <c r="O99" s="776"/>
      <c r="P99" s="767"/>
      <c r="Q99" s="1053"/>
      <c r="R99" s="1054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8" t="s">
        <v>80</v>
      </c>
      <c r="C100" s="1055" t="s">
        <v>178</v>
      </c>
      <c r="D100" s="1056"/>
      <c r="E100" s="1058">
        <v>44894</v>
      </c>
      <c r="F100" s="1080">
        <v>248.57</v>
      </c>
      <c r="G100" s="1081">
        <v>21</v>
      </c>
      <c r="H100" s="1059">
        <v>248.57</v>
      </c>
      <c r="I100" s="467">
        <f>H100-F100</f>
        <v>0</v>
      </c>
      <c r="J100" s="978"/>
      <c r="K100" s="762"/>
      <c r="L100" s="779"/>
      <c r="M100" s="762"/>
      <c r="N100" s="979"/>
      <c r="O100" s="1107" t="s">
        <v>382</v>
      </c>
      <c r="P100" s="767"/>
      <c r="Q100" s="524">
        <v>21128.45</v>
      </c>
      <c r="R100" s="1112" t="s">
        <v>383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/>
      <c r="B101" s="1142" t="s">
        <v>468</v>
      </c>
      <c r="C101" s="1140" t="s">
        <v>484</v>
      </c>
      <c r="D101" s="1056" t="s">
        <v>485</v>
      </c>
      <c r="E101" s="1058">
        <v>44896</v>
      </c>
      <c r="F101" s="1080">
        <f>74.1+62.32+77.38+71.36</f>
        <v>285.15999999999997</v>
      </c>
      <c r="G101" s="1081"/>
      <c r="H101" s="1059">
        <v>285.16000000000003</v>
      </c>
      <c r="I101" s="467">
        <f t="shared" ref="I101:I102" si="18">H101-F101</f>
        <v>0</v>
      </c>
      <c r="J101" s="978"/>
      <c r="K101" s="762"/>
      <c r="L101" s="779"/>
      <c r="M101" s="762"/>
      <c r="N101" s="979"/>
      <c r="O101" s="1131" t="s">
        <v>486</v>
      </c>
      <c r="P101" s="1118"/>
      <c r="Q101" s="1121">
        <f>74.1*38+62.32*78+77.38*90+71.36*110</f>
        <v>22490.559999999998</v>
      </c>
      <c r="R101" s="1141" t="s">
        <v>463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63</v>
      </c>
      <c r="B102" s="1149" t="s">
        <v>80</v>
      </c>
      <c r="C102" s="916" t="s">
        <v>179</v>
      </c>
      <c r="D102" s="908"/>
      <c r="E102" s="910">
        <v>44897</v>
      </c>
      <c r="F102" s="912">
        <v>1004.87</v>
      </c>
      <c r="G102" s="908">
        <v>84</v>
      </c>
      <c r="H102" s="912">
        <v>1004.87</v>
      </c>
      <c r="I102" s="467">
        <f t="shared" si="18"/>
        <v>0</v>
      </c>
      <c r="J102" s="981"/>
      <c r="K102" s="762"/>
      <c r="L102" s="982"/>
      <c r="M102" s="762"/>
      <c r="N102" s="1086"/>
      <c r="O102" s="1151" t="s">
        <v>356</v>
      </c>
      <c r="P102" s="1114"/>
      <c r="Q102" s="1111">
        <v>99482.13</v>
      </c>
      <c r="R102" s="1153" t="s">
        <v>462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64</v>
      </c>
      <c r="B103" s="1150"/>
      <c r="C103" s="1060" t="s">
        <v>178</v>
      </c>
      <c r="D103" s="1049"/>
      <c r="E103" s="1050">
        <v>44897</v>
      </c>
      <c r="F103" s="1051">
        <v>106.18</v>
      </c>
      <c r="G103" s="811">
        <v>9</v>
      </c>
      <c r="H103" s="1052">
        <v>106.18</v>
      </c>
      <c r="I103" s="467">
        <f t="shared" ref="I103:I134" si="21">H103-F103</f>
        <v>0</v>
      </c>
      <c r="J103" s="980"/>
      <c r="K103" s="983"/>
      <c r="L103" s="984"/>
      <c r="M103" s="762"/>
      <c r="N103" s="1086"/>
      <c r="O103" s="1152"/>
      <c r="P103" s="1114"/>
      <c r="Q103" s="1111">
        <v>9025.2999999999993</v>
      </c>
      <c r="R103" s="1154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/>
      <c r="B104" s="1126" t="s">
        <v>468</v>
      </c>
      <c r="C104" s="1130" t="s">
        <v>474</v>
      </c>
      <c r="D104" s="1049" t="s">
        <v>469</v>
      </c>
      <c r="E104" s="1050">
        <v>44897</v>
      </c>
      <c r="F104" s="1051">
        <v>7423.12</v>
      </c>
      <c r="G104" s="811">
        <v>8</v>
      </c>
      <c r="H104" s="1052">
        <v>7423.12</v>
      </c>
      <c r="I104" s="467">
        <f t="shared" si="21"/>
        <v>0</v>
      </c>
      <c r="J104" s="980"/>
      <c r="K104" s="983"/>
      <c r="L104" s="984"/>
      <c r="M104" s="762"/>
      <c r="N104" s="1086"/>
      <c r="O104" s="1124" t="s">
        <v>470</v>
      </c>
      <c r="P104" s="1114"/>
      <c r="Q104" s="1111">
        <v>181867</v>
      </c>
      <c r="R104" s="1125" t="s">
        <v>463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65</v>
      </c>
      <c r="B105" s="1061" t="s">
        <v>97</v>
      </c>
      <c r="C105" s="908" t="s">
        <v>359</v>
      </c>
      <c r="D105" s="908"/>
      <c r="E105" s="910">
        <v>44898</v>
      </c>
      <c r="F105" s="912">
        <v>5008.4799999999996</v>
      </c>
      <c r="G105" s="908">
        <v>184</v>
      </c>
      <c r="H105" s="912">
        <v>5008.4799999999996</v>
      </c>
      <c r="I105" s="467">
        <f t="shared" si="21"/>
        <v>0</v>
      </c>
      <c r="J105" s="981"/>
      <c r="K105" s="762"/>
      <c r="L105" s="982"/>
      <c r="M105" s="762"/>
      <c r="N105" s="987"/>
      <c r="O105" s="1115" t="s">
        <v>456</v>
      </c>
      <c r="P105" s="1103" t="s">
        <v>457</v>
      </c>
      <c r="Q105" s="527">
        <v>443250.48</v>
      </c>
      <c r="R105" s="1113" t="s">
        <v>458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66</v>
      </c>
      <c r="B106" s="1069" t="s">
        <v>177</v>
      </c>
      <c r="C106" s="908" t="s">
        <v>359</v>
      </c>
      <c r="D106" s="929"/>
      <c r="E106" s="910">
        <v>44900</v>
      </c>
      <c r="F106" s="912">
        <v>9016.44</v>
      </c>
      <c r="G106" s="908">
        <v>331</v>
      </c>
      <c r="H106" s="912">
        <v>9016.44</v>
      </c>
      <c r="I106" s="467">
        <f t="shared" si="21"/>
        <v>0</v>
      </c>
      <c r="J106" s="981"/>
      <c r="K106" s="762"/>
      <c r="L106" s="982"/>
      <c r="M106" s="762"/>
      <c r="N106" s="987"/>
      <c r="O106" s="770" t="s">
        <v>360</v>
      </c>
      <c r="P106" s="764"/>
      <c r="Q106" s="527">
        <v>775413.84</v>
      </c>
      <c r="R106" s="775" t="s">
        <v>458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67</v>
      </c>
      <c r="B107" s="1176" t="s">
        <v>371</v>
      </c>
      <c r="C107" s="1060" t="s">
        <v>43</v>
      </c>
      <c r="D107" s="1049"/>
      <c r="E107" s="1050">
        <v>44900</v>
      </c>
      <c r="F107" s="1051">
        <v>1502.74</v>
      </c>
      <c r="G107" s="811">
        <v>331</v>
      </c>
      <c r="H107" s="1052">
        <v>1502.74</v>
      </c>
      <c r="I107" s="467">
        <f t="shared" si="21"/>
        <v>0</v>
      </c>
      <c r="J107" s="978"/>
      <c r="K107" s="762"/>
      <c r="L107" s="982"/>
      <c r="M107" s="762"/>
      <c r="N107" s="986"/>
      <c r="O107" s="1179" t="s">
        <v>374</v>
      </c>
      <c r="P107" s="988"/>
      <c r="Q107" s="527">
        <v>66120.56</v>
      </c>
      <c r="R107" s="1173" t="s">
        <v>378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68</v>
      </c>
      <c r="B108" s="1177"/>
      <c r="C108" s="1068" t="s">
        <v>372</v>
      </c>
      <c r="D108" s="373"/>
      <c r="E108" s="910">
        <v>44900</v>
      </c>
      <c r="F108" s="912">
        <v>150</v>
      </c>
      <c r="G108" s="908">
        <v>15</v>
      </c>
      <c r="H108" s="912">
        <v>150</v>
      </c>
      <c r="I108" s="467">
        <f t="shared" si="21"/>
        <v>0</v>
      </c>
      <c r="J108" s="978"/>
      <c r="K108" s="762"/>
      <c r="L108" s="982"/>
      <c r="M108" s="762"/>
      <c r="N108" s="986"/>
      <c r="O108" s="1180"/>
      <c r="P108" s="988"/>
      <c r="Q108" s="527">
        <v>12750</v>
      </c>
      <c r="R108" s="1174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69</v>
      </c>
      <c r="B109" s="1177"/>
      <c r="C109" s="916" t="s">
        <v>75</v>
      </c>
      <c r="D109" s="908"/>
      <c r="E109" s="910">
        <v>44900</v>
      </c>
      <c r="F109" s="912">
        <v>5</v>
      </c>
      <c r="G109" s="908">
        <v>1</v>
      </c>
      <c r="H109" s="912">
        <v>5</v>
      </c>
      <c r="I109" s="919">
        <f t="shared" si="21"/>
        <v>0</v>
      </c>
      <c r="J109" s="978"/>
      <c r="K109" s="762"/>
      <c r="L109" s="982"/>
      <c r="M109" s="762"/>
      <c r="N109" s="986"/>
      <c r="O109" s="1180"/>
      <c r="P109" s="762"/>
      <c r="Q109" s="527">
        <v>1500</v>
      </c>
      <c r="R109" s="1174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70</v>
      </c>
      <c r="B110" s="1178"/>
      <c r="C110" s="916" t="s">
        <v>373</v>
      </c>
      <c r="D110" s="908"/>
      <c r="E110" s="910">
        <v>44900</v>
      </c>
      <c r="F110" s="912">
        <v>20</v>
      </c>
      <c r="G110" s="908">
        <v>1</v>
      </c>
      <c r="H110" s="912">
        <v>20</v>
      </c>
      <c r="I110" s="409">
        <f t="shared" si="21"/>
        <v>0</v>
      </c>
      <c r="J110" s="978"/>
      <c r="K110" s="762"/>
      <c r="L110" s="982"/>
      <c r="M110" s="762"/>
      <c r="N110" s="986"/>
      <c r="O110" s="1181"/>
      <c r="P110" s="762"/>
      <c r="Q110" s="527">
        <v>4600</v>
      </c>
      <c r="R110" s="1175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/>
      <c r="B111" s="1139" t="s">
        <v>468</v>
      </c>
      <c r="C111" s="916" t="s">
        <v>481</v>
      </c>
      <c r="D111" s="1129" t="s">
        <v>482</v>
      </c>
      <c r="E111" s="1137">
        <v>44901</v>
      </c>
      <c r="F111" s="912">
        <v>23628</v>
      </c>
      <c r="G111" s="908"/>
      <c r="H111" s="912">
        <v>23628</v>
      </c>
      <c r="I111" s="467">
        <f t="shared" si="21"/>
        <v>0</v>
      </c>
      <c r="J111" s="978"/>
      <c r="K111" s="762"/>
      <c r="L111" s="982"/>
      <c r="M111" s="762"/>
      <c r="N111" s="986"/>
      <c r="O111" s="1108" t="s">
        <v>483</v>
      </c>
      <c r="P111" s="1138"/>
      <c r="Q111" s="527">
        <v>23628</v>
      </c>
      <c r="R111" s="1106" t="s">
        <v>463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67</v>
      </c>
      <c r="B112" s="1070" t="s">
        <v>180</v>
      </c>
      <c r="C112" s="927" t="s">
        <v>181</v>
      </c>
      <c r="D112" s="758"/>
      <c r="E112" s="820">
        <v>44902</v>
      </c>
      <c r="F112" s="911">
        <v>1984.8</v>
      </c>
      <c r="G112" s="682">
        <v>5</v>
      </c>
      <c r="H112" s="915">
        <v>1984.8</v>
      </c>
      <c r="I112" s="467">
        <f t="shared" ref="I112:I113" si="28">H112-F112</f>
        <v>0</v>
      </c>
      <c r="J112" s="978"/>
      <c r="K112" s="762"/>
      <c r="L112" s="982"/>
      <c r="M112" s="762"/>
      <c r="N112" s="986"/>
      <c r="O112" s="1084" t="s">
        <v>379</v>
      </c>
      <c r="P112" s="1105"/>
      <c r="Q112" s="527">
        <f>150000+42336</f>
        <v>192336</v>
      </c>
      <c r="R112" s="775" t="s">
        <v>381</v>
      </c>
      <c r="S112" s="65">
        <f t="shared" si="26"/>
        <v>192336</v>
      </c>
      <c r="T112" s="170">
        <f t="shared" si="27"/>
        <v>96.904474002418382</v>
      </c>
    </row>
    <row r="113" spans="1:20" s="1135" customFormat="1" ht="43.5" customHeight="1" thickBot="1" x14ac:dyDescent="0.3">
      <c r="A113" s="1134"/>
      <c r="B113" s="1136" t="s">
        <v>468</v>
      </c>
      <c r="C113" s="1060" t="s">
        <v>478</v>
      </c>
      <c r="D113" s="1049" t="s">
        <v>479</v>
      </c>
      <c r="E113" s="1050">
        <v>44902</v>
      </c>
      <c r="F113" s="1051">
        <v>272</v>
      </c>
      <c r="G113" s="811"/>
      <c r="H113" s="1052">
        <v>272</v>
      </c>
      <c r="I113" s="467">
        <f t="shared" si="28"/>
        <v>0</v>
      </c>
      <c r="J113" s="978"/>
      <c r="K113" s="762"/>
      <c r="L113" s="982"/>
      <c r="M113" s="762"/>
      <c r="N113" s="1086"/>
      <c r="O113" s="1131" t="s">
        <v>480</v>
      </c>
      <c r="P113" s="1132"/>
      <c r="Q113" s="1104">
        <v>34000</v>
      </c>
      <c r="R113" s="1133" t="s">
        <v>463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72</v>
      </c>
      <c r="B114" s="1161" t="s">
        <v>422</v>
      </c>
      <c r="C114" s="916" t="s">
        <v>77</v>
      </c>
      <c r="D114" s="908"/>
      <c r="E114" s="561">
        <v>44900</v>
      </c>
      <c r="F114" s="912">
        <v>1109.3900000000001</v>
      </c>
      <c r="G114" s="908">
        <v>40</v>
      </c>
      <c r="H114" s="912">
        <v>1109.3900000000001</v>
      </c>
      <c r="I114" s="467">
        <f t="shared" si="21"/>
        <v>0</v>
      </c>
      <c r="J114" s="978"/>
      <c r="K114" s="762"/>
      <c r="L114" s="982"/>
      <c r="M114" s="762"/>
      <c r="N114" s="1086"/>
      <c r="O114" s="1164">
        <v>19343</v>
      </c>
      <c r="P114" s="1185" t="s">
        <v>457</v>
      </c>
      <c r="Q114" s="1104">
        <v>99845.1</v>
      </c>
      <c r="R114" s="1182" t="s">
        <v>459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73</v>
      </c>
      <c r="B115" s="1162"/>
      <c r="C115" s="916" t="s">
        <v>423</v>
      </c>
      <c r="D115" s="908"/>
      <c r="E115" s="561">
        <v>44900</v>
      </c>
      <c r="F115" s="912">
        <v>3050.42</v>
      </c>
      <c r="G115" s="908">
        <v>115</v>
      </c>
      <c r="H115" s="912">
        <v>3050.42</v>
      </c>
      <c r="I115" s="467">
        <f t="shared" si="21"/>
        <v>0</v>
      </c>
      <c r="J115" s="978"/>
      <c r="K115" s="762"/>
      <c r="L115" s="985"/>
      <c r="M115" s="762"/>
      <c r="N115" s="1087"/>
      <c r="O115" s="1165"/>
      <c r="P115" s="1186"/>
      <c r="Q115" s="1104">
        <v>222680.66</v>
      </c>
      <c r="R115" s="1183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74</v>
      </c>
      <c r="B116" s="1163"/>
      <c r="C116" s="916" t="s">
        <v>395</v>
      </c>
      <c r="D116" s="908"/>
      <c r="E116" s="561">
        <v>44900</v>
      </c>
      <c r="F116" s="912">
        <v>2944.1</v>
      </c>
      <c r="G116" s="908">
        <v>125</v>
      </c>
      <c r="H116" s="912">
        <v>2944.1</v>
      </c>
      <c r="I116" s="467">
        <f t="shared" si="21"/>
        <v>0</v>
      </c>
      <c r="J116" s="978"/>
      <c r="K116" s="762"/>
      <c r="L116" s="985"/>
      <c r="M116" s="762"/>
      <c r="N116" s="1087"/>
      <c r="O116" s="1166"/>
      <c r="P116" s="1187"/>
      <c r="Q116" s="1104">
        <v>247304.4</v>
      </c>
      <c r="R116" s="1184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/>
      <c r="B117" s="1126" t="s">
        <v>468</v>
      </c>
      <c r="C117" s="916" t="s">
        <v>476</v>
      </c>
      <c r="D117" s="1129" t="s">
        <v>475</v>
      </c>
      <c r="E117" s="561">
        <v>44902</v>
      </c>
      <c r="F117" s="912">
        <f>89.34+101.98+78.24+11.36+78.9+43.92+2.5+90.96</f>
        <v>497.20000000000005</v>
      </c>
      <c r="G117" s="908"/>
      <c r="H117" s="912">
        <v>497.2</v>
      </c>
      <c r="I117" s="467">
        <f t="shared" si="21"/>
        <v>0</v>
      </c>
      <c r="J117" s="978"/>
      <c r="K117" s="762"/>
      <c r="L117" s="985"/>
      <c r="M117" s="762"/>
      <c r="N117" s="1087"/>
      <c r="O117" s="1127" t="s">
        <v>477</v>
      </c>
      <c r="P117" s="1128"/>
      <c r="Q117" s="1104">
        <f>89.34*80+101.98*90+78.24*110+11.36*90+78.9*90+43.92*90+2.5*80+90.96*78</f>
        <v>44302.880000000005</v>
      </c>
      <c r="R117" s="1109" t="s">
        <v>463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/>
      <c r="B118" s="1126" t="s">
        <v>468</v>
      </c>
      <c r="C118" s="916" t="s">
        <v>473</v>
      </c>
      <c r="D118" s="1129" t="s">
        <v>472</v>
      </c>
      <c r="E118" s="561">
        <v>44903</v>
      </c>
      <c r="F118" s="912">
        <f>14.78+87.72+20.76+112.18+123.34+78.74</f>
        <v>437.52</v>
      </c>
      <c r="G118" s="908"/>
      <c r="H118" s="912">
        <v>437.52</v>
      </c>
      <c r="I118" s="467">
        <f t="shared" si="21"/>
        <v>0</v>
      </c>
      <c r="J118" s="978"/>
      <c r="K118" s="762"/>
      <c r="L118" s="985"/>
      <c r="M118" s="762"/>
      <c r="N118" s="1087"/>
      <c r="O118" s="1127" t="s">
        <v>471</v>
      </c>
      <c r="P118" s="1128"/>
      <c r="Q118" s="1104">
        <f>14.78*90+87.72*80+20.76*80+112.18*90+123.34*90+78.74*110</f>
        <v>39866.800000000003</v>
      </c>
      <c r="R118" s="1109" t="s">
        <v>463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75</v>
      </c>
      <c r="B119" s="1089" t="s">
        <v>422</v>
      </c>
      <c r="C119" s="916" t="s">
        <v>427</v>
      </c>
      <c r="D119" s="929"/>
      <c r="E119" s="1090">
        <v>44905</v>
      </c>
      <c r="F119" s="912">
        <v>2835.98</v>
      </c>
      <c r="G119" s="908">
        <v>120</v>
      </c>
      <c r="H119" s="912">
        <v>2835.98</v>
      </c>
      <c r="I119" s="467">
        <f t="shared" si="21"/>
        <v>0</v>
      </c>
      <c r="J119" s="978"/>
      <c r="K119" s="762"/>
      <c r="L119" s="985"/>
      <c r="M119" s="762"/>
      <c r="N119" s="987"/>
      <c r="O119" s="1088">
        <v>19336</v>
      </c>
      <c r="P119" s="1110" t="s">
        <v>457</v>
      </c>
      <c r="Q119" s="527">
        <v>198518.6</v>
      </c>
      <c r="R119" s="763" t="s">
        <v>460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76</v>
      </c>
      <c r="B120" s="1061" t="s">
        <v>371</v>
      </c>
      <c r="C120" s="908" t="s">
        <v>428</v>
      </c>
      <c r="D120" s="908"/>
      <c r="E120" s="910">
        <v>44907</v>
      </c>
      <c r="F120" s="912">
        <v>150</v>
      </c>
      <c r="G120" s="908">
        <v>15</v>
      </c>
      <c r="H120" s="912">
        <v>150</v>
      </c>
      <c r="I120" s="467">
        <f t="shared" si="21"/>
        <v>0</v>
      </c>
      <c r="J120" s="978"/>
      <c r="K120" s="762"/>
      <c r="L120" s="982"/>
      <c r="M120" s="762"/>
      <c r="N120" s="986"/>
      <c r="O120" s="777" t="s">
        <v>429</v>
      </c>
      <c r="P120" s="906"/>
      <c r="Q120" s="527">
        <v>15000</v>
      </c>
      <c r="R120" s="763" t="s">
        <v>489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77</v>
      </c>
      <c r="B121" s="1094" t="s">
        <v>97</v>
      </c>
      <c r="C121" s="908" t="s">
        <v>435</v>
      </c>
      <c r="D121" s="929"/>
      <c r="E121" s="1099">
        <v>44909</v>
      </c>
      <c r="F121" s="912">
        <v>5029.8</v>
      </c>
      <c r="G121" s="908">
        <v>166</v>
      </c>
      <c r="H121" s="912">
        <v>5029.8</v>
      </c>
      <c r="I121" s="708">
        <f t="shared" si="21"/>
        <v>0</v>
      </c>
      <c r="J121" s="978"/>
      <c r="K121" s="762"/>
      <c r="L121" s="982"/>
      <c r="M121" s="762"/>
      <c r="N121" s="986"/>
      <c r="O121" s="1119"/>
      <c r="P121" s="906"/>
      <c r="Q121" s="527"/>
      <c r="R121" s="1122"/>
      <c r="S121" s="65">
        <f t="shared" ref="S121:S122" si="38">Q121+M121+K121</f>
        <v>0</v>
      </c>
      <c r="T121" s="170">
        <f t="shared" ref="T121:T122" si="39">S121/H121</f>
        <v>0</v>
      </c>
    </row>
    <row r="122" spans="1:20" s="152" customFormat="1" ht="42.75" customHeight="1" thickTop="1" x14ac:dyDescent="0.25">
      <c r="A122" s="100">
        <v>78</v>
      </c>
      <c r="B122" s="1167" t="s">
        <v>180</v>
      </c>
      <c r="C122" s="1093" t="s">
        <v>442</v>
      </c>
      <c r="D122" s="1096"/>
      <c r="E122" s="1170">
        <v>44914</v>
      </c>
      <c r="F122" s="1098">
        <v>59.25</v>
      </c>
      <c r="G122" s="908"/>
      <c r="H122" s="912">
        <v>59.25</v>
      </c>
      <c r="I122" s="708">
        <f t="shared" si="21"/>
        <v>0</v>
      </c>
      <c r="J122" s="978"/>
      <c r="K122" s="762"/>
      <c r="L122" s="982"/>
      <c r="M122" s="762"/>
      <c r="N122" s="1086"/>
      <c r="O122" s="1155" t="s">
        <v>466</v>
      </c>
      <c r="P122" s="1116"/>
      <c r="Q122" s="1111">
        <v>8235.75</v>
      </c>
      <c r="R122" s="1158" t="s">
        <v>467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79</v>
      </c>
      <c r="B123" s="1168"/>
      <c r="C123" s="916" t="s">
        <v>443</v>
      </c>
      <c r="D123" s="1097"/>
      <c r="E123" s="1171"/>
      <c r="F123" s="1098">
        <v>70.45</v>
      </c>
      <c r="G123" s="908"/>
      <c r="H123" s="912">
        <v>70.45</v>
      </c>
      <c r="I123" s="105">
        <f t="shared" si="21"/>
        <v>0</v>
      </c>
      <c r="J123" s="978"/>
      <c r="K123" s="762"/>
      <c r="L123" s="982"/>
      <c r="M123" s="762"/>
      <c r="N123" s="1086"/>
      <c r="O123" s="1156"/>
      <c r="P123" s="1117"/>
      <c r="Q123" s="1121">
        <v>9792.5499999999993</v>
      </c>
      <c r="R123" s="1159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80</v>
      </c>
      <c r="B124" s="1168"/>
      <c r="C124" s="916" t="s">
        <v>443</v>
      </c>
      <c r="D124" s="1097"/>
      <c r="E124" s="1171"/>
      <c r="F124" s="1098">
        <v>38.5</v>
      </c>
      <c r="G124" s="908"/>
      <c r="H124" s="912">
        <v>38.5</v>
      </c>
      <c r="I124" s="105">
        <f t="shared" si="21"/>
        <v>0</v>
      </c>
      <c r="J124" s="978"/>
      <c r="K124" s="762"/>
      <c r="L124" s="982"/>
      <c r="M124" s="762"/>
      <c r="N124" s="1086"/>
      <c r="O124" s="1156"/>
      <c r="P124" s="1118"/>
      <c r="Q124" s="1121">
        <v>5197.5</v>
      </c>
      <c r="R124" s="1159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81</v>
      </c>
      <c r="B125" s="1168"/>
      <c r="C125" s="916" t="s">
        <v>444</v>
      </c>
      <c r="D125" s="1097"/>
      <c r="E125" s="1171"/>
      <c r="F125" s="1098">
        <v>60.9</v>
      </c>
      <c r="G125" s="908"/>
      <c r="H125" s="912">
        <v>60.9</v>
      </c>
      <c r="I125" s="105">
        <f t="shared" si="21"/>
        <v>0</v>
      </c>
      <c r="J125" s="978"/>
      <c r="K125" s="762"/>
      <c r="L125" s="982"/>
      <c r="M125" s="762"/>
      <c r="N125" s="1086"/>
      <c r="O125" s="1156"/>
      <c r="P125" s="1118"/>
      <c r="Q125" s="1121">
        <v>8160.6</v>
      </c>
      <c r="R125" s="1159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82</v>
      </c>
      <c r="B126" s="1168"/>
      <c r="C126" s="916" t="s">
        <v>445</v>
      </c>
      <c r="D126" s="1097"/>
      <c r="E126" s="1171"/>
      <c r="F126" s="1098">
        <v>105.55</v>
      </c>
      <c r="G126" s="908"/>
      <c r="H126" s="912">
        <v>105.55</v>
      </c>
      <c r="I126" s="105">
        <f t="shared" si="21"/>
        <v>0</v>
      </c>
      <c r="J126" s="978"/>
      <c r="K126" s="762"/>
      <c r="L126" s="982"/>
      <c r="M126" s="762"/>
      <c r="N126" s="1086"/>
      <c r="O126" s="1156"/>
      <c r="P126" s="1118"/>
      <c r="Q126" s="1121">
        <v>13615.95</v>
      </c>
      <c r="R126" s="1159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83</v>
      </c>
      <c r="B127" s="1169"/>
      <c r="C127" s="916" t="s">
        <v>446</v>
      </c>
      <c r="D127" s="1097"/>
      <c r="E127" s="1172"/>
      <c r="F127" s="1098">
        <v>120</v>
      </c>
      <c r="G127" s="908"/>
      <c r="H127" s="912">
        <v>120</v>
      </c>
      <c r="I127" s="105">
        <f t="shared" si="21"/>
        <v>0</v>
      </c>
      <c r="J127" s="978"/>
      <c r="K127" s="762"/>
      <c r="L127" s="982"/>
      <c r="M127" s="762"/>
      <c r="N127" s="1086"/>
      <c r="O127" s="1157"/>
      <c r="P127" s="1118"/>
      <c r="Q127" s="1121">
        <v>9480</v>
      </c>
      <c r="R127" s="1160"/>
      <c r="S127" s="65">
        <f t="shared" si="42"/>
        <v>9480</v>
      </c>
      <c r="T127" s="170">
        <f t="shared" si="43"/>
        <v>79</v>
      </c>
    </row>
    <row r="128" spans="1:20" s="152" customFormat="1" ht="37.5" customHeight="1" thickBot="1" x14ac:dyDescent="0.3">
      <c r="A128" s="100">
        <v>84</v>
      </c>
      <c r="B128" s="1101"/>
      <c r="C128" s="916"/>
      <c r="D128" s="1097"/>
      <c r="E128" s="1102"/>
      <c r="F128" s="1098"/>
      <c r="G128" s="908"/>
      <c r="H128" s="912"/>
      <c r="I128" s="105">
        <f t="shared" si="21"/>
        <v>0</v>
      </c>
      <c r="J128" s="978"/>
      <c r="K128" s="762"/>
      <c r="L128" s="982"/>
      <c r="M128" s="762"/>
      <c r="N128" s="986"/>
      <c r="O128" s="1120"/>
      <c r="P128" s="767"/>
      <c r="Q128" s="524"/>
      <c r="R128" s="1123"/>
      <c r="S128" s="65">
        <f t="shared" si="42"/>
        <v>0</v>
      </c>
      <c r="T128" s="170" t="e">
        <f t="shared" si="43"/>
        <v>#DIV/0!</v>
      </c>
    </row>
    <row r="129" spans="1:20" s="152" customFormat="1" ht="28.5" customHeight="1" x14ac:dyDescent="0.25">
      <c r="A129" s="100">
        <v>85</v>
      </c>
      <c r="B129" s="1095"/>
      <c r="C129" s="807"/>
      <c r="D129" s="758"/>
      <c r="E129" s="1100"/>
      <c r="F129" s="911"/>
      <c r="G129" s="682"/>
      <c r="H129" s="915"/>
      <c r="I129" s="105">
        <f t="shared" si="21"/>
        <v>0</v>
      </c>
      <c r="J129" s="978"/>
      <c r="K129" s="762"/>
      <c r="L129" s="982"/>
      <c r="M129" s="762"/>
      <c r="N129" s="986"/>
      <c r="O129" s="768"/>
      <c r="P129" s="767"/>
      <c r="Q129" s="524"/>
      <c r="R129" s="769"/>
      <c r="S129" s="65">
        <f t="shared" si="42"/>
        <v>0</v>
      </c>
      <c r="T129" s="170" t="e">
        <f t="shared" si="43"/>
        <v>#DIV/0!</v>
      </c>
    </row>
    <row r="130" spans="1:20" s="152" customFormat="1" ht="18.75" customHeight="1" x14ac:dyDescent="0.25">
      <c r="A130" s="100">
        <v>86</v>
      </c>
      <c r="B130" s="995"/>
      <c r="C130" s="807"/>
      <c r="D130" s="758"/>
      <c r="E130" s="760"/>
      <c r="F130" s="911"/>
      <c r="G130" s="682"/>
      <c r="H130" s="915"/>
      <c r="I130" s="105">
        <f t="shared" si="21"/>
        <v>0</v>
      </c>
      <c r="J130" s="978"/>
      <c r="K130" s="762"/>
      <c r="L130" s="982"/>
      <c r="M130" s="762"/>
      <c r="N130" s="986"/>
      <c r="O130" s="768"/>
      <c r="P130" s="767"/>
      <c r="Q130" s="524"/>
      <c r="R130" s="769"/>
      <c r="S130" s="65">
        <f t="shared" si="42"/>
        <v>0</v>
      </c>
      <c r="T130" s="170" t="e">
        <f t="shared" si="43"/>
        <v>#DIV/0!</v>
      </c>
    </row>
    <row r="131" spans="1:20" s="152" customFormat="1" ht="38.25" customHeight="1" x14ac:dyDescent="0.25">
      <c r="A131" s="100">
        <v>87</v>
      </c>
      <c r="B131" s="951"/>
      <c r="C131" s="807"/>
      <c r="D131" s="681"/>
      <c r="E131" s="680"/>
      <c r="F131" s="911"/>
      <c r="G131" s="682"/>
      <c r="H131" s="911"/>
      <c r="I131" s="105">
        <f t="shared" si="21"/>
        <v>0</v>
      </c>
      <c r="J131" s="978"/>
      <c r="K131" s="762"/>
      <c r="L131" s="982"/>
      <c r="M131" s="762"/>
      <c r="N131" s="986"/>
      <c r="O131" s="770"/>
      <c r="P131" s="767"/>
      <c r="Q131" s="524"/>
      <c r="R131" s="763"/>
      <c r="S131" s="65">
        <f t="shared" si="42"/>
        <v>0</v>
      </c>
      <c r="T131" s="170" t="e">
        <f t="shared" si="43"/>
        <v>#DIV/0!</v>
      </c>
    </row>
    <row r="132" spans="1:20" s="152" customFormat="1" ht="38.25" customHeight="1" x14ac:dyDescent="0.25">
      <c r="A132" s="100">
        <v>88</v>
      </c>
      <c r="B132" s="951"/>
      <c r="C132" s="807"/>
      <c r="D132" s="695"/>
      <c r="E132" s="680"/>
      <c r="F132" s="911"/>
      <c r="G132" s="682"/>
      <c r="H132" s="911"/>
      <c r="I132" s="105">
        <f t="shared" si="21"/>
        <v>0</v>
      </c>
      <c r="J132" s="978"/>
      <c r="K132" s="762"/>
      <c r="L132" s="982"/>
      <c r="M132" s="762"/>
      <c r="N132" s="986"/>
      <c r="O132" s="770"/>
      <c r="P132" s="767"/>
      <c r="Q132" s="524"/>
      <c r="R132" s="763"/>
      <c r="S132" s="65">
        <f t="shared" si="42"/>
        <v>0</v>
      </c>
      <c r="T132" s="170" t="e">
        <f t="shared" si="43"/>
        <v>#DIV/0!</v>
      </c>
    </row>
    <row r="133" spans="1:20" s="152" customFormat="1" ht="33" customHeight="1" x14ac:dyDescent="0.25">
      <c r="A133" s="100">
        <v>89</v>
      </c>
      <c r="B133" s="1091"/>
      <c r="C133" s="807"/>
      <c r="D133" s="681"/>
      <c r="E133" s="680"/>
      <c r="F133" s="911"/>
      <c r="G133" s="682"/>
      <c r="H133" s="911"/>
      <c r="I133" s="105">
        <f t="shared" si="21"/>
        <v>0</v>
      </c>
      <c r="J133" s="978"/>
      <c r="K133" s="762"/>
      <c r="L133" s="982"/>
      <c r="M133" s="762"/>
      <c r="N133" s="986"/>
      <c r="O133" s="765"/>
      <c r="P133" s="766"/>
      <c r="Q133" s="524"/>
      <c r="R133" s="763"/>
      <c r="S133" s="65">
        <f t="shared" si="42"/>
        <v>0</v>
      </c>
      <c r="T133" s="170" t="e">
        <f t="shared" si="43"/>
        <v>#DIV/0!</v>
      </c>
    </row>
    <row r="134" spans="1:20" s="152" customFormat="1" ht="18.75" x14ac:dyDescent="0.25">
      <c r="A134" s="100">
        <v>90</v>
      </c>
      <c r="B134" s="1091"/>
      <c r="C134" s="807"/>
      <c r="D134" s="695"/>
      <c r="E134" s="680"/>
      <c r="F134" s="911"/>
      <c r="G134" s="682"/>
      <c r="H134" s="911"/>
      <c r="I134" s="105">
        <f t="shared" si="21"/>
        <v>0</v>
      </c>
      <c r="J134" s="441"/>
      <c r="K134" s="382"/>
      <c r="L134" s="652"/>
      <c r="M134" s="382"/>
      <c r="N134" s="989"/>
      <c r="O134" s="765"/>
      <c r="P134" s="766"/>
      <c r="Q134" s="524"/>
      <c r="R134" s="763"/>
      <c r="S134" s="65">
        <f t="shared" si="42"/>
        <v>0</v>
      </c>
      <c r="T134" s="170" t="e">
        <f t="shared" si="43"/>
        <v>#DIV/0!</v>
      </c>
    </row>
    <row r="135" spans="1:20" s="152" customFormat="1" ht="35.25" customHeight="1" x14ac:dyDescent="0.25">
      <c r="A135" s="100">
        <v>91</v>
      </c>
      <c r="B135" s="1092"/>
      <c r="C135" s="807"/>
      <c r="D135" s="681"/>
      <c r="E135" s="759"/>
      <c r="F135" s="911"/>
      <c r="G135" s="682"/>
      <c r="H135" s="911"/>
      <c r="I135" s="105">
        <f t="shared" ref="I135:I138" si="44">H135-F135</f>
        <v>0</v>
      </c>
      <c r="J135" s="441"/>
      <c r="K135" s="382"/>
      <c r="L135" s="652"/>
      <c r="M135" s="382"/>
      <c r="N135" s="989"/>
      <c r="O135" s="776"/>
      <c r="P135" s="766"/>
      <c r="Q135" s="524"/>
      <c r="R135" s="771"/>
      <c r="S135" s="65">
        <f t="shared" si="42"/>
        <v>0</v>
      </c>
      <c r="T135" s="170" t="e">
        <f t="shared" si="43"/>
        <v>#DIV/0!</v>
      </c>
    </row>
    <row r="136" spans="1:20" s="152" customFormat="1" ht="30" customHeight="1" x14ac:dyDescent="0.3">
      <c r="A136" s="100">
        <v>92</v>
      </c>
      <c r="B136" s="809"/>
      <c r="C136" s="808"/>
      <c r="D136" s="527"/>
      <c r="E136" s="759"/>
      <c r="F136" s="913"/>
      <c r="G136" s="591"/>
      <c r="H136" s="914"/>
      <c r="I136" s="467">
        <f t="shared" si="44"/>
        <v>0</v>
      </c>
      <c r="J136" s="505"/>
      <c r="K136" s="382"/>
      <c r="L136" s="652"/>
      <c r="M136" s="382"/>
      <c r="N136" s="990"/>
      <c r="O136" s="776"/>
      <c r="P136" s="762"/>
      <c r="Q136" s="527"/>
      <c r="R136" s="763"/>
      <c r="S136" s="65">
        <f t="shared" si="42"/>
        <v>0</v>
      </c>
      <c r="T136" s="170" t="e">
        <f t="shared" si="43"/>
        <v>#DIV/0!</v>
      </c>
    </row>
    <row r="137" spans="1:20" s="152" customFormat="1" ht="33" customHeight="1" x14ac:dyDescent="0.3">
      <c r="A137" s="100">
        <v>93</v>
      </c>
      <c r="B137" s="809"/>
      <c r="C137" s="807"/>
      <c r="D137" s="373"/>
      <c r="E137" s="759"/>
      <c r="F137" s="914"/>
      <c r="G137" s="576"/>
      <c r="H137" s="914"/>
      <c r="I137" s="340">
        <f t="shared" si="44"/>
        <v>0</v>
      </c>
      <c r="J137" s="442"/>
      <c r="K137" s="382"/>
      <c r="L137" s="652"/>
      <c r="M137" s="382"/>
      <c r="N137" s="989"/>
      <c r="O137" s="776"/>
      <c r="P137" s="767"/>
      <c r="Q137" s="524"/>
      <c r="R137" s="771"/>
      <c r="S137" s="65">
        <f t="shared" si="42"/>
        <v>0</v>
      </c>
      <c r="T137" s="170" t="e">
        <f t="shared" si="43"/>
        <v>#DIV/0!</v>
      </c>
    </row>
    <row r="138" spans="1:20" s="152" customFormat="1" ht="33" customHeight="1" x14ac:dyDescent="0.3">
      <c r="A138" s="100">
        <v>94</v>
      </c>
      <c r="B138" s="809"/>
      <c r="C138" s="806"/>
      <c r="D138" s="629"/>
      <c r="E138" s="759"/>
      <c r="F138" s="914"/>
      <c r="G138" s="576"/>
      <c r="H138" s="914"/>
      <c r="I138" s="340">
        <f t="shared" si="44"/>
        <v>0</v>
      </c>
      <c r="J138" s="442"/>
      <c r="K138" s="382"/>
      <c r="L138" s="652"/>
      <c r="M138" s="382"/>
      <c r="N138" s="989"/>
      <c r="O138" s="776"/>
      <c r="P138" s="767"/>
      <c r="Q138" s="524"/>
      <c r="R138" s="771"/>
      <c r="S138" s="65">
        <f t="shared" ref="S138:S176" si="45">Q138+M138+K138</f>
        <v>0</v>
      </c>
      <c r="T138" s="170" t="e">
        <f t="shared" ref="T138:T176" si="46">S138/H138</f>
        <v>#DIV/0!</v>
      </c>
    </row>
    <row r="139" spans="1:20" s="152" customFormat="1" ht="28.5" customHeight="1" x14ac:dyDescent="0.25">
      <c r="A139" s="100">
        <v>95</v>
      </c>
      <c r="B139" s="807"/>
      <c r="C139" s="807"/>
      <c r="D139" s="373"/>
      <c r="E139" s="561"/>
      <c r="F139" s="914"/>
      <c r="G139" s="576"/>
      <c r="H139" s="914"/>
      <c r="I139" s="105">
        <f t="shared" ref="I139:I191" si="47">H139-F139</f>
        <v>0</v>
      </c>
      <c r="J139" s="441"/>
      <c r="K139" s="382"/>
      <c r="L139" s="652"/>
      <c r="M139" s="382"/>
      <c r="N139" s="989"/>
      <c r="O139" s="772"/>
      <c r="P139" s="766"/>
      <c r="Q139" s="524"/>
      <c r="R139" s="771"/>
      <c r="S139" s="65">
        <f t="shared" si="45"/>
        <v>0</v>
      </c>
      <c r="T139" s="170" t="e">
        <f t="shared" si="46"/>
        <v>#DIV/0!</v>
      </c>
    </row>
    <row r="140" spans="1:20" s="152" customFormat="1" ht="29.25" customHeight="1" x14ac:dyDescent="0.25">
      <c r="A140" s="100">
        <v>96</v>
      </c>
      <c r="B140" s="807"/>
      <c r="C140" s="807"/>
      <c r="D140" s="696"/>
      <c r="E140" s="561"/>
      <c r="F140" s="914"/>
      <c r="G140" s="576"/>
      <c r="H140" s="914"/>
      <c r="I140" s="105">
        <f t="shared" si="47"/>
        <v>0</v>
      </c>
      <c r="J140" s="441"/>
      <c r="K140" s="382"/>
      <c r="L140" s="652"/>
      <c r="M140" s="382"/>
      <c r="N140" s="989"/>
      <c r="O140" s="773"/>
      <c r="P140" s="766"/>
      <c r="Q140" s="524"/>
      <c r="R140" s="771"/>
      <c r="S140" s="65">
        <f t="shared" si="45"/>
        <v>0</v>
      </c>
      <c r="T140" s="170" t="e">
        <f t="shared" si="46"/>
        <v>#DIV/0!</v>
      </c>
    </row>
    <row r="141" spans="1:20" s="152" customFormat="1" ht="29.25" customHeight="1" x14ac:dyDescent="0.25">
      <c r="A141" s="100">
        <v>97</v>
      </c>
      <c r="B141" s="807"/>
      <c r="C141" s="807"/>
      <c r="D141" s="696"/>
      <c r="E141" s="561"/>
      <c r="F141" s="914"/>
      <c r="G141" s="576"/>
      <c r="H141" s="914"/>
      <c r="I141" s="105">
        <f t="shared" si="47"/>
        <v>0</v>
      </c>
      <c r="J141" s="441"/>
      <c r="K141" s="382"/>
      <c r="L141" s="652"/>
      <c r="M141" s="382"/>
      <c r="N141" s="989"/>
      <c r="O141" s="773"/>
      <c r="P141" s="766"/>
      <c r="Q141" s="524"/>
      <c r="R141" s="771"/>
      <c r="S141" s="65">
        <f t="shared" si="45"/>
        <v>0</v>
      </c>
      <c r="T141" s="170" t="e">
        <f t="shared" si="46"/>
        <v>#DIV/0!</v>
      </c>
    </row>
    <row r="142" spans="1:20" s="152" customFormat="1" ht="31.5" customHeight="1" x14ac:dyDescent="0.25">
      <c r="A142" s="100">
        <v>98</v>
      </c>
      <c r="B142" s="807"/>
      <c r="C142" s="807"/>
      <c r="D142" s="696"/>
      <c r="E142" s="561"/>
      <c r="F142" s="914"/>
      <c r="G142" s="576"/>
      <c r="H142" s="914"/>
      <c r="I142" s="105">
        <f t="shared" si="47"/>
        <v>0</v>
      </c>
      <c r="J142" s="441"/>
      <c r="K142" s="382"/>
      <c r="L142" s="652"/>
      <c r="M142" s="382"/>
      <c r="N142" s="989"/>
      <c r="O142" s="772"/>
      <c r="P142" s="766"/>
      <c r="Q142" s="524"/>
      <c r="R142" s="771"/>
      <c r="S142" s="65">
        <f t="shared" si="45"/>
        <v>0</v>
      </c>
      <c r="T142" s="170" t="e">
        <f t="shared" si="46"/>
        <v>#DIV/0!</v>
      </c>
    </row>
    <row r="143" spans="1:20" s="152" customFormat="1" ht="29.25" customHeight="1" x14ac:dyDescent="0.25">
      <c r="A143" s="100">
        <v>99</v>
      </c>
      <c r="B143" s="807"/>
      <c r="C143" s="807"/>
      <c r="D143" s="696"/>
      <c r="E143" s="561"/>
      <c r="F143" s="914"/>
      <c r="G143" s="576"/>
      <c r="H143" s="914"/>
      <c r="I143" s="105">
        <f t="shared" si="47"/>
        <v>0</v>
      </c>
      <c r="J143" s="441"/>
      <c r="K143" s="382"/>
      <c r="L143" s="652"/>
      <c r="M143" s="382"/>
      <c r="N143" s="989"/>
      <c r="O143" s="772"/>
      <c r="P143" s="766"/>
      <c r="Q143" s="524"/>
      <c r="R143" s="771"/>
      <c r="S143" s="65">
        <f t="shared" si="45"/>
        <v>0</v>
      </c>
      <c r="T143" s="170" t="e">
        <f t="shared" si="46"/>
        <v>#DIV/0!</v>
      </c>
    </row>
    <row r="144" spans="1:20" s="152" customFormat="1" ht="37.5" customHeight="1" x14ac:dyDescent="0.25">
      <c r="A144" s="100">
        <v>100</v>
      </c>
      <c r="B144" s="807"/>
      <c r="C144" s="807"/>
      <c r="D144" s="696"/>
      <c r="E144" s="561"/>
      <c r="F144" s="914"/>
      <c r="G144" s="576"/>
      <c r="H144" s="914"/>
      <c r="I144" s="105">
        <f t="shared" si="47"/>
        <v>0</v>
      </c>
      <c r="J144" s="441"/>
      <c r="K144" s="382"/>
      <c r="L144" s="652"/>
      <c r="M144" s="382"/>
      <c r="N144" s="989"/>
      <c r="O144" s="773"/>
      <c r="P144" s="766"/>
      <c r="Q144" s="524"/>
      <c r="R144" s="771"/>
      <c r="S144" s="65">
        <f t="shared" si="45"/>
        <v>0</v>
      </c>
      <c r="T144" s="170" t="e">
        <f t="shared" si="46"/>
        <v>#DIV/0!</v>
      </c>
    </row>
    <row r="145" spans="1:20" s="152" customFormat="1" ht="34.5" customHeight="1" x14ac:dyDescent="0.25">
      <c r="A145" s="100"/>
      <c r="B145" s="807"/>
      <c r="C145" s="807"/>
      <c r="D145" s="373"/>
      <c r="E145" s="561"/>
      <c r="F145" s="914"/>
      <c r="G145" s="576"/>
      <c r="H145" s="914"/>
      <c r="I145" s="105">
        <f t="shared" si="47"/>
        <v>0</v>
      </c>
      <c r="J145" s="441"/>
      <c r="K145" s="382"/>
      <c r="L145" s="652"/>
      <c r="M145" s="382"/>
      <c r="N145" s="989"/>
      <c r="O145" s="777"/>
      <c r="P145" s="767"/>
      <c r="Q145" s="524"/>
      <c r="R145" s="771"/>
      <c r="S145" s="65">
        <f t="shared" si="45"/>
        <v>0</v>
      </c>
      <c r="T145" s="170" t="e">
        <f t="shared" si="46"/>
        <v>#DIV/0!</v>
      </c>
    </row>
    <row r="146" spans="1:20" s="152" customFormat="1" ht="21.75" customHeight="1" x14ac:dyDescent="0.25">
      <c r="A146" s="100"/>
      <c r="B146" s="807"/>
      <c r="C146" s="807"/>
      <c r="D146" s="696"/>
      <c r="E146" s="561"/>
      <c r="F146" s="914"/>
      <c r="G146" s="576"/>
      <c r="H146" s="914"/>
      <c r="I146" s="105">
        <f t="shared" si="47"/>
        <v>0</v>
      </c>
      <c r="J146" s="441"/>
      <c r="K146" s="382"/>
      <c r="L146" s="652"/>
      <c r="M146" s="382"/>
      <c r="N146" s="989"/>
      <c r="O146" s="773"/>
      <c r="P146" s="766"/>
      <c r="Q146" s="524"/>
      <c r="R146" s="771"/>
      <c r="S146" s="65">
        <f t="shared" si="45"/>
        <v>0</v>
      </c>
      <c r="T146" s="170" t="e">
        <f t="shared" si="46"/>
        <v>#DIV/0!</v>
      </c>
    </row>
    <row r="147" spans="1:20" s="152" customFormat="1" ht="24" customHeight="1" x14ac:dyDescent="0.25">
      <c r="A147" s="100"/>
      <c r="B147" s="807"/>
      <c r="C147" s="807"/>
      <c r="D147" s="696"/>
      <c r="E147" s="561"/>
      <c r="F147" s="914"/>
      <c r="G147" s="576"/>
      <c r="H147" s="914"/>
      <c r="I147" s="105">
        <f t="shared" si="47"/>
        <v>0</v>
      </c>
      <c r="J147" s="443"/>
      <c r="K147" s="382"/>
      <c r="L147" s="652"/>
      <c r="M147" s="382"/>
      <c r="N147" s="652"/>
      <c r="O147" s="773"/>
      <c r="P147" s="767"/>
      <c r="Q147" s="524"/>
      <c r="R147" s="771"/>
      <c r="S147" s="65">
        <f t="shared" si="45"/>
        <v>0</v>
      </c>
      <c r="T147" s="170" t="e">
        <f t="shared" si="46"/>
        <v>#DIV/0!</v>
      </c>
    </row>
    <row r="148" spans="1:20" s="152" customFormat="1" ht="22.5" x14ac:dyDescent="0.3">
      <c r="A148" s="100"/>
      <c r="B148" s="807"/>
      <c r="C148" s="807"/>
      <c r="D148" s="373"/>
      <c r="E148" s="760"/>
      <c r="F148" s="914"/>
      <c r="G148" s="576"/>
      <c r="H148" s="914"/>
      <c r="I148" s="105">
        <f t="shared" si="47"/>
        <v>0</v>
      </c>
      <c r="J148" s="577"/>
      <c r="K148" s="382"/>
      <c r="L148" s="652"/>
      <c r="M148" s="382"/>
      <c r="N148" s="652"/>
      <c r="O148" s="768"/>
      <c r="P148" s="767"/>
      <c r="Q148" s="524"/>
      <c r="R148" s="771"/>
      <c r="S148" s="65">
        <f t="shared" si="45"/>
        <v>0</v>
      </c>
      <c r="T148" s="170" t="e">
        <f t="shared" si="46"/>
        <v>#DIV/0!</v>
      </c>
    </row>
    <row r="149" spans="1:20" s="152" customFormat="1" ht="22.5" x14ac:dyDescent="0.3">
      <c r="A149" s="100"/>
      <c r="B149" s="807"/>
      <c r="C149" s="807"/>
      <c r="D149" s="373"/>
      <c r="E149" s="760"/>
      <c r="F149" s="914"/>
      <c r="G149" s="576"/>
      <c r="H149" s="914"/>
      <c r="I149" s="105">
        <f t="shared" si="47"/>
        <v>0</v>
      </c>
      <c r="J149" s="577"/>
      <c r="K149" s="382"/>
      <c r="L149" s="652"/>
      <c r="M149" s="382"/>
      <c r="N149" s="652"/>
      <c r="O149" s="768"/>
      <c r="P149" s="767"/>
      <c r="Q149" s="524"/>
      <c r="R149" s="771"/>
      <c r="S149" s="65">
        <f t="shared" si="45"/>
        <v>0</v>
      </c>
      <c r="T149" s="170" t="e">
        <f t="shared" si="46"/>
        <v>#DIV/0!</v>
      </c>
    </row>
    <row r="150" spans="1:20" s="152" customFormat="1" ht="22.5" x14ac:dyDescent="0.3">
      <c r="A150" s="100"/>
      <c r="B150" s="807"/>
      <c r="C150" s="807"/>
      <c r="D150" s="373"/>
      <c r="E150" s="760"/>
      <c r="F150" s="914"/>
      <c r="G150" s="576"/>
      <c r="H150" s="914"/>
      <c r="I150" s="105">
        <f t="shared" si="47"/>
        <v>0</v>
      </c>
      <c r="J150" s="577"/>
      <c r="K150" s="382"/>
      <c r="L150" s="652"/>
      <c r="M150" s="382"/>
      <c r="N150" s="652"/>
      <c r="O150" s="768"/>
      <c r="P150" s="767"/>
      <c r="Q150" s="524"/>
      <c r="R150" s="771"/>
      <c r="S150" s="65">
        <f t="shared" si="45"/>
        <v>0</v>
      </c>
      <c r="T150" s="170" t="e">
        <f t="shared" si="46"/>
        <v>#DIV/0!</v>
      </c>
    </row>
    <row r="151" spans="1:20" s="152" customFormat="1" ht="22.5" x14ac:dyDescent="0.3">
      <c r="A151" s="100"/>
      <c r="B151" s="807"/>
      <c r="C151" s="807"/>
      <c r="D151" s="373"/>
      <c r="E151" s="760"/>
      <c r="F151" s="914"/>
      <c r="G151" s="576"/>
      <c r="H151" s="914"/>
      <c r="I151" s="105">
        <f t="shared" si="47"/>
        <v>0</v>
      </c>
      <c r="J151" s="577"/>
      <c r="K151" s="382"/>
      <c r="L151" s="652"/>
      <c r="M151" s="382"/>
      <c r="N151" s="652"/>
      <c r="O151" s="768"/>
      <c r="P151" s="767"/>
      <c r="Q151" s="524"/>
      <c r="R151" s="771"/>
      <c r="S151" s="65">
        <f t="shared" si="45"/>
        <v>0</v>
      </c>
      <c r="T151" s="170" t="e">
        <f t="shared" si="46"/>
        <v>#DIV/0!</v>
      </c>
    </row>
    <row r="152" spans="1:20" s="152" customFormat="1" ht="15.75" x14ac:dyDescent="0.25">
      <c r="A152" s="100"/>
      <c r="B152" s="807"/>
      <c r="C152" s="807"/>
      <c r="D152" s="696"/>
      <c r="E152" s="561"/>
      <c r="F152" s="914"/>
      <c r="G152" s="576"/>
      <c r="H152" s="914"/>
      <c r="I152" s="105">
        <f t="shared" ref="I152" si="48">H152-F152</f>
        <v>0</v>
      </c>
      <c r="J152" s="441"/>
      <c r="K152" s="382"/>
      <c r="L152" s="652"/>
      <c r="M152" s="382"/>
      <c r="N152" s="989"/>
      <c r="O152" s="773"/>
      <c r="P152" s="766"/>
      <c r="Q152" s="524"/>
      <c r="R152" s="771"/>
      <c r="S152" s="65">
        <f t="shared" si="45"/>
        <v>0</v>
      </c>
      <c r="T152" s="170" t="e">
        <f t="shared" si="46"/>
        <v>#DIV/0!</v>
      </c>
    </row>
    <row r="153" spans="1:20" s="152" customFormat="1" ht="29.25" customHeight="1" x14ac:dyDescent="0.25">
      <c r="A153" s="100"/>
      <c r="B153" s="810"/>
      <c r="C153" s="807"/>
      <c r="D153" s="373"/>
      <c r="E153" s="561"/>
      <c r="F153" s="914"/>
      <c r="G153" s="576"/>
      <c r="H153" s="914"/>
      <c r="I153" s="409">
        <f t="shared" si="47"/>
        <v>0</v>
      </c>
      <c r="J153" s="443"/>
      <c r="K153" s="382"/>
      <c r="L153" s="652"/>
      <c r="M153" s="382"/>
      <c r="N153" s="652"/>
      <c r="O153" s="772"/>
      <c r="P153" s="767"/>
      <c r="Q153" s="524"/>
      <c r="R153" s="774"/>
      <c r="S153" s="65">
        <f t="shared" si="45"/>
        <v>0</v>
      </c>
      <c r="T153" s="170" t="e">
        <f t="shared" si="46"/>
        <v>#DIV/0!</v>
      </c>
    </row>
    <row r="154" spans="1:20" s="152" customFormat="1" ht="25.5" customHeight="1" x14ac:dyDescent="0.25">
      <c r="A154" s="100">
        <v>105</v>
      </c>
      <c r="B154" s="807"/>
      <c r="C154" s="807"/>
      <c r="D154" s="373"/>
      <c r="E154" s="561"/>
      <c r="F154" s="914"/>
      <c r="G154" s="576"/>
      <c r="H154" s="914"/>
      <c r="I154" s="105">
        <f t="shared" si="47"/>
        <v>0</v>
      </c>
      <c r="J154" s="443"/>
      <c r="K154" s="382"/>
      <c r="L154" s="652"/>
      <c r="M154" s="382"/>
      <c r="N154" s="652"/>
      <c r="O154" s="773"/>
      <c r="P154" s="767"/>
      <c r="Q154" s="524"/>
      <c r="R154" s="774"/>
      <c r="S154" s="65">
        <f t="shared" si="45"/>
        <v>0</v>
      </c>
      <c r="T154" s="170" t="e">
        <f t="shared" si="46"/>
        <v>#DIV/0!</v>
      </c>
    </row>
    <row r="155" spans="1:20" s="152" customFormat="1" ht="26.25" customHeight="1" x14ac:dyDescent="0.25">
      <c r="A155" s="100"/>
      <c r="B155" s="807"/>
      <c r="C155" s="807"/>
      <c r="D155" s="373"/>
      <c r="E155" s="561"/>
      <c r="F155" s="557"/>
      <c r="G155" s="576"/>
      <c r="H155" s="914"/>
      <c r="I155" s="105">
        <f t="shared" si="47"/>
        <v>0</v>
      </c>
      <c r="J155" s="443"/>
      <c r="K155" s="382"/>
      <c r="L155" s="652"/>
      <c r="M155" s="382"/>
      <c r="N155" s="652"/>
      <c r="O155" s="773"/>
      <c r="P155" s="767"/>
      <c r="Q155" s="524"/>
      <c r="R155" s="774"/>
      <c r="S155" s="65">
        <f t="shared" si="45"/>
        <v>0</v>
      </c>
      <c r="T155" s="170" t="e">
        <f t="shared" si="46"/>
        <v>#DIV/0!</v>
      </c>
    </row>
    <row r="156" spans="1:20" s="152" customFormat="1" ht="18.75" customHeight="1" x14ac:dyDescent="0.25">
      <c r="A156" s="100"/>
      <c r="B156" s="807"/>
      <c r="C156" s="807"/>
      <c r="D156" s="373"/>
      <c r="E156" s="561"/>
      <c r="F156" s="557"/>
      <c r="G156" s="576"/>
      <c r="H156" s="914"/>
      <c r="I156" s="105">
        <f t="shared" si="47"/>
        <v>0</v>
      </c>
      <c r="J156" s="443"/>
      <c r="K156" s="382"/>
      <c r="L156" s="652"/>
      <c r="M156" s="382"/>
      <c r="N156" s="652"/>
      <c r="O156" s="588"/>
      <c r="P156" s="383"/>
      <c r="Q156" s="527"/>
      <c r="R156" s="589"/>
      <c r="S156" s="65">
        <f t="shared" si="45"/>
        <v>0</v>
      </c>
      <c r="T156" s="170" t="e">
        <f t="shared" si="46"/>
        <v>#DIV/0!</v>
      </c>
    </row>
    <row r="157" spans="1:20" s="152" customFormat="1" ht="24.75" customHeight="1" x14ac:dyDescent="0.25">
      <c r="A157" s="100"/>
      <c r="B157" s="807"/>
      <c r="C157" s="807"/>
      <c r="D157" s="373"/>
      <c r="E157" s="561"/>
      <c r="F157" s="557"/>
      <c r="G157" s="576"/>
      <c r="H157" s="557"/>
      <c r="I157" s="105">
        <f t="shared" si="47"/>
        <v>0</v>
      </c>
      <c r="J157" s="443"/>
      <c r="K157" s="382"/>
      <c r="L157" s="652"/>
      <c r="M157" s="382"/>
      <c r="N157" s="652"/>
      <c r="O157" s="588"/>
      <c r="P157" s="383"/>
      <c r="Q157" s="527"/>
      <c r="R157" s="381"/>
      <c r="S157" s="65">
        <f t="shared" si="45"/>
        <v>0</v>
      </c>
      <c r="T157" s="170" t="e">
        <f t="shared" si="46"/>
        <v>#DIV/0!</v>
      </c>
    </row>
    <row r="158" spans="1:20" s="152" customFormat="1" ht="27" customHeight="1" x14ac:dyDescent="0.25">
      <c r="A158" s="100"/>
      <c r="B158" s="807"/>
      <c r="C158" s="807"/>
      <c r="D158" s="373"/>
      <c r="E158" s="561"/>
      <c r="F158" s="557"/>
      <c r="G158" s="576"/>
      <c r="H158" s="557"/>
      <c r="I158" s="105">
        <f t="shared" si="47"/>
        <v>0</v>
      </c>
      <c r="J158" s="443"/>
      <c r="K158" s="382"/>
      <c r="L158" s="652"/>
      <c r="M158" s="382"/>
      <c r="N158" s="652"/>
      <c r="O158" s="588"/>
      <c r="P158" s="563"/>
      <c r="Q158" s="527"/>
      <c r="R158" s="381"/>
      <c r="S158" s="65">
        <f t="shared" si="45"/>
        <v>0</v>
      </c>
      <c r="T158" s="170" t="e">
        <f t="shared" si="46"/>
        <v>#DIV/0!</v>
      </c>
    </row>
    <row r="159" spans="1:20" s="152" customFormat="1" ht="27" customHeight="1" x14ac:dyDescent="0.25">
      <c r="A159" s="100"/>
      <c r="B159" s="811"/>
      <c r="C159" s="807"/>
      <c r="D159" s="373"/>
      <c r="E159" s="561"/>
      <c r="F159" s="557"/>
      <c r="G159" s="576"/>
      <c r="H159" s="557"/>
      <c r="I159" s="105">
        <f t="shared" si="47"/>
        <v>0</v>
      </c>
      <c r="J159" s="443"/>
      <c r="K159" s="382"/>
      <c r="L159" s="652"/>
      <c r="M159" s="382"/>
      <c r="N159" s="652"/>
      <c r="O159" s="590"/>
      <c r="P159" s="563"/>
      <c r="Q159" s="527"/>
      <c r="R159" s="630"/>
      <c r="S159" s="65">
        <f t="shared" si="45"/>
        <v>0</v>
      </c>
      <c r="T159" s="170" t="e">
        <f t="shared" si="46"/>
        <v>#DIV/0!</v>
      </c>
    </row>
    <row r="160" spans="1:20" s="152" customFormat="1" ht="29.25" customHeight="1" x14ac:dyDescent="0.25">
      <c r="A160" s="100"/>
      <c r="B160" s="592"/>
      <c r="C160" s="578"/>
      <c r="D160" s="373"/>
      <c r="E160" s="559"/>
      <c r="F160" s="557"/>
      <c r="G160" s="576"/>
      <c r="H160" s="557"/>
      <c r="I160" s="105">
        <f t="shared" si="47"/>
        <v>0</v>
      </c>
      <c r="J160" s="443"/>
      <c r="K160" s="382"/>
      <c r="L160" s="652"/>
      <c r="M160" s="382"/>
      <c r="N160" s="652"/>
      <c r="O160" s="631"/>
      <c r="P160" s="563"/>
      <c r="Q160" s="527"/>
      <c r="R160" s="381"/>
      <c r="S160" s="65">
        <f t="shared" si="45"/>
        <v>0</v>
      </c>
      <c r="T160" s="170" t="e">
        <f t="shared" si="46"/>
        <v>#DIV/0!</v>
      </c>
    </row>
    <row r="161" spans="1:20" s="152" customFormat="1" ht="24.75" customHeight="1" x14ac:dyDescent="0.25">
      <c r="A161" s="100"/>
      <c r="B161" s="373"/>
      <c r="C161" s="373"/>
      <c r="D161" s="373"/>
      <c r="E161" s="559"/>
      <c r="F161" s="557"/>
      <c r="G161" s="576"/>
      <c r="H161" s="557"/>
      <c r="I161" s="105">
        <f t="shared" si="47"/>
        <v>0</v>
      </c>
      <c r="J161" s="443"/>
      <c r="K161" s="382"/>
      <c r="L161" s="652"/>
      <c r="M161" s="382"/>
      <c r="N161" s="652"/>
      <c r="O161" s="590"/>
      <c r="P161" s="383"/>
      <c r="Q161" s="527"/>
      <c r="R161" s="381"/>
      <c r="S161" s="65">
        <f t="shared" si="45"/>
        <v>0</v>
      </c>
      <c r="T161" s="170" t="e">
        <f t="shared" si="46"/>
        <v>#DIV/0!</v>
      </c>
    </row>
    <row r="162" spans="1:20" s="152" customFormat="1" ht="18.75" x14ac:dyDescent="0.25">
      <c r="A162" s="100"/>
      <c r="B162" s="373"/>
      <c r="C162" s="373"/>
      <c r="D162" s="373"/>
      <c r="E162" s="559"/>
      <c r="F162" s="557"/>
      <c r="G162" s="576"/>
      <c r="H162" s="557"/>
      <c r="I162" s="105">
        <f t="shared" si="47"/>
        <v>0</v>
      </c>
      <c r="J162" s="443"/>
      <c r="K162" s="382"/>
      <c r="L162" s="652"/>
      <c r="M162" s="382"/>
      <c r="N162" s="652"/>
      <c r="O162" s="562"/>
      <c r="P162" s="383"/>
      <c r="Q162" s="527"/>
      <c r="R162" s="381"/>
      <c r="S162" s="65">
        <f t="shared" si="45"/>
        <v>0</v>
      </c>
      <c r="T162" s="170" t="e">
        <f t="shared" si="46"/>
        <v>#DIV/0!</v>
      </c>
    </row>
    <row r="163" spans="1:20" s="152" customFormat="1" ht="30.75" customHeight="1" x14ac:dyDescent="0.25">
      <c r="A163" s="100"/>
      <c r="B163" s="616"/>
      <c r="C163" s="373"/>
      <c r="D163" s="373"/>
      <c r="E163" s="559"/>
      <c r="F163" s="557"/>
      <c r="G163" s="576"/>
      <c r="H163" s="557"/>
      <c r="I163" s="105">
        <f t="shared" si="47"/>
        <v>0</v>
      </c>
      <c r="J163" s="443"/>
      <c r="K163" s="382"/>
      <c r="L163" s="652"/>
      <c r="M163" s="382"/>
      <c r="N163" s="991"/>
      <c r="O163" s="562"/>
      <c r="P163" s="383"/>
      <c r="Q163" s="527"/>
      <c r="R163" s="381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/>
      <c r="B164" s="576"/>
      <c r="C164" s="373"/>
      <c r="D164" s="373"/>
      <c r="E164" s="559"/>
      <c r="F164" s="557"/>
      <c r="G164" s="576"/>
      <c r="H164" s="557"/>
      <c r="I164" s="105">
        <f t="shared" si="47"/>
        <v>0</v>
      </c>
      <c r="J164" s="447"/>
      <c r="K164" s="382"/>
      <c r="L164" s="652"/>
      <c r="M164" s="382"/>
      <c r="N164" s="992"/>
      <c r="O164" s="562"/>
      <c r="P164" s="383"/>
      <c r="Q164" s="527"/>
      <c r="R164" s="617"/>
      <c r="S164" s="65">
        <f t="shared" si="45"/>
        <v>0</v>
      </c>
      <c r="T164" s="170" t="e">
        <f t="shared" si="46"/>
        <v>#DIV/0!</v>
      </c>
    </row>
    <row r="165" spans="1:20" s="152" customFormat="1" ht="18.75" x14ac:dyDescent="0.25">
      <c r="A165" s="100"/>
      <c r="B165" s="373"/>
      <c r="C165" s="373"/>
      <c r="D165" s="373"/>
      <c r="E165" s="559"/>
      <c r="F165" s="557"/>
      <c r="G165" s="576"/>
      <c r="H165" s="557"/>
      <c r="I165" s="105">
        <f t="shared" si="47"/>
        <v>0</v>
      </c>
      <c r="J165" s="447"/>
      <c r="K165" s="382"/>
      <c r="L165" s="652"/>
      <c r="M165" s="382"/>
      <c r="N165" s="993"/>
      <c r="O165" s="562"/>
      <c r="P165" s="563"/>
      <c r="Q165" s="527"/>
      <c r="R165" s="617"/>
      <c r="S165" s="65">
        <f t="shared" si="45"/>
        <v>0</v>
      </c>
      <c r="T165" s="170" t="e">
        <f t="shared" si="46"/>
        <v>#DIV/0!</v>
      </c>
    </row>
    <row r="166" spans="1:20" s="152" customFormat="1" ht="27.75" customHeight="1" x14ac:dyDescent="0.25">
      <c r="A166" s="100"/>
      <c r="B166" s="373"/>
      <c r="C166" s="373"/>
      <c r="D166" s="373"/>
      <c r="E166" s="559"/>
      <c r="F166" s="557"/>
      <c r="G166" s="576"/>
      <c r="H166" s="557"/>
      <c r="I166" s="105">
        <f t="shared" si="47"/>
        <v>0</v>
      </c>
      <c r="J166" s="275"/>
      <c r="K166" s="382"/>
      <c r="L166" s="652"/>
      <c r="M166" s="382"/>
      <c r="N166" s="990"/>
      <c r="O166" s="562"/>
      <c r="P166" s="383"/>
      <c r="Q166" s="527"/>
      <c r="R166" s="617"/>
      <c r="S166" s="65">
        <f t="shared" si="45"/>
        <v>0</v>
      </c>
      <c r="T166" s="170" t="e">
        <f t="shared" si="46"/>
        <v>#DIV/0!</v>
      </c>
    </row>
    <row r="167" spans="1:20" s="152" customFormat="1" ht="32.25" customHeight="1" x14ac:dyDescent="0.25">
      <c r="A167" s="100"/>
      <c r="B167" s="373"/>
      <c r="C167" s="373"/>
      <c r="D167" s="373"/>
      <c r="E167" s="559"/>
      <c r="F167" s="557"/>
      <c r="G167" s="576"/>
      <c r="H167" s="557"/>
      <c r="I167" s="105">
        <f t="shared" si="47"/>
        <v>0</v>
      </c>
      <c r="J167" s="275"/>
      <c r="K167" s="382"/>
      <c r="L167" s="652"/>
      <c r="M167" s="382"/>
      <c r="N167" s="990"/>
      <c r="O167" s="562"/>
      <c r="P167" s="383"/>
      <c r="Q167" s="527"/>
      <c r="R167" s="617"/>
      <c r="S167" s="65">
        <f t="shared" si="45"/>
        <v>0</v>
      </c>
      <c r="T167" s="170" t="e">
        <f t="shared" si="46"/>
        <v>#DIV/0!</v>
      </c>
    </row>
    <row r="168" spans="1:20" s="152" customFormat="1" ht="19.5" customHeight="1" x14ac:dyDescent="0.25">
      <c r="A168" s="100"/>
      <c r="B168" s="373"/>
      <c r="C168" s="373"/>
      <c r="D168" s="373"/>
      <c r="E168" s="559"/>
      <c r="F168" s="557"/>
      <c r="G168" s="576"/>
      <c r="H168" s="557"/>
      <c r="I168" s="105">
        <f t="shared" si="47"/>
        <v>0</v>
      </c>
      <c r="J168" s="275"/>
      <c r="K168" s="382"/>
      <c r="L168" s="652"/>
      <c r="M168" s="382"/>
      <c r="N168" s="932"/>
      <c r="O168" s="562"/>
      <c r="P168" s="383"/>
      <c r="Q168" s="527"/>
      <c r="R168" s="617"/>
      <c r="S168" s="65">
        <f t="shared" si="45"/>
        <v>0</v>
      </c>
      <c r="T168" s="170" t="e">
        <f t="shared" si="46"/>
        <v>#DIV/0!</v>
      </c>
    </row>
    <row r="169" spans="1:20" s="152" customFormat="1" x14ac:dyDescent="0.25">
      <c r="A169" s="100"/>
      <c r="B169" s="408"/>
      <c r="C169" s="73"/>
      <c r="D169" s="156"/>
      <c r="E169" s="149"/>
      <c r="F169" s="105"/>
      <c r="G169" s="100"/>
      <c r="H169" s="369"/>
      <c r="I169" s="105">
        <f t="shared" si="47"/>
        <v>0</v>
      </c>
      <c r="J169" s="177"/>
      <c r="K169" s="224"/>
      <c r="L169" s="653"/>
      <c r="M169" s="223"/>
      <c r="N169" s="933"/>
      <c r="O169" s="390"/>
      <c r="P169" s="222"/>
      <c r="Q169" s="528"/>
      <c r="R169" s="661"/>
      <c r="S169" s="65">
        <f t="shared" si="45"/>
        <v>0</v>
      </c>
      <c r="T169" s="170" t="e">
        <f t="shared" si="46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7"/>
        <v>0</v>
      </c>
      <c r="J170" s="177"/>
      <c r="K170" s="224"/>
      <c r="L170" s="653"/>
      <c r="M170" s="223"/>
      <c r="N170" s="933"/>
      <c r="O170" s="390"/>
      <c r="P170" s="222"/>
      <c r="Q170" s="528"/>
      <c r="R170" s="661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7"/>
        <v>0</v>
      </c>
      <c r="J171" s="177"/>
      <c r="K171" s="224"/>
      <c r="L171" s="653"/>
      <c r="M171" s="223"/>
      <c r="N171" s="933"/>
      <c r="O171" s="390"/>
      <c r="P171" s="222"/>
      <c r="Q171" s="528"/>
      <c r="R171" s="661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7"/>
        <v>0</v>
      </c>
      <c r="J172" s="177"/>
      <c r="K172" s="224"/>
      <c r="L172" s="653"/>
      <c r="M172" s="223"/>
      <c r="N172" s="933"/>
      <c r="O172" s="390"/>
      <c r="P172" s="222"/>
      <c r="Q172" s="528"/>
      <c r="R172" s="661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7"/>
        <v>0</v>
      </c>
      <c r="J173" s="177"/>
      <c r="K173" s="224"/>
      <c r="L173" s="653"/>
      <c r="M173" s="223"/>
      <c r="N173" s="933"/>
      <c r="O173" s="390"/>
      <c r="P173" s="222"/>
      <c r="Q173" s="528"/>
      <c r="R173" s="661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9"/>
      <c r="I174" s="105">
        <f t="shared" si="47"/>
        <v>0</v>
      </c>
      <c r="J174" s="177"/>
      <c r="K174" s="224"/>
      <c r="L174" s="653"/>
      <c r="M174" s="223"/>
      <c r="N174" s="933"/>
      <c r="O174" s="390"/>
      <c r="P174" s="222"/>
      <c r="Q174" s="528"/>
      <c r="R174" s="661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9"/>
      <c r="I175" s="105">
        <f t="shared" si="47"/>
        <v>0</v>
      </c>
      <c r="J175" s="177"/>
      <c r="K175" s="224"/>
      <c r="L175" s="653"/>
      <c r="M175" s="223"/>
      <c r="N175" s="933"/>
      <c r="O175" s="390"/>
      <c r="P175" s="222"/>
      <c r="Q175" s="528"/>
      <c r="R175" s="661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9"/>
      <c r="I176" s="105">
        <f t="shared" si="47"/>
        <v>0</v>
      </c>
      <c r="J176" s="177"/>
      <c r="K176" s="224"/>
      <c r="L176" s="653"/>
      <c r="M176" s="223"/>
      <c r="N176" s="934"/>
      <c r="O176" s="390"/>
      <c r="P176" s="222"/>
      <c r="Q176" s="529"/>
      <c r="R176" s="662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9"/>
      <c r="I177" s="105">
        <f t="shared" si="47"/>
        <v>0</v>
      </c>
      <c r="J177" s="177"/>
      <c r="K177" s="224"/>
      <c r="L177" s="653"/>
      <c r="M177" s="223"/>
      <c r="N177" s="934"/>
      <c r="O177" s="390"/>
      <c r="P177" s="222"/>
      <c r="Q177" s="529"/>
      <c r="R177" s="662"/>
      <c r="S177" s="65"/>
      <c r="T177" s="65"/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9"/>
      <c r="I178" s="105">
        <f t="shared" si="47"/>
        <v>0</v>
      </c>
      <c r="J178" s="177"/>
      <c r="K178" s="224"/>
      <c r="L178" s="653"/>
      <c r="M178" s="223"/>
      <c r="N178" s="934"/>
      <c r="O178" s="390"/>
      <c r="P178" s="222"/>
      <c r="Q178" s="529"/>
      <c r="R178" s="662"/>
      <c r="S178" s="65"/>
      <c r="T178" s="65"/>
    </row>
    <row r="179" spans="1:20" s="152" customFormat="1" ht="15.75" thickBot="1" x14ac:dyDescent="0.3">
      <c r="A179" s="100"/>
      <c r="B179" s="75"/>
      <c r="C179" s="146"/>
      <c r="D179" s="146"/>
      <c r="E179" s="134"/>
      <c r="F179" s="446"/>
      <c r="G179" s="100"/>
      <c r="H179" s="369"/>
      <c r="I179" s="105">
        <f t="shared" si="47"/>
        <v>0</v>
      </c>
      <c r="J179" s="177"/>
      <c r="K179" s="108"/>
      <c r="L179" s="653"/>
      <c r="M179" s="71"/>
      <c r="N179" s="934"/>
      <c r="O179" s="127"/>
      <c r="P179" s="116"/>
      <c r="Q179" s="530"/>
      <c r="R179" s="663"/>
      <c r="S179" s="65">
        <f t="shared" ref="S179:S184" si="49">Q179+M179+K179</f>
        <v>0</v>
      </c>
      <c r="T179" s="65" t="e">
        <f t="shared" ref="T179:T187" si="50">S179/H179+0.1</f>
        <v>#DIV/0!</v>
      </c>
    </row>
    <row r="180" spans="1:20" s="152" customFormat="1" ht="15.75" hidden="1" thickBot="1" x14ac:dyDescent="0.3">
      <c r="A180" s="100"/>
      <c r="B180" s="75"/>
      <c r="C180" s="75"/>
      <c r="D180" s="146"/>
      <c r="E180" s="134"/>
      <c r="F180" s="446"/>
      <c r="G180" s="100"/>
      <c r="H180" s="369"/>
      <c r="I180" s="105">
        <f t="shared" si="47"/>
        <v>0</v>
      </c>
      <c r="J180" s="177"/>
      <c r="K180" s="108"/>
      <c r="L180" s="653"/>
      <c r="M180" s="71"/>
      <c r="N180" s="934"/>
      <c r="O180" s="127"/>
      <c r="P180" s="116"/>
      <c r="Q180" s="531"/>
      <c r="R180" s="664"/>
      <c r="S180" s="65">
        <f t="shared" si="49"/>
        <v>0</v>
      </c>
      <c r="T180" s="65" t="e">
        <f t="shared" si="50"/>
        <v>#DIV/0!</v>
      </c>
    </row>
    <row r="181" spans="1:20" s="152" customFormat="1" ht="15.75" hidden="1" thickBot="1" x14ac:dyDescent="0.3">
      <c r="A181" s="100"/>
      <c r="B181" s="75"/>
      <c r="C181" s="75"/>
      <c r="D181" s="146"/>
      <c r="E181" s="134"/>
      <c r="F181" s="446"/>
      <c r="G181" s="100"/>
      <c r="H181" s="369"/>
      <c r="I181" s="105">
        <f t="shared" si="47"/>
        <v>0</v>
      </c>
      <c r="J181" s="177"/>
      <c r="K181" s="108"/>
      <c r="L181" s="653"/>
      <c r="M181" s="71"/>
      <c r="N181" s="934"/>
      <c r="O181" s="127"/>
      <c r="P181" s="116"/>
      <c r="Q181" s="531"/>
      <c r="R181" s="664"/>
      <c r="S181" s="65">
        <f t="shared" si="49"/>
        <v>0</v>
      </c>
      <c r="T181" s="65" t="e">
        <f t="shared" si="50"/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6"/>
      <c r="G182" s="100"/>
      <c r="H182" s="369"/>
      <c r="I182" s="105">
        <f t="shared" si="47"/>
        <v>0</v>
      </c>
      <c r="J182" s="177"/>
      <c r="K182" s="108"/>
      <c r="L182" s="653"/>
      <c r="M182" s="71"/>
      <c r="N182" s="934"/>
      <c r="O182" s="127"/>
      <c r="P182" s="116"/>
      <c r="Q182" s="531"/>
      <c r="R182" s="665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6"/>
      <c r="G183" s="100"/>
      <c r="H183" s="369"/>
      <c r="I183" s="105">
        <f t="shared" si="47"/>
        <v>0</v>
      </c>
      <c r="J183" s="177"/>
      <c r="K183" s="108"/>
      <c r="L183" s="653"/>
      <c r="M183" s="71"/>
      <c r="N183" s="934"/>
      <c r="O183" s="127"/>
      <c r="P183" s="116"/>
      <c r="Q183" s="531"/>
      <c r="R183" s="665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146"/>
      <c r="E184" s="134"/>
      <c r="F184" s="446"/>
      <c r="G184" s="100"/>
      <c r="H184" s="369"/>
      <c r="I184" s="105">
        <f t="shared" si="47"/>
        <v>0</v>
      </c>
      <c r="J184" s="177"/>
      <c r="K184" s="108"/>
      <c r="L184" s="653"/>
      <c r="M184" s="71"/>
      <c r="N184" s="934"/>
      <c r="O184" s="127"/>
      <c r="P184" s="116"/>
      <c r="Q184" s="394"/>
      <c r="R184" s="666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146"/>
      <c r="D185" s="101"/>
      <c r="E185" s="134"/>
      <c r="F185" s="446"/>
      <c r="G185" s="100"/>
      <c r="H185" s="369"/>
      <c r="I185" s="105">
        <f t="shared" si="47"/>
        <v>0</v>
      </c>
      <c r="J185" s="177"/>
      <c r="K185" s="108"/>
      <c r="L185" s="653"/>
      <c r="M185" s="71"/>
      <c r="N185" s="934"/>
      <c r="O185" s="127"/>
      <c r="P185" s="116"/>
      <c r="Q185" s="394"/>
      <c r="R185" s="666"/>
      <c r="S185" s="65">
        <f t="shared" ref="S185:S190" si="51">Q185+M185+K185</f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8"/>
      <c r="D186" s="101"/>
      <c r="E186" s="134"/>
      <c r="F186" s="446"/>
      <c r="G186" s="100"/>
      <c r="H186" s="369"/>
      <c r="I186" s="105">
        <f t="shared" si="47"/>
        <v>0</v>
      </c>
      <c r="J186" s="177"/>
      <c r="K186" s="108"/>
      <c r="L186" s="653"/>
      <c r="M186" s="71"/>
      <c r="N186" s="934"/>
      <c r="O186" s="127"/>
      <c r="P186" s="116"/>
      <c r="Q186" s="394"/>
      <c r="R186" s="666"/>
      <c r="S186" s="65">
        <f t="shared" si="51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8"/>
      <c r="D187" s="101"/>
      <c r="E187" s="134"/>
      <c r="F187" s="446"/>
      <c r="G187" s="100"/>
      <c r="H187" s="369"/>
      <c r="I187" s="105">
        <f t="shared" si="47"/>
        <v>0</v>
      </c>
      <c r="J187" s="177"/>
      <c r="K187" s="108"/>
      <c r="L187" s="653"/>
      <c r="M187" s="71"/>
      <c r="N187" s="934"/>
      <c r="O187" s="127"/>
      <c r="P187" s="116"/>
      <c r="Q187" s="394"/>
      <c r="R187" s="666"/>
      <c r="S187" s="65">
        <f t="shared" si="51"/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6"/>
      <c r="G188" s="100"/>
      <c r="H188" s="369"/>
      <c r="I188" s="105">
        <f t="shared" si="47"/>
        <v>0</v>
      </c>
      <c r="J188" s="177"/>
      <c r="K188" s="108"/>
      <c r="L188" s="653"/>
      <c r="M188" s="71"/>
      <c r="N188" s="934"/>
      <c r="O188" s="127"/>
      <c r="P188" s="116"/>
      <c r="Q188" s="394"/>
      <c r="R188" s="666"/>
      <c r="S188" s="65">
        <f t="shared" si="51"/>
        <v>0</v>
      </c>
      <c r="T188" s="65" t="e">
        <f>S188/H188</f>
        <v>#DIV/0!</v>
      </c>
    </row>
    <row r="189" spans="1:20" s="152" customFormat="1" ht="15.75" hidden="1" thickBot="1" x14ac:dyDescent="0.3">
      <c r="A189" s="100"/>
      <c r="B189" s="75"/>
      <c r="C189" s="148"/>
      <c r="D189" s="153"/>
      <c r="E189" s="134"/>
      <c r="F189" s="446"/>
      <c r="G189" s="100"/>
      <c r="H189" s="369"/>
      <c r="I189" s="105">
        <f t="shared" si="47"/>
        <v>0</v>
      </c>
      <c r="J189" s="177"/>
      <c r="K189" s="108"/>
      <c r="L189" s="653"/>
      <c r="M189" s="71"/>
      <c r="N189" s="934"/>
      <c r="O189" s="127"/>
      <c r="P189" s="116"/>
      <c r="Q189" s="532"/>
      <c r="R189" s="663"/>
      <c r="S189" s="65">
        <f t="shared" si="51"/>
        <v>0</v>
      </c>
      <c r="T189" s="65" t="e">
        <f>S189/H189</f>
        <v>#DIV/0!</v>
      </c>
    </row>
    <row r="190" spans="1:20" s="152" customFormat="1" ht="15.75" hidden="1" thickBot="1" x14ac:dyDescent="0.3">
      <c r="A190" s="100"/>
      <c r="B190" s="75"/>
      <c r="C190" s="148"/>
      <c r="D190" s="153"/>
      <c r="E190" s="134"/>
      <c r="F190" s="446"/>
      <c r="G190" s="100"/>
      <c r="H190" s="369"/>
      <c r="I190" s="105">
        <f t="shared" si="47"/>
        <v>0</v>
      </c>
      <c r="J190" s="177"/>
      <c r="K190" s="108"/>
      <c r="L190" s="653"/>
      <c r="M190" s="71"/>
      <c r="N190" s="934"/>
      <c r="O190" s="127"/>
      <c r="P190" s="116"/>
      <c r="Q190" s="532"/>
      <c r="R190" s="667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95"/>
      <c r="D191" s="153"/>
      <c r="E191" s="453"/>
      <c r="F191" s="446"/>
      <c r="G191" s="100"/>
      <c r="H191" s="369"/>
      <c r="I191" s="105">
        <f t="shared" si="47"/>
        <v>0</v>
      </c>
      <c r="J191" s="129"/>
      <c r="K191" s="162"/>
      <c r="L191" s="654"/>
      <c r="M191" s="71"/>
      <c r="N191" s="935"/>
      <c r="O191" s="127"/>
      <c r="P191" s="95"/>
      <c r="Q191" s="394"/>
      <c r="R191" s="668"/>
      <c r="S191" s="65">
        <f>Q191+M191+K191</f>
        <v>0</v>
      </c>
      <c r="T191" s="65" t="e">
        <f>S191/H191+0.1</f>
        <v>#DIV/0!</v>
      </c>
    </row>
    <row r="192" spans="1:20" s="152" customFormat="1" ht="29.25" customHeight="1" thickTop="1" thickBot="1" x14ac:dyDescent="0.3">
      <c r="A192" s="100"/>
      <c r="B192" s="75"/>
      <c r="C192" s="95"/>
      <c r="D192" s="163"/>
      <c r="E192" s="134"/>
      <c r="F192" s="450" t="s">
        <v>31</v>
      </c>
      <c r="G192" s="72">
        <f>SUM(G5:G191)</f>
        <v>2389</v>
      </c>
      <c r="H192" s="370">
        <f>SUM(H3:H191)</f>
        <v>729455.77000000025</v>
      </c>
      <c r="I192" s="468">
        <f>PIERNA!I37</f>
        <v>74.990000000001601</v>
      </c>
      <c r="J192" s="46"/>
      <c r="K192" s="164">
        <f>SUM(K5:K191)</f>
        <v>288107</v>
      </c>
      <c r="L192" s="655"/>
      <c r="M192" s="164">
        <f>SUM(M5:M191)</f>
        <v>835200</v>
      </c>
      <c r="N192" s="936"/>
      <c r="O192" s="391"/>
      <c r="P192" s="117"/>
      <c r="Q192" s="533">
        <f>SUM(Q5:Q191)</f>
        <v>29255060.853849996</v>
      </c>
      <c r="R192" s="669"/>
      <c r="S192" s="167">
        <f>Q192+M192+K192</f>
        <v>30378367.853849996</v>
      </c>
      <c r="T192" s="65"/>
    </row>
    <row r="193" spans="2:18" s="152" customFormat="1" ht="15.75" thickTop="1" x14ac:dyDescent="0.25">
      <c r="B193" s="75"/>
      <c r="C193" s="75"/>
      <c r="D193" s="100"/>
      <c r="E193" s="134"/>
      <c r="F193" s="160"/>
      <c r="G193" s="100"/>
      <c r="H193" s="160"/>
      <c r="I193" s="75"/>
      <c r="J193" s="129"/>
      <c r="L193" s="656"/>
      <c r="N193" s="937"/>
      <c r="O193" s="161"/>
      <c r="P193" s="95"/>
      <c r="Q193" s="394"/>
      <c r="R193" s="480" t="s">
        <v>42</v>
      </c>
    </row>
  </sheetData>
  <sortState ref="A101:AC105">
    <sortCondition ref="E99:E100"/>
  </sortState>
  <mergeCells count="17">
    <mergeCell ref="R102:R103"/>
    <mergeCell ref="O122:O127"/>
    <mergeCell ref="R122:R127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Q1:Q2"/>
    <mergeCell ref="K1:K2"/>
    <mergeCell ref="M1:M2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1" t="s">
        <v>52</v>
      </c>
      <c r="B5" s="1212" t="s">
        <v>395</v>
      </c>
      <c r="C5" s="230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211"/>
      <c r="B6" s="1212"/>
      <c r="C6" s="392"/>
      <c r="D6" s="134"/>
      <c r="E6" s="208"/>
      <c r="F6" s="62"/>
      <c r="G6" s="47"/>
      <c r="H6" s="7">
        <f>E6-G6+E7+E5-G5</f>
        <v>2944.1</v>
      </c>
    </row>
    <row r="7" spans="1:9" ht="15.75" thickBot="1" x14ac:dyDescent="0.3">
      <c r="A7" s="121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1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2944.1</v>
      </c>
    </row>
    <row r="10" spans="1:9" x14ac:dyDescent="0.25">
      <c r="A10" s="194"/>
      <c r="B10" s="502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2944.1</v>
      </c>
    </row>
    <row r="11" spans="1:9" x14ac:dyDescent="0.25">
      <c r="A11" s="182"/>
      <c r="B11" s="502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2944.1</v>
      </c>
    </row>
    <row r="12" spans="1:9" x14ac:dyDescent="0.25">
      <c r="A12" s="182"/>
      <c r="B12" s="502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2944.1</v>
      </c>
    </row>
    <row r="13" spans="1:9" x14ac:dyDescent="0.25">
      <c r="A13" s="82" t="s">
        <v>33</v>
      </c>
      <c r="B13" s="502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2944.1</v>
      </c>
    </row>
    <row r="14" spans="1:9" x14ac:dyDescent="0.25">
      <c r="A14" s="73"/>
      <c r="B14" s="502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2944.1</v>
      </c>
    </row>
    <row r="15" spans="1:9" x14ac:dyDescent="0.25">
      <c r="A15" s="73"/>
      <c r="B15" s="502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2944.1</v>
      </c>
    </row>
    <row r="16" spans="1:9" x14ac:dyDescent="0.25">
      <c r="B16" s="502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2944.1</v>
      </c>
    </row>
    <row r="17" spans="1:9" x14ac:dyDescent="0.25">
      <c r="B17" s="502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2944.1</v>
      </c>
    </row>
    <row r="18" spans="1:9" x14ac:dyDescent="0.25">
      <c r="B18" s="502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2944.1</v>
      </c>
    </row>
    <row r="19" spans="1:9" x14ac:dyDescent="0.25">
      <c r="B19" s="502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2944.1</v>
      </c>
    </row>
    <row r="20" spans="1:9" x14ac:dyDescent="0.25">
      <c r="B20" s="502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2944.1</v>
      </c>
    </row>
    <row r="21" spans="1:9" x14ac:dyDescent="0.25">
      <c r="A21" s="122"/>
      <c r="C21" s="500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2944.1</v>
      </c>
    </row>
    <row r="22" spans="1:9" x14ac:dyDescent="0.25">
      <c r="A22" s="122"/>
      <c r="C22" s="500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2944.1</v>
      </c>
    </row>
    <row r="23" spans="1:9" x14ac:dyDescent="0.25">
      <c r="A23" s="123"/>
      <c r="C23" s="500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2944.1</v>
      </c>
    </row>
    <row r="24" spans="1:9" x14ac:dyDescent="0.25">
      <c r="A24" s="122"/>
      <c r="C24" s="500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2944.1</v>
      </c>
    </row>
    <row r="25" spans="1:9" x14ac:dyDescent="0.25">
      <c r="A25" s="122"/>
      <c r="C25" s="500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2944.1</v>
      </c>
    </row>
    <row r="26" spans="1:9" x14ac:dyDescent="0.25">
      <c r="A26" s="122"/>
      <c r="C26" s="500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2944.1</v>
      </c>
    </row>
    <row r="27" spans="1:9" x14ac:dyDescent="0.25">
      <c r="A27" s="122"/>
      <c r="C27" s="500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2944.1</v>
      </c>
    </row>
    <row r="28" spans="1:9" x14ac:dyDescent="0.25">
      <c r="A28" s="122"/>
      <c r="C28" s="500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2944.1</v>
      </c>
    </row>
    <row r="29" spans="1:9" x14ac:dyDescent="0.25">
      <c r="A29" s="122"/>
      <c r="C29" s="500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2944.1</v>
      </c>
    </row>
    <row r="30" spans="1:9" x14ac:dyDescent="0.25">
      <c r="A30" s="122"/>
      <c r="C30" s="500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2944.1</v>
      </c>
    </row>
    <row r="31" spans="1:9" x14ac:dyDescent="0.25">
      <c r="A31" s="122"/>
      <c r="C31" s="500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2944.1</v>
      </c>
    </row>
    <row r="32" spans="1:9" x14ac:dyDescent="0.25">
      <c r="A32" s="122"/>
      <c r="C32" s="500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2944.1</v>
      </c>
    </row>
    <row r="33" spans="1:9" x14ac:dyDescent="0.25">
      <c r="A33" s="122"/>
      <c r="B33" s="500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2944.1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-175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E5+E6-F35+E7</f>
        <v>2944.1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3" t="s">
        <v>144</v>
      </c>
      <c r="B1" s="1203"/>
      <c r="C1" s="1203"/>
      <c r="D1" s="1203"/>
      <c r="E1" s="1203"/>
      <c r="F1" s="1203"/>
      <c r="G1" s="1203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11"/>
      <c r="B5" s="1213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11"/>
      <c r="B6" s="1213"/>
      <c r="C6" s="469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36"/>
      <c r="F10" s="705">
        <f t="shared" ref="F10:F33" si="0">D10</f>
        <v>0</v>
      </c>
      <c r="G10" s="703"/>
      <c r="H10" s="704"/>
      <c r="I10" s="737">
        <f>E4+E5+E6+E7-F10+E8</f>
        <v>0</v>
      </c>
      <c r="J10" s="738"/>
    </row>
    <row r="11" spans="1:10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  <c r="J11" s="738"/>
    </row>
    <row r="12" spans="1:10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  <c r="J12" s="738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  <c r="J13" s="738"/>
    </row>
    <row r="14" spans="1:10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  <c r="J14" s="738"/>
    </row>
    <row r="15" spans="1:10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  <c r="J15" s="738"/>
    </row>
    <row r="16" spans="1:10" x14ac:dyDescent="0.25">
      <c r="B16" s="235">
        <f t="shared" si="1"/>
        <v>0</v>
      </c>
      <c r="C16" s="15"/>
      <c r="D16" s="69"/>
      <c r="E16" s="736"/>
      <c r="F16" s="705">
        <f t="shared" si="0"/>
        <v>0</v>
      </c>
      <c r="G16" s="703"/>
      <c r="H16" s="704"/>
      <c r="I16" s="737">
        <f t="shared" si="2"/>
        <v>0</v>
      </c>
      <c r="J16" s="738"/>
    </row>
    <row r="17" spans="1:10" x14ac:dyDescent="0.25">
      <c r="B17" s="235">
        <f t="shared" si="1"/>
        <v>0</v>
      </c>
      <c r="C17" s="15"/>
      <c r="D17" s="69"/>
      <c r="E17" s="736"/>
      <c r="F17" s="705">
        <f t="shared" si="0"/>
        <v>0</v>
      </c>
      <c r="G17" s="703"/>
      <c r="H17" s="704"/>
      <c r="I17" s="737">
        <f t="shared" si="2"/>
        <v>0</v>
      </c>
      <c r="J17" s="738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6" sqref="D16:H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9"/>
  </cols>
  <sheetData>
    <row r="1" spans="1:9" ht="40.5" x14ac:dyDescent="0.55000000000000004">
      <c r="A1" s="1199" t="s">
        <v>323</v>
      </c>
      <c r="B1" s="1199"/>
      <c r="C1" s="1199"/>
      <c r="D1" s="1199"/>
      <c r="E1" s="1199"/>
      <c r="F1" s="1199"/>
      <c r="G1" s="1199"/>
      <c r="H1" s="11">
        <v>1</v>
      </c>
      <c r="I1" s="56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0"/>
    </row>
    <row r="4" spans="1:9" ht="15.75" thickTop="1" x14ac:dyDescent="0.25">
      <c r="A4" s="12"/>
      <c r="B4" s="1214" t="s">
        <v>128</v>
      </c>
      <c r="C4" s="12"/>
      <c r="D4" s="73"/>
      <c r="E4" s="59"/>
      <c r="F4" s="62"/>
      <c r="G4" s="155"/>
      <c r="H4" s="155"/>
      <c r="I4" s="570"/>
    </row>
    <row r="5" spans="1:9" ht="15" customHeight="1" x14ac:dyDescent="0.25">
      <c r="A5" s="1207" t="s">
        <v>52</v>
      </c>
      <c r="B5" s="121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7"/>
      <c r="B6" s="1215"/>
      <c r="C6" s="469"/>
      <c r="D6" s="229"/>
      <c r="E6" s="78"/>
      <c r="F6" s="62"/>
      <c r="G6" s="47">
        <f>F35</f>
        <v>463.47</v>
      </c>
      <c r="H6" s="7">
        <f>E6-G6+E7+E5-G5+E4+E8</f>
        <v>1518.35</v>
      </c>
      <c r="I6" s="571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195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197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212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52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213</v>
      </c>
      <c r="H13" s="71">
        <v>84</v>
      </c>
      <c r="I13" s="851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46">
        <v>106</v>
      </c>
      <c r="E14" s="847">
        <v>44869</v>
      </c>
      <c r="F14" s="846">
        <f t="shared" si="0"/>
        <v>106</v>
      </c>
      <c r="G14" s="848" t="s">
        <v>242</v>
      </c>
      <c r="H14" s="849">
        <v>86</v>
      </c>
      <c r="I14" s="60">
        <f t="shared" si="2"/>
        <v>1621.08</v>
      </c>
    </row>
    <row r="15" spans="1:9" x14ac:dyDescent="0.25">
      <c r="A15" s="73"/>
      <c r="B15" s="852">
        <f t="shared" si="1"/>
        <v>61</v>
      </c>
      <c r="C15" s="15">
        <v>4</v>
      </c>
      <c r="D15" s="846">
        <v>102.73</v>
      </c>
      <c r="E15" s="847">
        <v>44877</v>
      </c>
      <c r="F15" s="846">
        <f t="shared" si="0"/>
        <v>102.73</v>
      </c>
      <c r="G15" s="848" t="s">
        <v>270</v>
      </c>
      <c r="H15" s="849">
        <v>86</v>
      </c>
      <c r="I15" s="851">
        <f t="shared" si="2"/>
        <v>1518.35</v>
      </c>
    </row>
    <row r="16" spans="1:9" x14ac:dyDescent="0.25">
      <c r="B16" s="235">
        <f t="shared" si="1"/>
        <v>61</v>
      </c>
      <c r="C16" s="15"/>
      <c r="D16" s="538"/>
      <c r="E16" s="1009"/>
      <c r="F16" s="1005">
        <f t="shared" si="0"/>
        <v>0</v>
      </c>
      <c r="G16" s="1006"/>
      <c r="H16" s="1007"/>
      <c r="I16" s="739">
        <f t="shared" si="2"/>
        <v>1518.35</v>
      </c>
    </row>
    <row r="17" spans="1:9" x14ac:dyDescent="0.25">
      <c r="B17" s="235">
        <f t="shared" si="1"/>
        <v>61</v>
      </c>
      <c r="C17" s="15"/>
      <c r="D17" s="538"/>
      <c r="E17" s="1009"/>
      <c r="F17" s="1005">
        <f t="shared" si="0"/>
        <v>0</v>
      </c>
      <c r="G17" s="1006"/>
      <c r="H17" s="1007"/>
      <c r="I17" s="739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538"/>
      <c r="E18" s="1009"/>
      <c r="F18" s="1005">
        <f t="shared" si="0"/>
        <v>0</v>
      </c>
      <c r="G18" s="1006"/>
      <c r="H18" s="1007"/>
      <c r="I18" s="739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538"/>
      <c r="E19" s="1009"/>
      <c r="F19" s="1005">
        <f t="shared" si="0"/>
        <v>0</v>
      </c>
      <c r="G19" s="1006"/>
      <c r="H19" s="1007"/>
      <c r="I19" s="739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538"/>
      <c r="E20" s="1009"/>
      <c r="F20" s="1005">
        <f t="shared" si="0"/>
        <v>0</v>
      </c>
      <c r="G20" s="1006"/>
      <c r="H20" s="1007"/>
      <c r="I20" s="739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538"/>
      <c r="E21" s="1009"/>
      <c r="F21" s="1005">
        <f t="shared" si="0"/>
        <v>0</v>
      </c>
      <c r="G21" s="1006"/>
      <c r="H21" s="1007"/>
      <c r="I21" s="739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538"/>
      <c r="E22" s="1009"/>
      <c r="F22" s="1005">
        <f t="shared" si="0"/>
        <v>0</v>
      </c>
      <c r="G22" s="1006"/>
      <c r="H22" s="1007"/>
      <c r="I22" s="739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538"/>
      <c r="E23" s="1009"/>
      <c r="F23" s="1005">
        <f t="shared" si="0"/>
        <v>0</v>
      </c>
      <c r="G23" s="1006"/>
      <c r="H23" s="1007"/>
      <c r="I23" s="739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538"/>
      <c r="E24" s="1009"/>
      <c r="F24" s="1005">
        <f t="shared" si="0"/>
        <v>0</v>
      </c>
      <c r="G24" s="1006"/>
      <c r="H24" s="1007"/>
      <c r="I24" s="739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538"/>
      <c r="E25" s="1009"/>
      <c r="F25" s="1005">
        <f t="shared" si="0"/>
        <v>0</v>
      </c>
      <c r="G25" s="1006"/>
      <c r="H25" s="1007"/>
      <c r="I25" s="739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538"/>
      <c r="E26" s="1009"/>
      <c r="F26" s="1005">
        <f t="shared" si="0"/>
        <v>0</v>
      </c>
      <c r="G26" s="1006"/>
      <c r="H26" s="1007"/>
      <c r="I26" s="739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538"/>
      <c r="E27" s="1009"/>
      <c r="F27" s="1005">
        <v>0</v>
      </c>
      <c r="G27" s="1006"/>
      <c r="H27" s="1007"/>
      <c r="I27" s="739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538"/>
      <c r="E28" s="735"/>
      <c r="F28" s="538">
        <f t="shared" ref="F28:F33" si="3">D28</f>
        <v>0</v>
      </c>
      <c r="G28" s="330"/>
      <c r="H28" s="331"/>
      <c r="I28" s="60">
        <f t="shared" si="2"/>
        <v>1518.35</v>
      </c>
    </row>
    <row r="29" spans="1:9" x14ac:dyDescent="0.25">
      <c r="A29" s="122"/>
      <c r="B29" s="235"/>
      <c r="C29" s="15"/>
      <c r="D29" s="538"/>
      <c r="E29" s="735"/>
      <c r="F29" s="538">
        <f t="shared" si="3"/>
        <v>0</v>
      </c>
      <c r="G29" s="330"/>
      <c r="H29" s="331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07"/>
      <c r="B5" s="1216"/>
      <c r="C5" s="234"/>
      <c r="D5" s="134"/>
      <c r="E5" s="78"/>
      <c r="F5" s="62"/>
      <c r="G5" s="5"/>
      <c r="H5" t="s">
        <v>41</v>
      </c>
    </row>
    <row r="6" spans="1:9" ht="15.75" x14ac:dyDescent="0.25">
      <c r="A6" s="1207"/>
      <c r="B6" s="1216"/>
      <c r="C6" s="469"/>
      <c r="D6" s="229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/>
      <c r="D10" s="69"/>
      <c r="E10" s="202"/>
      <c r="F10" s="705">
        <f t="shared" ref="F10:F33" si="0">D10</f>
        <v>0</v>
      </c>
      <c r="G10" s="703"/>
      <c r="H10" s="704"/>
      <c r="I10" s="737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36"/>
      <c r="F11" s="705">
        <f t="shared" si="0"/>
        <v>0</v>
      </c>
      <c r="G11" s="703"/>
      <c r="H11" s="704"/>
      <c r="I11" s="737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36"/>
      <c r="F12" s="705">
        <f t="shared" si="0"/>
        <v>0</v>
      </c>
      <c r="G12" s="703"/>
      <c r="H12" s="704"/>
      <c r="I12" s="737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36"/>
      <c r="F13" s="705">
        <f t="shared" si="0"/>
        <v>0</v>
      </c>
      <c r="G13" s="703"/>
      <c r="H13" s="704"/>
      <c r="I13" s="737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36"/>
      <c r="F14" s="705">
        <f t="shared" si="0"/>
        <v>0</v>
      </c>
      <c r="G14" s="703"/>
      <c r="H14" s="704"/>
      <c r="I14" s="737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36"/>
      <c r="F15" s="705">
        <f t="shared" si="0"/>
        <v>0</v>
      </c>
      <c r="G15" s="703"/>
      <c r="H15" s="704"/>
      <c r="I15" s="737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705">
        <f t="shared" si="0"/>
        <v>0</v>
      </c>
      <c r="G16" s="703"/>
      <c r="H16" s="704"/>
      <c r="I16" s="737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1" t="s">
        <v>11</v>
      </c>
      <c r="D40" s="120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99" t="s">
        <v>324</v>
      </c>
      <c r="B1" s="1199"/>
      <c r="C1" s="1199"/>
      <c r="D1" s="1199"/>
      <c r="E1" s="1199"/>
      <c r="F1" s="1199"/>
      <c r="G1" s="119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11" t="s">
        <v>80</v>
      </c>
      <c r="B5" s="1216" t="s">
        <v>81</v>
      </c>
      <c r="C5" s="497">
        <v>43</v>
      </c>
      <c r="D5" s="579">
        <v>44868</v>
      </c>
      <c r="E5" s="498">
        <v>511.02</v>
      </c>
      <c r="F5" s="499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11"/>
      <c r="B6" s="1217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1"/>
      <c r="B8" s="536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244</v>
      </c>
      <c r="H8" s="71">
        <v>47</v>
      </c>
      <c r="I8" s="214">
        <f>E5-F8+E4+E6</f>
        <v>837.29</v>
      </c>
    </row>
    <row r="9" spans="1:9" ht="15" customHeight="1" x14ac:dyDescent="0.25">
      <c r="B9" s="537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245</v>
      </c>
      <c r="H9" s="71">
        <v>47</v>
      </c>
      <c r="I9" s="214">
        <f>I8-F9</f>
        <v>741.43999999999994</v>
      </c>
    </row>
    <row r="10" spans="1:9" ht="15" customHeight="1" x14ac:dyDescent="0.25">
      <c r="B10" s="537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281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997">
        <f t="shared" si="1"/>
        <v>29</v>
      </c>
      <c r="C11" s="998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282</v>
      </c>
      <c r="H11" s="71">
        <v>47</v>
      </c>
      <c r="I11" s="996">
        <f t="shared" ref="I11:I34" si="2">I10-F11</f>
        <v>533.27</v>
      </c>
    </row>
    <row r="12" spans="1:9" ht="15" customHeight="1" x14ac:dyDescent="0.25">
      <c r="A12" s="19"/>
      <c r="B12" s="537">
        <f t="shared" si="1"/>
        <v>29</v>
      </c>
      <c r="C12" s="15"/>
      <c r="D12" s="538"/>
      <c r="E12" s="744"/>
      <c r="F12" s="745">
        <f t="shared" si="0"/>
        <v>0</v>
      </c>
      <c r="G12" s="330"/>
      <c r="H12" s="331"/>
      <c r="I12" s="214">
        <f t="shared" si="2"/>
        <v>533.27</v>
      </c>
    </row>
    <row r="13" spans="1:9" ht="15" customHeight="1" x14ac:dyDescent="0.25">
      <c r="B13" s="537">
        <f t="shared" si="1"/>
        <v>29</v>
      </c>
      <c r="C13" s="15"/>
      <c r="D13" s="538"/>
      <c r="E13" s="744"/>
      <c r="F13" s="745">
        <f t="shared" si="0"/>
        <v>0</v>
      </c>
      <c r="G13" s="330"/>
      <c r="H13" s="331"/>
      <c r="I13" s="214">
        <f t="shared" si="2"/>
        <v>533.27</v>
      </c>
    </row>
    <row r="14" spans="1:9" ht="15" customHeight="1" x14ac:dyDescent="0.25">
      <c r="B14" s="537">
        <f t="shared" si="1"/>
        <v>29</v>
      </c>
      <c r="C14" s="53"/>
      <c r="D14" s="538"/>
      <c r="E14" s="744"/>
      <c r="F14" s="745">
        <f t="shared" si="0"/>
        <v>0</v>
      </c>
      <c r="G14" s="330"/>
      <c r="H14" s="331"/>
      <c r="I14" s="214">
        <f t="shared" si="2"/>
        <v>533.27</v>
      </c>
    </row>
    <row r="15" spans="1:9" ht="15" customHeight="1" x14ac:dyDescent="0.25">
      <c r="B15" s="537">
        <f t="shared" si="1"/>
        <v>29</v>
      </c>
      <c r="C15" s="53"/>
      <c r="D15" s="538"/>
      <c r="E15" s="744"/>
      <c r="F15" s="745">
        <f t="shared" si="0"/>
        <v>0</v>
      </c>
      <c r="G15" s="330"/>
      <c r="H15" s="331"/>
      <c r="I15" s="214">
        <f t="shared" si="2"/>
        <v>533.27</v>
      </c>
    </row>
    <row r="16" spans="1:9" ht="15" customHeight="1" x14ac:dyDescent="0.25">
      <c r="B16" s="537">
        <f t="shared" si="1"/>
        <v>29</v>
      </c>
      <c r="C16" s="15"/>
      <c r="D16" s="538"/>
      <c r="E16" s="744"/>
      <c r="F16" s="745">
        <f t="shared" ref="F16:F35" si="3">D16</f>
        <v>0</v>
      </c>
      <c r="G16" s="330"/>
      <c r="H16" s="331"/>
      <c r="I16" s="214">
        <f t="shared" si="2"/>
        <v>533.27</v>
      </c>
    </row>
    <row r="17" spans="1:9" ht="15" customHeight="1" x14ac:dyDescent="0.25">
      <c r="B17" s="537">
        <f t="shared" si="1"/>
        <v>29</v>
      </c>
      <c r="C17" s="15"/>
      <c r="D17" s="538"/>
      <c r="E17" s="744"/>
      <c r="F17" s="745">
        <f t="shared" si="3"/>
        <v>0</v>
      </c>
      <c r="G17" s="330"/>
      <c r="H17" s="331"/>
      <c r="I17" s="214">
        <f t="shared" si="2"/>
        <v>533.27</v>
      </c>
    </row>
    <row r="18" spans="1:9" ht="15" customHeight="1" x14ac:dyDescent="0.25">
      <c r="B18" s="537">
        <f t="shared" si="1"/>
        <v>29</v>
      </c>
      <c r="C18" s="15"/>
      <c r="D18" s="538"/>
      <c r="E18" s="744"/>
      <c r="F18" s="745">
        <f t="shared" si="3"/>
        <v>0</v>
      </c>
      <c r="G18" s="330"/>
      <c r="H18" s="331"/>
      <c r="I18" s="214">
        <f t="shared" si="2"/>
        <v>533.27</v>
      </c>
    </row>
    <row r="19" spans="1:9" ht="15" customHeight="1" x14ac:dyDescent="0.25">
      <c r="B19" s="537">
        <f t="shared" si="1"/>
        <v>29</v>
      </c>
      <c r="C19" s="15"/>
      <c r="D19" s="538"/>
      <c r="E19" s="744"/>
      <c r="F19" s="745">
        <f t="shared" si="3"/>
        <v>0</v>
      </c>
      <c r="G19" s="330"/>
      <c r="H19" s="331"/>
      <c r="I19" s="214">
        <f t="shared" si="2"/>
        <v>533.27</v>
      </c>
    </row>
    <row r="20" spans="1:9" ht="15" customHeight="1" x14ac:dyDescent="0.25">
      <c r="B20" s="537">
        <f t="shared" si="1"/>
        <v>29</v>
      </c>
      <c r="C20" s="15"/>
      <c r="D20" s="538"/>
      <c r="E20" s="744"/>
      <c r="F20" s="745">
        <f t="shared" si="3"/>
        <v>0</v>
      </c>
      <c r="G20" s="330"/>
      <c r="H20" s="331"/>
      <c r="I20" s="214">
        <f t="shared" si="2"/>
        <v>533.27</v>
      </c>
    </row>
    <row r="21" spans="1:9" ht="15" customHeight="1" x14ac:dyDescent="0.25">
      <c r="B21" s="537">
        <f t="shared" si="1"/>
        <v>29</v>
      </c>
      <c r="C21" s="15"/>
      <c r="D21" s="538"/>
      <c r="E21" s="744"/>
      <c r="F21" s="745">
        <f t="shared" si="3"/>
        <v>0</v>
      </c>
      <c r="G21" s="330"/>
      <c r="H21" s="331"/>
      <c r="I21" s="214">
        <f t="shared" si="2"/>
        <v>533.27</v>
      </c>
    </row>
    <row r="22" spans="1:9" ht="15" customHeight="1" x14ac:dyDescent="0.25">
      <c r="B22" s="537">
        <f t="shared" si="1"/>
        <v>29</v>
      </c>
      <c r="C22" s="15"/>
      <c r="D22" s="538"/>
      <c r="E22" s="744"/>
      <c r="F22" s="745">
        <f>D22</f>
        <v>0</v>
      </c>
      <c r="G22" s="330"/>
      <c r="H22" s="331"/>
      <c r="I22" s="214">
        <f t="shared" si="2"/>
        <v>533.27</v>
      </c>
    </row>
    <row r="23" spans="1:9" ht="15" customHeight="1" x14ac:dyDescent="0.25">
      <c r="B23" s="537">
        <f t="shared" si="1"/>
        <v>29</v>
      </c>
      <c r="C23" s="15"/>
      <c r="D23" s="538"/>
      <c r="E23" s="744"/>
      <c r="F23" s="745">
        <f>D23</f>
        <v>0</v>
      </c>
      <c r="G23" s="330"/>
      <c r="H23" s="331"/>
      <c r="I23" s="214">
        <f t="shared" si="2"/>
        <v>533.27</v>
      </c>
    </row>
    <row r="24" spans="1:9" ht="15" customHeight="1" x14ac:dyDescent="0.25">
      <c r="B24" s="537">
        <f t="shared" si="1"/>
        <v>29</v>
      </c>
      <c r="C24" s="15"/>
      <c r="D24" s="538"/>
      <c r="E24" s="744"/>
      <c r="F24" s="745">
        <f>D24</f>
        <v>0</v>
      </c>
      <c r="G24" s="330"/>
      <c r="H24" s="331"/>
      <c r="I24" s="214">
        <f t="shared" si="2"/>
        <v>533.27</v>
      </c>
    </row>
    <row r="25" spans="1:9" ht="15" customHeight="1" x14ac:dyDescent="0.25">
      <c r="B25" s="537">
        <f t="shared" si="1"/>
        <v>29</v>
      </c>
      <c r="C25" s="15"/>
      <c r="D25" s="538"/>
      <c r="E25" s="744"/>
      <c r="F25" s="745">
        <f>D25</f>
        <v>0</v>
      </c>
      <c r="G25" s="330"/>
      <c r="H25" s="331"/>
      <c r="I25" s="214">
        <f t="shared" si="2"/>
        <v>533.27</v>
      </c>
    </row>
    <row r="26" spans="1:9" ht="15" customHeight="1" x14ac:dyDescent="0.25">
      <c r="B26" s="537">
        <f t="shared" si="1"/>
        <v>29</v>
      </c>
      <c r="C26" s="15"/>
      <c r="D26" s="538"/>
      <c r="E26" s="1010"/>
      <c r="F26" s="1011">
        <f>D26</f>
        <v>0</v>
      </c>
      <c r="G26" s="1006"/>
      <c r="H26" s="1007"/>
      <c r="I26" s="854">
        <f t="shared" si="2"/>
        <v>533.27</v>
      </c>
    </row>
    <row r="27" spans="1:9" ht="15" customHeight="1" x14ac:dyDescent="0.25">
      <c r="B27" s="537">
        <f t="shared" si="1"/>
        <v>29</v>
      </c>
      <c r="C27" s="15"/>
      <c r="D27" s="538">
        <v>0</v>
      </c>
      <c r="E27" s="1010"/>
      <c r="F27" s="1011">
        <f t="shared" si="3"/>
        <v>0</v>
      </c>
      <c r="G27" s="1006"/>
      <c r="H27" s="1007"/>
      <c r="I27" s="854">
        <f t="shared" si="2"/>
        <v>533.27</v>
      </c>
    </row>
    <row r="28" spans="1:9" ht="15" customHeight="1" x14ac:dyDescent="0.25">
      <c r="A28" s="47"/>
      <c r="B28" s="537">
        <f t="shared" si="1"/>
        <v>29</v>
      </c>
      <c r="C28" s="15"/>
      <c r="D28" s="538">
        <v>0</v>
      </c>
      <c r="E28" s="1010"/>
      <c r="F28" s="1011">
        <f t="shared" si="3"/>
        <v>0</v>
      </c>
      <c r="G28" s="1006"/>
      <c r="H28" s="1007"/>
      <c r="I28" s="854">
        <f t="shared" si="2"/>
        <v>533.27</v>
      </c>
    </row>
    <row r="29" spans="1:9" ht="15" customHeight="1" x14ac:dyDescent="0.25">
      <c r="A29" s="47"/>
      <c r="B29" s="537">
        <f t="shared" si="1"/>
        <v>29</v>
      </c>
      <c r="C29" s="15"/>
      <c r="D29" s="538">
        <v>0</v>
      </c>
      <c r="E29" s="1010"/>
      <c r="F29" s="1011">
        <f t="shared" si="3"/>
        <v>0</v>
      </c>
      <c r="G29" s="1006"/>
      <c r="H29" s="1007"/>
      <c r="I29" s="854">
        <f t="shared" si="2"/>
        <v>533.27</v>
      </c>
    </row>
    <row r="30" spans="1:9" ht="15" customHeight="1" x14ac:dyDescent="0.25">
      <c r="A30" s="47"/>
      <c r="B30" s="537">
        <f t="shared" si="1"/>
        <v>29</v>
      </c>
      <c r="C30" s="15"/>
      <c r="D30" s="538">
        <v>0</v>
      </c>
      <c r="E30" s="1010"/>
      <c r="F30" s="1011">
        <f t="shared" si="3"/>
        <v>0</v>
      </c>
      <c r="G30" s="1006"/>
      <c r="H30" s="1007"/>
      <c r="I30" s="854">
        <f t="shared" si="2"/>
        <v>533.27</v>
      </c>
    </row>
    <row r="31" spans="1:9" ht="15" customHeight="1" x14ac:dyDescent="0.25">
      <c r="A31" s="47"/>
      <c r="B31" s="537">
        <f t="shared" si="1"/>
        <v>29</v>
      </c>
      <c r="C31" s="15"/>
      <c r="D31" s="538">
        <v>0</v>
      </c>
      <c r="E31" s="744"/>
      <c r="F31" s="745">
        <f t="shared" si="3"/>
        <v>0</v>
      </c>
      <c r="G31" s="330"/>
      <c r="H31" s="331"/>
      <c r="I31" s="214">
        <f t="shared" si="2"/>
        <v>533.27</v>
      </c>
    </row>
    <row r="32" spans="1:9" ht="15" customHeight="1" x14ac:dyDescent="0.25">
      <c r="A32" s="47"/>
      <c r="B32" s="537">
        <f t="shared" si="1"/>
        <v>29</v>
      </c>
      <c r="C32" s="15"/>
      <c r="D32" s="538">
        <v>0</v>
      </c>
      <c r="E32" s="744"/>
      <c r="F32" s="745">
        <f t="shared" si="3"/>
        <v>0</v>
      </c>
      <c r="G32" s="330"/>
      <c r="H32" s="331"/>
      <c r="I32" s="214">
        <f t="shared" si="2"/>
        <v>533.27</v>
      </c>
    </row>
    <row r="33" spans="1:9" ht="15" customHeight="1" x14ac:dyDescent="0.25">
      <c r="A33" s="47"/>
      <c r="B33" s="537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37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37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5"/>
      <c r="D38" s="1194" t="s">
        <v>21</v>
      </c>
      <c r="E38" s="1195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5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07"/>
      <c r="B5" s="1218" t="s">
        <v>147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7"/>
      <c r="B6" s="121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4">
        <f>E4+E5+E6-F8</f>
        <v>0</v>
      </c>
      <c r="J8" s="461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40">
        <f t="shared" si="0"/>
        <v>0</v>
      </c>
      <c r="G9" s="703"/>
      <c r="H9" s="704"/>
      <c r="I9" s="741">
        <f>I8-F9</f>
        <v>0</v>
      </c>
      <c r="J9" s="742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40">
        <f t="shared" si="0"/>
        <v>0</v>
      </c>
      <c r="G10" s="703"/>
      <c r="H10" s="704"/>
      <c r="I10" s="741">
        <f t="shared" ref="I10:I38" si="3">I9-F10</f>
        <v>0</v>
      </c>
      <c r="J10" s="742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40">
        <f t="shared" si="0"/>
        <v>0</v>
      </c>
      <c r="G11" s="703"/>
      <c r="H11" s="704"/>
      <c r="I11" s="741">
        <f t="shared" si="3"/>
        <v>0</v>
      </c>
      <c r="J11" s="742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40">
        <f t="shared" si="0"/>
        <v>0</v>
      </c>
      <c r="G12" s="703"/>
      <c r="H12" s="704"/>
      <c r="I12" s="741">
        <f t="shared" si="3"/>
        <v>0</v>
      </c>
      <c r="J12" s="742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40">
        <f t="shared" si="0"/>
        <v>0</v>
      </c>
      <c r="G13" s="703"/>
      <c r="H13" s="704"/>
      <c r="I13" s="741">
        <f t="shared" si="3"/>
        <v>0</v>
      </c>
      <c r="J13" s="742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40">
        <f t="shared" si="0"/>
        <v>0</v>
      </c>
      <c r="G14" s="703"/>
      <c r="H14" s="704"/>
      <c r="I14" s="741">
        <f t="shared" si="3"/>
        <v>0</v>
      </c>
      <c r="J14" s="742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5">
        <f t="shared" si="3"/>
        <v>0</v>
      </c>
      <c r="J15" s="462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5">
        <f t="shared" si="3"/>
        <v>0</v>
      </c>
      <c r="J16" s="462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5">
        <f t="shared" si="3"/>
        <v>0</v>
      </c>
      <c r="J17" s="462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5">
        <f t="shared" si="3"/>
        <v>0</v>
      </c>
      <c r="J18" s="462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5">
        <f t="shared" si="3"/>
        <v>0</v>
      </c>
      <c r="J19" s="462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5">
        <f t="shared" si="3"/>
        <v>0</v>
      </c>
      <c r="J20" s="462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5">
        <f t="shared" si="3"/>
        <v>0</v>
      </c>
      <c r="J21" s="462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5">
        <f t="shared" si="3"/>
        <v>0</v>
      </c>
      <c r="J22" s="462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5">
        <f t="shared" si="3"/>
        <v>0</v>
      </c>
      <c r="J23" s="462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5">
        <f t="shared" si="3"/>
        <v>0</v>
      </c>
      <c r="J24" s="462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5">
        <f t="shared" si="3"/>
        <v>0</v>
      </c>
      <c r="J25" s="462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5">
        <f t="shared" si="3"/>
        <v>0</v>
      </c>
      <c r="J26" s="462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5">
        <f t="shared" si="3"/>
        <v>0</v>
      </c>
      <c r="J27" s="462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5">
        <f t="shared" si="3"/>
        <v>0</v>
      </c>
      <c r="J28" s="462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5">
        <f t="shared" si="3"/>
        <v>0</v>
      </c>
      <c r="J29" s="462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5">
        <f t="shared" si="3"/>
        <v>0</v>
      </c>
      <c r="J30" s="462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5">
        <f t="shared" si="3"/>
        <v>0</v>
      </c>
      <c r="J31" s="462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5">
        <f t="shared" si="3"/>
        <v>0</v>
      </c>
      <c r="J32" s="462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5">
        <f t="shared" si="3"/>
        <v>0</v>
      </c>
      <c r="J33" s="462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5">
        <f t="shared" si="3"/>
        <v>0</v>
      </c>
      <c r="J34" s="462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5">
        <f t="shared" si="3"/>
        <v>0</v>
      </c>
      <c r="J35" s="462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5">
        <f t="shared" si="3"/>
        <v>0</v>
      </c>
      <c r="J36" s="462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5">
        <f t="shared" si="3"/>
        <v>0</v>
      </c>
      <c r="J37" s="462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5">
        <f t="shared" si="3"/>
        <v>0</v>
      </c>
      <c r="J38" s="462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9"/>
      <c r="J39" s="46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4" t="s">
        <v>21</v>
      </c>
      <c r="E42" s="119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207"/>
      <c r="B5" s="508" t="s">
        <v>79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20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3">I9-F10</f>
        <v>0</v>
      </c>
      <c r="J10" s="455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3"/>
        <v>0</v>
      </c>
      <c r="J11" s="455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3"/>
        <v>0</v>
      </c>
      <c r="J12" s="455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3"/>
        <v>0</v>
      </c>
      <c r="J13" s="455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3"/>
        <v>0</v>
      </c>
      <c r="J14" s="455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3"/>
        <v>0</v>
      </c>
      <c r="J15" s="455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3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3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3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3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3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3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3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3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3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3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3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3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94" t="s">
        <v>21</v>
      </c>
      <c r="E31" s="119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5" ht="16.5" thickBot="1" x14ac:dyDescent="0.3">
      <c r="K2" s="44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0" t="s">
        <v>85</v>
      </c>
      <c r="C4" s="128"/>
      <c r="D4" s="134"/>
      <c r="E4" s="180"/>
      <c r="F4" s="137"/>
      <c r="G4" s="38"/>
    </row>
    <row r="5" spans="1:15" ht="15.75" x14ac:dyDescent="0.25">
      <c r="A5" s="1207"/>
      <c r="B5" s="1221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7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4">
        <f>E5+E6-F8+E4</f>
        <v>0</v>
      </c>
      <c r="J8" s="455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4">
        <f>I8-F9</f>
        <v>0</v>
      </c>
      <c r="J9" s="455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4">
        <f t="shared" ref="I10:I27" si="2">I9-F10</f>
        <v>0</v>
      </c>
      <c r="J10" s="455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4">
        <f t="shared" si="2"/>
        <v>0</v>
      </c>
      <c r="J11" s="455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4">
        <f t="shared" si="2"/>
        <v>0</v>
      </c>
      <c r="J12" s="455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6">
        <f t="shared" si="2"/>
        <v>0</v>
      </c>
      <c r="J13" s="455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6">
        <f t="shared" si="2"/>
        <v>0</v>
      </c>
      <c r="J14" s="455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6">
        <f t="shared" si="2"/>
        <v>0</v>
      </c>
      <c r="J15" s="455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6">
        <f t="shared" si="2"/>
        <v>0</v>
      </c>
      <c r="J16" s="455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6">
        <f t="shared" si="2"/>
        <v>0</v>
      </c>
      <c r="J17" s="455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6">
        <f t="shared" si="2"/>
        <v>0</v>
      </c>
      <c r="J18" s="455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6">
        <f t="shared" si="2"/>
        <v>0</v>
      </c>
      <c r="J19" s="455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6">
        <f t="shared" si="2"/>
        <v>0</v>
      </c>
      <c r="J20" s="455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6">
        <f t="shared" si="2"/>
        <v>0</v>
      </c>
      <c r="J21" s="455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6">
        <f t="shared" si="2"/>
        <v>0</v>
      </c>
      <c r="J22" s="455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6">
        <f t="shared" si="2"/>
        <v>0</v>
      </c>
      <c r="J23" s="455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6">
        <f t="shared" si="2"/>
        <v>0</v>
      </c>
      <c r="J24" s="455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6">
        <f t="shared" si="2"/>
        <v>0</v>
      </c>
      <c r="J25" s="455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6">
        <f t="shared" si="2"/>
        <v>0</v>
      </c>
      <c r="J26" s="455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4">
        <f t="shared" si="2"/>
        <v>0</v>
      </c>
      <c r="J27" s="455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7"/>
      <c r="J28" s="45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94" t="s">
        <v>21</v>
      </c>
      <c r="E31" s="119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0"/>
    <col min="10" max="10" width="17.5703125" customWidth="1"/>
  </cols>
  <sheetData>
    <row r="1" spans="1:11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1" ht="16.5" thickBot="1" x14ac:dyDescent="0.3">
      <c r="K2" s="44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1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2">
        <f>E5+E6-F8+E4</f>
        <v>0</v>
      </c>
      <c r="J8" s="455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2">
        <f>I8-F9</f>
        <v>0</v>
      </c>
      <c r="J9" s="455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2">
        <f t="shared" ref="I10:I27" si="4">I9-F10</f>
        <v>0</v>
      </c>
      <c r="J10" s="455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2">
        <f t="shared" si="4"/>
        <v>0</v>
      </c>
      <c r="J11" s="455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2">
        <f t="shared" si="4"/>
        <v>0</v>
      </c>
      <c r="J12" s="455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2">
        <f t="shared" si="4"/>
        <v>0</v>
      </c>
      <c r="J13" s="455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2">
        <f t="shared" si="4"/>
        <v>0</v>
      </c>
      <c r="J14" s="455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2">
        <f t="shared" si="4"/>
        <v>0</v>
      </c>
      <c r="J15" s="455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2">
        <f t="shared" si="4"/>
        <v>0</v>
      </c>
      <c r="J16" s="455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2">
        <f t="shared" si="4"/>
        <v>0</v>
      </c>
      <c r="J17" s="455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2">
        <f t="shared" si="4"/>
        <v>0</v>
      </c>
      <c r="J18" s="455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2">
        <f t="shared" si="4"/>
        <v>0</v>
      </c>
      <c r="J19" s="455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2">
        <f t="shared" si="4"/>
        <v>0</v>
      </c>
      <c r="J20" s="455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2">
        <f t="shared" si="4"/>
        <v>0</v>
      </c>
      <c r="J21" s="455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2">
        <f t="shared" si="4"/>
        <v>0</v>
      </c>
      <c r="J22" s="455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2">
        <f t="shared" si="4"/>
        <v>0</v>
      </c>
      <c r="J23" s="455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2">
        <f t="shared" si="4"/>
        <v>0</v>
      </c>
      <c r="J24" s="455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2">
        <f t="shared" si="4"/>
        <v>0</v>
      </c>
      <c r="J25" s="455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2">
        <f t="shared" si="4"/>
        <v>0</v>
      </c>
      <c r="J26" s="455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2">
        <f t="shared" si="4"/>
        <v>0</v>
      </c>
      <c r="J27" s="455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3"/>
      <c r="J28" s="45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94" t="s">
        <v>21</v>
      </c>
      <c r="E31" s="119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8"/>
      <c r="B1" s="1188"/>
      <c r="C1" s="1188"/>
      <c r="D1" s="1188"/>
      <c r="E1" s="1188"/>
      <c r="F1" s="1188"/>
      <c r="G1" s="118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 t="s">
        <v>95</v>
      </c>
      <c r="B5" s="122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94" t="s">
        <v>21</v>
      </c>
      <c r="E32" s="119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NE14" activePane="bottomRight" state="frozen"/>
      <selection activeCell="I1" sqref="I1"/>
      <selection pane="topRight" activeCell="K1" sqref="K1"/>
      <selection pane="bottomLeft" activeCell="I8" sqref="I8"/>
      <selection pane="bottomRight" activeCell="NJ29" sqref="NJ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90" t="s">
        <v>319</v>
      </c>
      <c r="L1" s="1190"/>
      <c r="M1" s="1190"/>
      <c r="N1" s="1190"/>
      <c r="O1" s="1190"/>
      <c r="P1" s="1190"/>
      <c r="Q1" s="1190"/>
      <c r="R1" s="269">
        <f>I1+1</f>
        <v>1</v>
      </c>
      <c r="S1" s="269"/>
      <c r="U1" s="1188" t="str">
        <f>K1</f>
        <v>ENTRADA DEL MES DE    DICIEMBRE    2022</v>
      </c>
      <c r="V1" s="1188"/>
      <c r="W1" s="1188"/>
      <c r="X1" s="1188"/>
      <c r="Y1" s="1188"/>
      <c r="Z1" s="1188"/>
      <c r="AA1" s="1188"/>
      <c r="AB1" s="269">
        <f>R1+1</f>
        <v>2</v>
      </c>
      <c r="AC1" s="395"/>
      <c r="AE1" s="1188" t="str">
        <f>U1</f>
        <v>ENTRADA DEL MES DE    DICIEMBRE    2022</v>
      </c>
      <c r="AF1" s="1188"/>
      <c r="AG1" s="1188"/>
      <c r="AH1" s="1188"/>
      <c r="AI1" s="1188"/>
      <c r="AJ1" s="1188"/>
      <c r="AK1" s="1188"/>
      <c r="AL1" s="269">
        <f>AB1+1</f>
        <v>3</v>
      </c>
      <c r="AM1" s="269"/>
      <c r="AO1" s="1188" t="str">
        <f>AE1</f>
        <v>ENTRADA DEL MES DE    DICIEMBRE    2022</v>
      </c>
      <c r="AP1" s="1188"/>
      <c r="AQ1" s="1188"/>
      <c r="AR1" s="1188"/>
      <c r="AS1" s="1188"/>
      <c r="AT1" s="1188"/>
      <c r="AU1" s="1188"/>
      <c r="AV1" s="269">
        <f>AL1+1</f>
        <v>4</v>
      </c>
      <c r="AW1" s="395"/>
      <c r="AY1" s="1188" t="str">
        <f>AO1</f>
        <v>ENTRADA DEL MES DE    DICIEMBRE    2022</v>
      </c>
      <c r="AZ1" s="1188"/>
      <c r="BA1" s="1188"/>
      <c r="BB1" s="1188"/>
      <c r="BC1" s="1188"/>
      <c r="BD1" s="1188"/>
      <c r="BE1" s="1188"/>
      <c r="BF1" s="269">
        <f>AV1+1</f>
        <v>5</v>
      </c>
      <c r="BG1" s="411"/>
      <c r="BI1" s="1188" t="str">
        <f>AY1</f>
        <v>ENTRADA DEL MES DE    DICIEMBRE    2022</v>
      </c>
      <c r="BJ1" s="1188"/>
      <c r="BK1" s="1188"/>
      <c r="BL1" s="1188"/>
      <c r="BM1" s="1188"/>
      <c r="BN1" s="1188"/>
      <c r="BO1" s="1188"/>
      <c r="BP1" s="269">
        <f>BF1+1</f>
        <v>6</v>
      </c>
      <c r="BQ1" s="395"/>
      <c r="BS1" s="1188" t="str">
        <f>BI1</f>
        <v>ENTRADA DEL MES DE    DICIEMBRE    2022</v>
      </c>
      <c r="BT1" s="1188"/>
      <c r="BU1" s="1188"/>
      <c r="BV1" s="1188"/>
      <c r="BW1" s="1188"/>
      <c r="BX1" s="1188"/>
      <c r="BY1" s="1188"/>
      <c r="BZ1" s="269">
        <f>BP1+1</f>
        <v>7</v>
      </c>
      <c r="CC1" s="1188" t="str">
        <f>BS1</f>
        <v>ENTRADA DEL MES DE    DICIEMBRE    2022</v>
      </c>
      <c r="CD1" s="1188"/>
      <c r="CE1" s="1188"/>
      <c r="CF1" s="1188"/>
      <c r="CG1" s="1188"/>
      <c r="CH1" s="1188"/>
      <c r="CI1" s="1188"/>
      <c r="CJ1" s="269">
        <f>BZ1+1</f>
        <v>8</v>
      </c>
      <c r="CM1" s="1188" t="str">
        <f>CC1</f>
        <v>ENTRADA DEL MES DE    DICIEMBRE    2022</v>
      </c>
      <c r="CN1" s="1188"/>
      <c r="CO1" s="1188"/>
      <c r="CP1" s="1188"/>
      <c r="CQ1" s="1188"/>
      <c r="CR1" s="1188"/>
      <c r="CS1" s="1188"/>
      <c r="CT1" s="269">
        <f>CJ1+1</f>
        <v>9</v>
      </c>
      <c r="CU1" s="395"/>
      <c r="CW1" s="1188" t="str">
        <f>CM1</f>
        <v>ENTRADA DEL MES DE    DICIEMBRE    2022</v>
      </c>
      <c r="CX1" s="1188"/>
      <c r="CY1" s="1188"/>
      <c r="CZ1" s="1188"/>
      <c r="DA1" s="1188"/>
      <c r="DB1" s="1188"/>
      <c r="DC1" s="1188"/>
      <c r="DD1" s="269">
        <f>CT1+1</f>
        <v>10</v>
      </c>
      <c r="DE1" s="395"/>
      <c r="DG1" s="1188" t="str">
        <f>CW1</f>
        <v>ENTRADA DEL MES DE    DICIEMBRE    2022</v>
      </c>
      <c r="DH1" s="1188"/>
      <c r="DI1" s="1188"/>
      <c r="DJ1" s="1188"/>
      <c r="DK1" s="1188"/>
      <c r="DL1" s="1188"/>
      <c r="DM1" s="1188"/>
      <c r="DN1" s="269">
        <f>DD1+1</f>
        <v>11</v>
      </c>
      <c r="DO1" s="395"/>
      <c r="DQ1" s="1188" t="str">
        <f>DG1</f>
        <v>ENTRADA DEL MES DE    DICIEMBRE    2022</v>
      </c>
      <c r="DR1" s="1188"/>
      <c r="DS1" s="1188"/>
      <c r="DT1" s="1188"/>
      <c r="DU1" s="1188"/>
      <c r="DV1" s="1188"/>
      <c r="DW1" s="1188"/>
      <c r="DX1" s="269">
        <f>DN1+1</f>
        <v>12</v>
      </c>
      <c r="EA1" s="1188" t="str">
        <f>DQ1</f>
        <v>ENTRADA DEL MES DE    DICIEMBRE    2022</v>
      </c>
      <c r="EB1" s="1188"/>
      <c r="EC1" s="1188"/>
      <c r="ED1" s="1188"/>
      <c r="EE1" s="1188"/>
      <c r="EF1" s="1188"/>
      <c r="EG1" s="1188"/>
      <c r="EH1" s="269">
        <f>DX1+1</f>
        <v>13</v>
      </c>
      <c r="EI1" s="395"/>
      <c r="EK1" s="1188" t="str">
        <f>EA1</f>
        <v>ENTRADA DEL MES DE    DICIEMBRE    2022</v>
      </c>
      <c r="EL1" s="1188"/>
      <c r="EM1" s="1188"/>
      <c r="EN1" s="1188"/>
      <c r="EO1" s="1188"/>
      <c r="EP1" s="1188"/>
      <c r="EQ1" s="1188"/>
      <c r="ER1" s="269">
        <f>EH1+1</f>
        <v>14</v>
      </c>
      <c r="ES1" s="395"/>
      <c r="EU1" s="1188" t="str">
        <f>EK1</f>
        <v>ENTRADA DEL MES DE    DICIEMBRE    2022</v>
      </c>
      <c r="EV1" s="1188"/>
      <c r="EW1" s="1188"/>
      <c r="EX1" s="1188"/>
      <c r="EY1" s="1188"/>
      <c r="EZ1" s="1188"/>
      <c r="FA1" s="1188"/>
      <c r="FB1" s="269">
        <f>ER1+1</f>
        <v>15</v>
      </c>
      <c r="FC1" s="395"/>
      <c r="FE1" s="1188" t="str">
        <f>EU1</f>
        <v>ENTRADA DEL MES DE    DICIEMBRE    2022</v>
      </c>
      <c r="FF1" s="1188"/>
      <c r="FG1" s="1188"/>
      <c r="FH1" s="1188"/>
      <c r="FI1" s="1188"/>
      <c r="FJ1" s="1188"/>
      <c r="FK1" s="1188"/>
      <c r="FL1" s="269">
        <f>FB1+1</f>
        <v>16</v>
      </c>
      <c r="FM1" s="395"/>
      <c r="FO1" s="1188" t="str">
        <f>FE1</f>
        <v>ENTRADA DEL MES DE    DICIEMBRE    2022</v>
      </c>
      <c r="FP1" s="1188"/>
      <c r="FQ1" s="1188"/>
      <c r="FR1" s="1188"/>
      <c r="FS1" s="1188"/>
      <c r="FT1" s="1188"/>
      <c r="FU1" s="1188"/>
      <c r="FV1" s="269">
        <f>FL1+1</f>
        <v>17</v>
      </c>
      <c r="FW1" s="395"/>
      <c r="FY1" s="1188" t="str">
        <f>FO1</f>
        <v>ENTRADA DEL MES DE    DICIEMBRE    2022</v>
      </c>
      <c r="FZ1" s="1188"/>
      <c r="GA1" s="1188"/>
      <c r="GB1" s="1188"/>
      <c r="GC1" s="1188"/>
      <c r="GD1" s="1188"/>
      <c r="GE1" s="1188"/>
      <c r="GF1" s="269">
        <f>FV1+1</f>
        <v>18</v>
      </c>
      <c r="GG1" s="395"/>
      <c r="GH1" s="75" t="s">
        <v>37</v>
      </c>
      <c r="GI1" s="1188" t="str">
        <f>FY1</f>
        <v>ENTRADA DEL MES DE    DICIEMBRE    2022</v>
      </c>
      <c r="GJ1" s="1188"/>
      <c r="GK1" s="1188"/>
      <c r="GL1" s="1188"/>
      <c r="GM1" s="1188"/>
      <c r="GN1" s="1188"/>
      <c r="GO1" s="1188"/>
      <c r="GP1" s="269">
        <f>GF1+1</f>
        <v>19</v>
      </c>
      <c r="GQ1" s="395"/>
      <c r="GS1" s="1188" t="str">
        <f>GI1</f>
        <v>ENTRADA DEL MES DE    DICIEMBRE    2022</v>
      </c>
      <c r="GT1" s="1188"/>
      <c r="GU1" s="1188"/>
      <c r="GV1" s="1188"/>
      <c r="GW1" s="1188"/>
      <c r="GX1" s="1188"/>
      <c r="GY1" s="1188"/>
      <c r="GZ1" s="269">
        <f>GP1+1</f>
        <v>20</v>
      </c>
      <c r="HA1" s="395"/>
      <c r="HC1" s="1188" t="str">
        <f>GS1</f>
        <v>ENTRADA DEL MES DE    DICIEMBRE    2022</v>
      </c>
      <c r="HD1" s="1188"/>
      <c r="HE1" s="1188"/>
      <c r="HF1" s="1188"/>
      <c r="HG1" s="1188"/>
      <c r="HH1" s="1188"/>
      <c r="HI1" s="1188"/>
      <c r="HJ1" s="269">
        <f>GZ1+1</f>
        <v>21</v>
      </c>
      <c r="HK1" s="395"/>
      <c r="HM1" s="1188" t="str">
        <f>HC1</f>
        <v>ENTRADA DEL MES DE    DICIEMBRE    2022</v>
      </c>
      <c r="HN1" s="1188"/>
      <c r="HO1" s="1188"/>
      <c r="HP1" s="1188"/>
      <c r="HQ1" s="1188"/>
      <c r="HR1" s="1188"/>
      <c r="HS1" s="1188"/>
      <c r="HT1" s="269">
        <f>HJ1+1</f>
        <v>22</v>
      </c>
      <c r="HU1" s="395"/>
      <c r="HW1" s="1188" t="str">
        <f>HM1</f>
        <v>ENTRADA DEL MES DE    DICIEMBRE    2022</v>
      </c>
      <c r="HX1" s="1188"/>
      <c r="HY1" s="1188"/>
      <c r="HZ1" s="1188"/>
      <c r="IA1" s="1188"/>
      <c r="IB1" s="1188"/>
      <c r="IC1" s="1188"/>
      <c r="ID1" s="269">
        <f>HT1+1</f>
        <v>23</v>
      </c>
      <c r="IE1" s="395"/>
      <c r="IG1" s="1188" t="str">
        <f>HW1</f>
        <v>ENTRADA DEL MES DE    DICIEMBRE    2022</v>
      </c>
      <c r="IH1" s="1188"/>
      <c r="II1" s="1188"/>
      <c r="IJ1" s="1188"/>
      <c r="IK1" s="1188"/>
      <c r="IL1" s="1188"/>
      <c r="IM1" s="1188"/>
      <c r="IN1" s="269">
        <f>ID1+1</f>
        <v>24</v>
      </c>
      <c r="IO1" s="395"/>
      <c r="IQ1" s="1188" t="str">
        <f>IG1</f>
        <v>ENTRADA DEL MES DE    DICIEMBRE    2022</v>
      </c>
      <c r="IR1" s="1188"/>
      <c r="IS1" s="1188"/>
      <c r="IT1" s="1188"/>
      <c r="IU1" s="1188"/>
      <c r="IV1" s="1188"/>
      <c r="IW1" s="1188"/>
      <c r="IX1" s="269">
        <f>IN1+1</f>
        <v>25</v>
      </c>
      <c r="IY1" s="395"/>
      <c r="JA1" s="1188" t="str">
        <f>IQ1</f>
        <v>ENTRADA DEL MES DE    DICIEMBRE    2022</v>
      </c>
      <c r="JB1" s="1188"/>
      <c r="JC1" s="1188"/>
      <c r="JD1" s="1188"/>
      <c r="JE1" s="1188"/>
      <c r="JF1" s="1188"/>
      <c r="JG1" s="1188"/>
      <c r="JH1" s="269">
        <f>IX1+1</f>
        <v>26</v>
      </c>
      <c r="JI1" s="395"/>
      <c r="JK1" s="1198" t="str">
        <f>JA1</f>
        <v>ENTRADA DEL MES DE    DICIEMBRE    2022</v>
      </c>
      <c r="JL1" s="1198"/>
      <c r="JM1" s="1198"/>
      <c r="JN1" s="1198"/>
      <c r="JO1" s="1198"/>
      <c r="JP1" s="1198"/>
      <c r="JQ1" s="1198"/>
      <c r="JR1" s="269">
        <f>JH1+1</f>
        <v>27</v>
      </c>
      <c r="JS1" s="395"/>
      <c r="JU1" s="1188" t="str">
        <f>JK1</f>
        <v>ENTRADA DEL MES DE    DICIEMBRE    2022</v>
      </c>
      <c r="JV1" s="1188"/>
      <c r="JW1" s="1188"/>
      <c r="JX1" s="1188"/>
      <c r="JY1" s="1188"/>
      <c r="JZ1" s="1188"/>
      <c r="KA1" s="1188"/>
      <c r="KB1" s="269">
        <f>JR1+1</f>
        <v>28</v>
      </c>
      <c r="KC1" s="395"/>
      <c r="KE1" s="1188" t="str">
        <f>JU1</f>
        <v>ENTRADA DEL MES DE    DICIEMBRE    2022</v>
      </c>
      <c r="KF1" s="1188"/>
      <c r="KG1" s="1188"/>
      <c r="KH1" s="1188"/>
      <c r="KI1" s="1188"/>
      <c r="KJ1" s="1188"/>
      <c r="KK1" s="1188"/>
      <c r="KL1" s="269">
        <f>KB1+1</f>
        <v>29</v>
      </c>
      <c r="KM1" s="395"/>
      <c r="KO1" s="1188" t="str">
        <f>KE1</f>
        <v>ENTRADA DEL MES DE    DICIEMBRE    2022</v>
      </c>
      <c r="KP1" s="1188"/>
      <c r="KQ1" s="1188"/>
      <c r="KR1" s="1188"/>
      <c r="KS1" s="1188"/>
      <c r="KT1" s="1188"/>
      <c r="KU1" s="1188"/>
      <c r="KV1" s="269">
        <f>KL1+1</f>
        <v>30</v>
      </c>
      <c r="KW1" s="395"/>
      <c r="KY1" s="1188" t="str">
        <f>KO1</f>
        <v>ENTRADA DEL MES DE    DICIEMBRE    2022</v>
      </c>
      <c r="KZ1" s="1188"/>
      <c r="LA1" s="1188"/>
      <c r="LB1" s="1188"/>
      <c r="LC1" s="1188"/>
      <c r="LD1" s="1188"/>
      <c r="LE1" s="1188"/>
      <c r="LF1" s="269">
        <f>KV1+1</f>
        <v>31</v>
      </c>
      <c r="LG1" s="395"/>
      <c r="LI1" s="1188" t="str">
        <f>KY1</f>
        <v>ENTRADA DEL MES DE    DICIEMBRE    2022</v>
      </c>
      <c r="LJ1" s="1188"/>
      <c r="LK1" s="1188"/>
      <c r="LL1" s="1188"/>
      <c r="LM1" s="1188"/>
      <c r="LN1" s="1188"/>
      <c r="LO1" s="1188"/>
      <c r="LP1" s="269">
        <f>LF1+1</f>
        <v>32</v>
      </c>
      <c r="LQ1" s="395"/>
      <c r="LS1" s="1188" t="str">
        <f>LI1</f>
        <v>ENTRADA DEL MES DE    DICIEMBRE    2022</v>
      </c>
      <c r="LT1" s="1188"/>
      <c r="LU1" s="1188"/>
      <c r="LV1" s="1188"/>
      <c r="LW1" s="1188"/>
      <c r="LX1" s="1188"/>
      <c r="LY1" s="1188"/>
      <c r="LZ1" s="269">
        <f>LP1+1</f>
        <v>33</v>
      </c>
      <c r="MC1" s="1188" t="str">
        <f>LS1</f>
        <v>ENTRADA DEL MES DE    DICIEMBRE    2022</v>
      </c>
      <c r="MD1" s="1188"/>
      <c r="ME1" s="1188"/>
      <c r="MF1" s="1188"/>
      <c r="MG1" s="1188"/>
      <c r="MH1" s="1188"/>
      <c r="MI1" s="1188"/>
      <c r="MJ1" s="269">
        <f>LZ1+1</f>
        <v>34</v>
      </c>
      <c r="MK1" s="269"/>
      <c r="MM1" s="1188" t="str">
        <f>MC1</f>
        <v>ENTRADA DEL MES DE    DICIEMBRE    2022</v>
      </c>
      <c r="MN1" s="1188"/>
      <c r="MO1" s="1188"/>
      <c r="MP1" s="1188"/>
      <c r="MQ1" s="1188"/>
      <c r="MR1" s="1188"/>
      <c r="MS1" s="1188"/>
      <c r="MT1" s="269">
        <f>MJ1+1</f>
        <v>35</v>
      </c>
      <c r="MU1" s="269"/>
      <c r="MW1" s="1188" t="str">
        <f>MM1</f>
        <v>ENTRADA DEL MES DE    DICIEMBRE    2022</v>
      </c>
      <c r="MX1" s="1188"/>
      <c r="MY1" s="1188"/>
      <c r="MZ1" s="1188"/>
      <c r="NA1" s="1188"/>
      <c r="NB1" s="1188"/>
      <c r="NC1" s="1188"/>
      <c r="ND1" s="269">
        <f>MT1+1</f>
        <v>36</v>
      </c>
      <c r="NE1" s="269"/>
      <c r="NG1" s="1188" t="str">
        <f>MW1</f>
        <v>ENTRADA DEL MES DE    DICIEMBRE    2022</v>
      </c>
      <c r="NH1" s="1188"/>
      <c r="NI1" s="1188"/>
      <c r="NJ1" s="1188"/>
      <c r="NK1" s="1188"/>
      <c r="NL1" s="1188"/>
      <c r="NM1" s="1188"/>
      <c r="NN1" s="269">
        <f>ND1+1</f>
        <v>37</v>
      </c>
      <c r="NO1" s="269"/>
      <c r="NQ1" s="1188" t="str">
        <f>NG1</f>
        <v>ENTRADA DEL MES DE    DICIEMBRE    2022</v>
      </c>
      <c r="NR1" s="1188"/>
      <c r="NS1" s="1188"/>
      <c r="NT1" s="1188"/>
      <c r="NU1" s="1188"/>
      <c r="NV1" s="1188"/>
      <c r="NW1" s="1188"/>
      <c r="NX1" s="269">
        <f>NN1+1</f>
        <v>38</v>
      </c>
      <c r="NY1" s="269"/>
      <c r="OA1" s="1188" t="str">
        <f>NQ1</f>
        <v>ENTRADA DEL MES DE    DICIEMBRE    2022</v>
      </c>
      <c r="OB1" s="1188"/>
      <c r="OC1" s="1188"/>
      <c r="OD1" s="1188"/>
      <c r="OE1" s="1188"/>
      <c r="OF1" s="1188"/>
      <c r="OG1" s="1188"/>
      <c r="OH1" s="269">
        <f>NX1+1</f>
        <v>39</v>
      </c>
      <c r="OI1" s="269"/>
      <c r="OK1" s="1188" t="str">
        <f>OA1</f>
        <v>ENTRADA DEL MES DE    DICIEMBRE    2022</v>
      </c>
      <c r="OL1" s="1188"/>
      <c r="OM1" s="1188"/>
      <c r="ON1" s="1188"/>
      <c r="OO1" s="1188"/>
      <c r="OP1" s="1188"/>
      <c r="OQ1" s="1188"/>
      <c r="OR1" s="269">
        <f>OH1+1</f>
        <v>40</v>
      </c>
      <c r="OS1" s="269"/>
      <c r="OU1" s="1188" t="str">
        <f>OK1</f>
        <v>ENTRADA DEL MES DE    DICIEMBRE    2022</v>
      </c>
      <c r="OV1" s="1188"/>
      <c r="OW1" s="1188"/>
      <c r="OX1" s="1188"/>
      <c r="OY1" s="1188"/>
      <c r="OZ1" s="1188"/>
      <c r="PA1" s="1188"/>
      <c r="PB1" s="269">
        <f>OR1+1</f>
        <v>41</v>
      </c>
      <c r="PC1" s="269"/>
      <c r="PE1" s="1188" t="str">
        <f>OU1</f>
        <v>ENTRADA DEL MES DE    DICIEMBRE    2022</v>
      </c>
      <c r="PF1" s="1188"/>
      <c r="PG1" s="1188"/>
      <c r="PH1" s="1188"/>
      <c r="PI1" s="1188"/>
      <c r="PJ1" s="1188"/>
      <c r="PK1" s="1188"/>
      <c r="PL1" s="269">
        <f>PB1+1</f>
        <v>42</v>
      </c>
      <c r="PM1" s="269"/>
      <c r="PO1" s="1188" t="str">
        <f>PE1</f>
        <v>ENTRADA DEL MES DE    DICIEMBRE    2022</v>
      </c>
      <c r="PP1" s="1188"/>
      <c r="PQ1" s="1188"/>
      <c r="PR1" s="1188"/>
      <c r="PS1" s="1188"/>
      <c r="PT1" s="1188"/>
      <c r="PU1" s="1188"/>
      <c r="PV1" s="269">
        <f>PL1+1</f>
        <v>43</v>
      </c>
      <c r="PX1" s="1188" t="str">
        <f>PO1</f>
        <v>ENTRADA DEL MES DE    DICIEMBRE    2022</v>
      </c>
      <c r="PY1" s="1188"/>
      <c r="PZ1" s="1188"/>
      <c r="QA1" s="1188"/>
      <c r="QB1" s="1188"/>
      <c r="QC1" s="1188"/>
      <c r="QD1" s="1188"/>
      <c r="QE1" s="269">
        <f>PV1+1</f>
        <v>44</v>
      </c>
      <c r="QG1" s="1188" t="str">
        <f>PX1</f>
        <v>ENTRADA DEL MES DE    DICIEMBRE    2022</v>
      </c>
      <c r="QH1" s="1188"/>
      <c r="QI1" s="1188"/>
      <c r="QJ1" s="1188"/>
      <c r="QK1" s="1188"/>
      <c r="QL1" s="1188"/>
      <c r="QM1" s="1188"/>
      <c r="QN1" s="269">
        <f>QE1+1</f>
        <v>45</v>
      </c>
      <c r="QP1" s="1188" t="str">
        <f>QG1</f>
        <v>ENTRADA DEL MES DE    DICIEMBRE    2022</v>
      </c>
      <c r="QQ1" s="1188"/>
      <c r="QR1" s="1188"/>
      <c r="QS1" s="1188"/>
      <c r="QT1" s="1188"/>
      <c r="QU1" s="1188"/>
      <c r="QV1" s="1188"/>
      <c r="QW1" s="269">
        <f>QN1+1</f>
        <v>46</v>
      </c>
      <c r="QY1" s="1188" t="str">
        <f>QP1</f>
        <v>ENTRADA DEL MES DE    DICIEMBRE    2022</v>
      </c>
      <c r="QZ1" s="1188"/>
      <c r="RA1" s="1188"/>
      <c r="RB1" s="1188"/>
      <c r="RC1" s="1188"/>
      <c r="RD1" s="1188"/>
      <c r="RE1" s="1188"/>
      <c r="RF1" s="269">
        <f>QW1+1</f>
        <v>47</v>
      </c>
      <c r="RH1" s="1188" t="str">
        <f>QY1</f>
        <v>ENTRADA DEL MES DE    DICIEMBRE    2022</v>
      </c>
      <c r="RI1" s="1188"/>
      <c r="RJ1" s="1188"/>
      <c r="RK1" s="1188"/>
      <c r="RL1" s="1188"/>
      <c r="RM1" s="1188"/>
      <c r="RN1" s="1188"/>
      <c r="RO1" s="269">
        <f>RF1+1</f>
        <v>48</v>
      </c>
      <c r="RQ1" s="1188" t="str">
        <f>RH1</f>
        <v>ENTRADA DEL MES DE    DICIEMBRE    2022</v>
      </c>
      <c r="RR1" s="1188"/>
      <c r="RS1" s="1188"/>
      <c r="RT1" s="1188"/>
      <c r="RU1" s="1188"/>
      <c r="RV1" s="1188"/>
      <c r="RW1" s="1188"/>
      <c r="RX1" s="269">
        <f>RO1+1</f>
        <v>49</v>
      </c>
      <c r="RZ1" s="1188" t="str">
        <f>RQ1</f>
        <v>ENTRADA DEL MES DE    DICIEMBRE    2022</v>
      </c>
      <c r="SA1" s="1188"/>
      <c r="SB1" s="1188"/>
      <c r="SC1" s="1188"/>
      <c r="SD1" s="1188"/>
      <c r="SE1" s="1188"/>
      <c r="SF1" s="1188"/>
      <c r="SG1" s="269">
        <f>RX1+1</f>
        <v>50</v>
      </c>
      <c r="SI1" s="1188" t="str">
        <f>RZ1</f>
        <v>ENTRADA DEL MES DE    DICIEMBRE    2022</v>
      </c>
      <c r="SJ1" s="1188"/>
      <c r="SK1" s="1188"/>
      <c r="SL1" s="1188"/>
      <c r="SM1" s="1188"/>
      <c r="SN1" s="1188"/>
      <c r="SO1" s="1188"/>
      <c r="SP1" s="269">
        <f>SG1+1</f>
        <v>51</v>
      </c>
      <c r="SR1" s="1188" t="str">
        <f>SI1</f>
        <v>ENTRADA DEL MES DE    DICIEMBRE    2022</v>
      </c>
      <c r="SS1" s="1188"/>
      <c r="ST1" s="1188"/>
      <c r="SU1" s="1188"/>
      <c r="SV1" s="1188"/>
      <c r="SW1" s="1188"/>
      <c r="SX1" s="1188"/>
      <c r="SY1" s="269">
        <f>SP1+1</f>
        <v>52</v>
      </c>
      <c r="TA1" s="1188" t="str">
        <f>SR1</f>
        <v>ENTRADA DEL MES DE    DICIEMBRE    2022</v>
      </c>
      <c r="TB1" s="1188"/>
      <c r="TC1" s="1188"/>
      <c r="TD1" s="1188"/>
      <c r="TE1" s="1188"/>
      <c r="TF1" s="1188"/>
      <c r="TG1" s="1188"/>
      <c r="TH1" s="269">
        <f>SY1+1</f>
        <v>53</v>
      </c>
      <c r="TJ1" s="1188" t="str">
        <f>TA1</f>
        <v>ENTRADA DEL MES DE    DICIEMBRE    2022</v>
      </c>
      <c r="TK1" s="1188"/>
      <c r="TL1" s="1188"/>
      <c r="TM1" s="1188"/>
      <c r="TN1" s="1188"/>
      <c r="TO1" s="1188"/>
      <c r="TP1" s="1188"/>
      <c r="TQ1" s="269">
        <f>TH1+1</f>
        <v>54</v>
      </c>
      <c r="TS1" s="1188" t="str">
        <f>TJ1</f>
        <v>ENTRADA DEL MES DE    DICIEMBRE    2022</v>
      </c>
      <c r="TT1" s="1188"/>
      <c r="TU1" s="1188"/>
      <c r="TV1" s="1188"/>
      <c r="TW1" s="1188"/>
      <c r="TX1" s="1188"/>
      <c r="TY1" s="1188"/>
      <c r="TZ1" s="269">
        <f>TQ1+1</f>
        <v>55</v>
      </c>
      <c r="UB1" s="1188" t="str">
        <f>TS1</f>
        <v>ENTRADA DEL MES DE    DICIEMBRE    2022</v>
      </c>
      <c r="UC1" s="1188"/>
      <c r="UD1" s="1188"/>
      <c r="UE1" s="1188"/>
      <c r="UF1" s="1188"/>
      <c r="UG1" s="1188"/>
      <c r="UH1" s="1188"/>
      <c r="UI1" s="269">
        <f>TZ1+1</f>
        <v>56</v>
      </c>
      <c r="UK1" s="1188" t="str">
        <f>UB1</f>
        <v>ENTRADA DEL MES DE    DICIEMBRE    2022</v>
      </c>
      <c r="UL1" s="1188"/>
      <c r="UM1" s="1188"/>
      <c r="UN1" s="1188"/>
      <c r="UO1" s="1188"/>
      <c r="UP1" s="1188"/>
      <c r="UQ1" s="1188"/>
      <c r="UR1" s="269">
        <f>UI1+1</f>
        <v>57</v>
      </c>
      <c r="UT1" s="1188" t="str">
        <f>UK1</f>
        <v>ENTRADA DEL MES DE    DICIEMBRE    2022</v>
      </c>
      <c r="UU1" s="1188"/>
      <c r="UV1" s="1188"/>
      <c r="UW1" s="1188"/>
      <c r="UX1" s="1188"/>
      <c r="UY1" s="1188"/>
      <c r="UZ1" s="1188"/>
      <c r="VA1" s="269">
        <f>UR1+1</f>
        <v>58</v>
      </c>
      <c r="VC1" s="1188" t="str">
        <f>UT1</f>
        <v>ENTRADA DEL MES DE    DICIEMBRE    2022</v>
      </c>
      <c r="VD1" s="1188"/>
      <c r="VE1" s="1188"/>
      <c r="VF1" s="1188"/>
      <c r="VG1" s="1188"/>
      <c r="VH1" s="1188"/>
      <c r="VI1" s="1188"/>
      <c r="VJ1" s="269">
        <f>VA1+1</f>
        <v>59</v>
      </c>
      <c r="VL1" s="1188" t="str">
        <f>VC1</f>
        <v>ENTRADA DEL MES DE    DICIEMBRE    2022</v>
      </c>
      <c r="VM1" s="1188"/>
      <c r="VN1" s="1188"/>
      <c r="VO1" s="1188"/>
      <c r="VP1" s="1188"/>
      <c r="VQ1" s="1188"/>
      <c r="VR1" s="1188"/>
      <c r="VS1" s="269">
        <f>VJ1+1</f>
        <v>60</v>
      </c>
      <c r="VU1" s="1188" t="str">
        <f>VL1</f>
        <v>ENTRADA DEL MES DE    DICIEMBRE    2022</v>
      </c>
      <c r="VV1" s="1188"/>
      <c r="VW1" s="1188"/>
      <c r="VX1" s="1188"/>
      <c r="VY1" s="1188"/>
      <c r="VZ1" s="1188"/>
      <c r="WA1" s="1188"/>
      <c r="WB1" s="269">
        <f>VS1+1</f>
        <v>61</v>
      </c>
      <c r="WD1" s="1188" t="str">
        <f>VU1</f>
        <v>ENTRADA DEL MES DE    DICIEMBRE    2022</v>
      </c>
      <c r="WE1" s="1188"/>
      <c r="WF1" s="1188"/>
      <c r="WG1" s="1188"/>
      <c r="WH1" s="1188"/>
      <c r="WI1" s="1188"/>
      <c r="WJ1" s="1188"/>
      <c r="WK1" s="269">
        <f>WB1+1</f>
        <v>62</v>
      </c>
      <c r="WM1" s="1188" t="str">
        <f>WD1</f>
        <v>ENTRADA DEL MES DE    DICIEMBRE    2022</v>
      </c>
      <c r="WN1" s="1188"/>
      <c r="WO1" s="1188"/>
      <c r="WP1" s="1188"/>
      <c r="WQ1" s="1188"/>
      <c r="WR1" s="1188"/>
      <c r="WS1" s="1188"/>
      <c r="WT1" s="269">
        <f>WK1+1</f>
        <v>63</v>
      </c>
      <c r="WV1" s="1188" t="str">
        <f>WM1</f>
        <v>ENTRADA DEL MES DE    DICIEMBRE    2022</v>
      </c>
      <c r="WW1" s="1188"/>
      <c r="WX1" s="1188"/>
      <c r="WY1" s="1188"/>
      <c r="WZ1" s="1188"/>
      <c r="XA1" s="1188"/>
      <c r="XB1" s="1188"/>
      <c r="XC1" s="269">
        <f>WT1+1</f>
        <v>64</v>
      </c>
      <c r="XE1" s="1188" t="str">
        <f>WV1</f>
        <v>ENTRADA DEL MES DE    DICIEMBRE    2022</v>
      </c>
      <c r="XF1" s="1188"/>
      <c r="XG1" s="1188"/>
      <c r="XH1" s="1188"/>
      <c r="XI1" s="1188"/>
      <c r="XJ1" s="1188"/>
      <c r="XK1" s="1188"/>
      <c r="XL1" s="269">
        <f>XC1+1</f>
        <v>65</v>
      </c>
      <c r="XN1" s="1188" t="str">
        <f>XE1</f>
        <v>ENTRADA DEL MES DE    DICIEMBRE    2022</v>
      </c>
      <c r="XO1" s="1188"/>
      <c r="XP1" s="1188"/>
      <c r="XQ1" s="1188"/>
      <c r="XR1" s="1188"/>
      <c r="XS1" s="1188"/>
      <c r="XT1" s="1188"/>
      <c r="XU1" s="269">
        <f>XL1+1</f>
        <v>66</v>
      </c>
      <c r="XW1" s="1188" t="str">
        <f>XN1</f>
        <v>ENTRADA DEL MES DE    DICIEMBRE    2022</v>
      </c>
      <c r="XX1" s="1188"/>
      <c r="XY1" s="1188"/>
      <c r="XZ1" s="1188"/>
      <c r="YA1" s="1188"/>
      <c r="YB1" s="1188"/>
      <c r="YC1" s="1188"/>
      <c r="YD1" s="269">
        <f>XU1+1</f>
        <v>67</v>
      </c>
      <c r="YF1" s="1188" t="str">
        <f>XW1</f>
        <v>ENTRADA DEL MES DE    DICIEMBRE    2022</v>
      </c>
      <c r="YG1" s="1188"/>
      <c r="YH1" s="1188"/>
      <c r="YI1" s="1188"/>
      <c r="YJ1" s="1188"/>
      <c r="YK1" s="1188"/>
      <c r="YL1" s="1188"/>
      <c r="YM1" s="269">
        <f>YD1+1</f>
        <v>68</v>
      </c>
      <c r="YO1" s="1188" t="str">
        <f>YF1</f>
        <v>ENTRADA DEL MES DE    DICIEMBRE    2022</v>
      </c>
      <c r="YP1" s="1188"/>
      <c r="YQ1" s="1188"/>
      <c r="YR1" s="1188"/>
      <c r="YS1" s="1188"/>
      <c r="YT1" s="1188"/>
      <c r="YU1" s="1188"/>
      <c r="YV1" s="269">
        <f>YM1+1</f>
        <v>69</v>
      </c>
      <c r="YX1" s="1188" t="str">
        <f>YO1</f>
        <v>ENTRADA DEL MES DE    DICIEMBRE    2022</v>
      </c>
      <c r="YY1" s="1188"/>
      <c r="YZ1" s="1188"/>
      <c r="ZA1" s="1188"/>
      <c r="ZB1" s="1188"/>
      <c r="ZC1" s="1188"/>
      <c r="ZD1" s="1188"/>
      <c r="ZE1" s="269">
        <f>YV1+1</f>
        <v>70</v>
      </c>
      <c r="ZG1" s="1188" t="str">
        <f>YX1</f>
        <v>ENTRADA DEL MES DE    DICIEMBRE    2022</v>
      </c>
      <c r="ZH1" s="1188"/>
      <c r="ZI1" s="1188"/>
      <c r="ZJ1" s="1188"/>
      <c r="ZK1" s="1188"/>
      <c r="ZL1" s="1188"/>
      <c r="ZM1" s="1188"/>
      <c r="ZN1" s="269">
        <f>ZE1+1</f>
        <v>71</v>
      </c>
      <c r="ZP1" s="1188" t="str">
        <f>ZG1</f>
        <v>ENTRADA DEL MES DE    DICIEMBRE    2022</v>
      </c>
      <c r="ZQ1" s="1188"/>
      <c r="ZR1" s="1188"/>
      <c r="ZS1" s="1188"/>
      <c r="ZT1" s="1188"/>
      <c r="ZU1" s="1188"/>
      <c r="ZV1" s="1188"/>
      <c r="ZW1" s="269">
        <f>ZN1+1</f>
        <v>72</v>
      </c>
      <c r="ZY1" s="1188" t="str">
        <f>ZP1</f>
        <v>ENTRADA DEL MES DE    DICIEMBRE    2022</v>
      </c>
      <c r="ZZ1" s="1188"/>
      <c r="AAA1" s="1188"/>
      <c r="AAB1" s="1188"/>
      <c r="AAC1" s="1188"/>
      <c r="AAD1" s="1188"/>
      <c r="AAE1" s="1188"/>
      <c r="AAF1" s="269">
        <f>ZW1+1</f>
        <v>73</v>
      </c>
      <c r="AAH1" s="1188" t="str">
        <f>ZY1</f>
        <v>ENTRADA DEL MES DE    DICIEMBRE    2022</v>
      </c>
      <c r="AAI1" s="1188"/>
      <c r="AAJ1" s="1188"/>
      <c r="AAK1" s="1188"/>
      <c r="AAL1" s="1188"/>
      <c r="AAM1" s="1188"/>
      <c r="AAN1" s="1188"/>
      <c r="AAO1" s="269">
        <f>AAF1+1</f>
        <v>74</v>
      </c>
      <c r="AAQ1" s="1188" t="str">
        <f>AAH1</f>
        <v>ENTRADA DEL MES DE    DICIEMBRE    2022</v>
      </c>
      <c r="AAR1" s="1188"/>
      <c r="AAS1" s="1188"/>
      <c r="AAT1" s="1188"/>
      <c r="AAU1" s="1188"/>
      <c r="AAV1" s="1188"/>
      <c r="AAW1" s="1188"/>
      <c r="AAX1" s="269">
        <f>AAO1+1</f>
        <v>75</v>
      </c>
      <c r="AAZ1" s="1188" t="str">
        <f>AAQ1</f>
        <v>ENTRADA DEL MES DE    DICIEMBRE    2022</v>
      </c>
      <c r="ABA1" s="1188"/>
      <c r="ABB1" s="1188"/>
      <c r="ABC1" s="1188"/>
      <c r="ABD1" s="1188"/>
      <c r="ABE1" s="1188"/>
      <c r="ABF1" s="1188"/>
      <c r="ABG1" s="269">
        <f>AAX1+1</f>
        <v>76</v>
      </c>
      <c r="ABI1" s="1188" t="str">
        <f>AAZ1</f>
        <v>ENTRADA DEL MES DE    DICIEMBRE    2022</v>
      </c>
      <c r="ABJ1" s="1188"/>
      <c r="ABK1" s="1188"/>
      <c r="ABL1" s="1188"/>
      <c r="ABM1" s="1188"/>
      <c r="ABN1" s="1188"/>
      <c r="ABO1" s="1188"/>
      <c r="ABP1" s="269">
        <f>ABG1+1</f>
        <v>77</v>
      </c>
      <c r="ABR1" s="1188" t="str">
        <f>ABI1</f>
        <v>ENTRADA DEL MES DE    DICIEMBRE    2022</v>
      </c>
      <c r="ABS1" s="1188"/>
      <c r="ABT1" s="1188"/>
      <c r="ABU1" s="1188"/>
      <c r="ABV1" s="1188"/>
      <c r="ABW1" s="1188"/>
      <c r="ABX1" s="1188"/>
      <c r="ABY1" s="269">
        <f>ABP1+1</f>
        <v>78</v>
      </c>
      <c r="ACA1" s="1188" t="str">
        <f>ABR1</f>
        <v>ENTRADA DEL MES DE    DICIEMBRE    2022</v>
      </c>
      <c r="ACB1" s="1188"/>
      <c r="ACC1" s="1188"/>
      <c r="ACD1" s="1188"/>
      <c r="ACE1" s="1188"/>
      <c r="ACF1" s="1188"/>
      <c r="ACG1" s="1188"/>
      <c r="ACH1" s="269">
        <f>ABY1+1</f>
        <v>79</v>
      </c>
      <c r="ACJ1" s="1188" t="str">
        <f>ACA1</f>
        <v>ENTRADA DEL MES DE    DICIEMBRE    2022</v>
      </c>
      <c r="ACK1" s="1188"/>
      <c r="ACL1" s="1188"/>
      <c r="ACM1" s="1188"/>
      <c r="ACN1" s="1188"/>
      <c r="ACO1" s="1188"/>
      <c r="ACP1" s="1188"/>
      <c r="ACQ1" s="269">
        <f>ACH1+1</f>
        <v>80</v>
      </c>
      <c r="ACS1" s="1188" t="str">
        <f>ACJ1</f>
        <v>ENTRADA DEL MES DE    DICIEMBRE    2022</v>
      </c>
      <c r="ACT1" s="1188"/>
      <c r="ACU1" s="1188"/>
      <c r="ACV1" s="1188"/>
      <c r="ACW1" s="1188"/>
      <c r="ACX1" s="1188"/>
      <c r="ACY1" s="1188"/>
      <c r="ACZ1" s="269">
        <f>ACQ1+1</f>
        <v>81</v>
      </c>
      <c r="ADB1" s="1188" t="str">
        <f>ACS1</f>
        <v>ENTRADA DEL MES DE    DICIEMBRE    2022</v>
      </c>
      <c r="ADC1" s="1188"/>
      <c r="ADD1" s="1188"/>
      <c r="ADE1" s="1188"/>
      <c r="ADF1" s="1188"/>
      <c r="ADG1" s="1188"/>
      <c r="ADH1" s="1188"/>
      <c r="ADI1" s="269">
        <f>ACZ1+1</f>
        <v>82</v>
      </c>
      <c r="ADK1" s="1188" t="str">
        <f>ADB1</f>
        <v>ENTRADA DEL MES DE    DICIEMBRE    2022</v>
      </c>
      <c r="ADL1" s="1188"/>
      <c r="ADM1" s="1188"/>
      <c r="ADN1" s="1188"/>
      <c r="ADO1" s="1188"/>
      <c r="ADP1" s="1188"/>
      <c r="ADQ1" s="1188"/>
      <c r="ADR1" s="269">
        <f>ADI1+1</f>
        <v>83</v>
      </c>
      <c r="ADT1" s="1188" t="str">
        <f>ADK1</f>
        <v>ENTRADA DEL MES DE    DICIEMBRE    2022</v>
      </c>
      <c r="ADU1" s="1188"/>
      <c r="ADV1" s="1188"/>
      <c r="ADW1" s="1188"/>
      <c r="ADX1" s="1188"/>
      <c r="ADY1" s="1188"/>
      <c r="ADZ1" s="1188"/>
      <c r="AEA1" s="269">
        <f>ADR1+1</f>
        <v>84</v>
      </c>
      <c r="AEC1" s="1188" t="str">
        <f>ADT1</f>
        <v>ENTRADA DEL MES DE    DICIEMBRE    2022</v>
      </c>
      <c r="AED1" s="1188"/>
      <c r="AEE1" s="1188"/>
      <c r="AEF1" s="1188"/>
      <c r="AEG1" s="1188"/>
      <c r="AEH1" s="1188"/>
      <c r="AEI1" s="1188"/>
      <c r="AEJ1" s="269">
        <f>AEA1+1</f>
        <v>85</v>
      </c>
      <c r="AEL1" s="1188" t="str">
        <f>AEC1</f>
        <v>ENTRADA DEL MES DE    DICIEMBRE    2022</v>
      </c>
      <c r="AEM1" s="1188"/>
      <c r="AEN1" s="1188"/>
      <c r="AEO1" s="1188"/>
      <c r="AEP1" s="1188"/>
      <c r="AEQ1" s="1188"/>
      <c r="AER1" s="118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723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86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193" t="s">
        <v>222</v>
      </c>
      <c r="L5" s="870" t="s">
        <v>223</v>
      </c>
      <c r="M5" s="718" t="s">
        <v>228</v>
      </c>
      <c r="N5" s="719">
        <v>44895</v>
      </c>
      <c r="O5" s="720">
        <v>18729.12</v>
      </c>
      <c r="P5" s="717">
        <v>21</v>
      </c>
      <c r="Q5" s="721">
        <v>18759.599999999999</v>
      </c>
      <c r="R5" s="138">
        <f>O5-Q5</f>
        <v>-30.479999999999563</v>
      </c>
      <c r="S5" s="397"/>
      <c r="U5" s="716" t="s">
        <v>222</v>
      </c>
      <c r="V5" s="870" t="s">
        <v>223</v>
      </c>
      <c r="W5" s="718" t="s">
        <v>229</v>
      </c>
      <c r="X5" s="719">
        <v>44895</v>
      </c>
      <c r="Y5" s="720">
        <v>18857.04</v>
      </c>
      <c r="Z5" s="717">
        <v>21</v>
      </c>
      <c r="AA5" s="721">
        <v>18842.3</v>
      </c>
      <c r="AB5" s="138">
        <f>Y5-AA5</f>
        <v>14.740000000001601</v>
      </c>
      <c r="AC5" s="397"/>
      <c r="AE5" s="716" t="s">
        <v>220</v>
      </c>
      <c r="AF5" s="871" t="s">
        <v>221</v>
      </c>
      <c r="AG5" s="718" t="s">
        <v>336</v>
      </c>
      <c r="AH5" s="722">
        <v>44896</v>
      </c>
      <c r="AI5" s="720">
        <v>18857.04</v>
      </c>
      <c r="AJ5" s="717">
        <v>20</v>
      </c>
      <c r="AK5" s="721">
        <v>18935.560000000001</v>
      </c>
      <c r="AL5" s="138">
        <f>AI5-AK5</f>
        <v>-78.520000000000437</v>
      </c>
      <c r="AM5" s="397"/>
      <c r="AN5" s="75" t="s">
        <v>41</v>
      </c>
      <c r="AO5" s="723" t="s">
        <v>222</v>
      </c>
      <c r="AP5" s="870" t="s">
        <v>223</v>
      </c>
      <c r="AQ5" s="724" t="s">
        <v>337</v>
      </c>
      <c r="AR5" s="719">
        <v>44896</v>
      </c>
      <c r="AS5" s="720">
        <v>19184.009999999998</v>
      </c>
      <c r="AT5" s="717">
        <v>21</v>
      </c>
      <c r="AU5" s="721">
        <v>19169.8</v>
      </c>
      <c r="AV5" s="138">
        <f>AS5-AU5</f>
        <v>14.209999999999127</v>
      </c>
      <c r="AW5" s="397"/>
      <c r="AY5" s="723" t="s">
        <v>222</v>
      </c>
      <c r="AZ5" s="870" t="s">
        <v>223</v>
      </c>
      <c r="BA5" s="724" t="s">
        <v>338</v>
      </c>
      <c r="BB5" s="719">
        <v>44897</v>
      </c>
      <c r="BC5" s="720">
        <v>18054.09</v>
      </c>
      <c r="BD5" s="717">
        <v>20</v>
      </c>
      <c r="BE5" s="721">
        <v>18007.599999999999</v>
      </c>
      <c r="BF5" s="138">
        <f>BC5-BE5</f>
        <v>46.490000000001601</v>
      </c>
      <c r="BG5" s="397"/>
      <c r="BI5" s="1189" t="s">
        <v>220</v>
      </c>
      <c r="BJ5" s="1043" t="s">
        <v>221</v>
      </c>
      <c r="BK5" s="724" t="s">
        <v>341</v>
      </c>
      <c r="BL5" s="722">
        <v>44898</v>
      </c>
      <c r="BM5" s="720">
        <v>18435.43</v>
      </c>
      <c r="BN5" s="717">
        <v>20</v>
      </c>
      <c r="BO5" s="721">
        <v>18351.310000000001</v>
      </c>
      <c r="BP5" s="138">
        <f>BM5-BO5</f>
        <v>84.119999999998981</v>
      </c>
      <c r="BQ5" s="397"/>
      <c r="BS5" s="1192" t="s">
        <v>342</v>
      </c>
      <c r="BT5" s="1046" t="s">
        <v>343</v>
      </c>
      <c r="BU5" s="1047"/>
      <c r="BV5" s="719">
        <v>44898</v>
      </c>
      <c r="BW5" s="720">
        <v>1123</v>
      </c>
      <c r="BX5" s="717">
        <v>2</v>
      </c>
      <c r="BY5" s="721">
        <v>1123</v>
      </c>
      <c r="BZ5" s="138">
        <f>BW5-BY5</f>
        <v>0</v>
      </c>
      <c r="CA5" s="244"/>
      <c r="CB5" s="244"/>
      <c r="CC5" s="716" t="s">
        <v>222</v>
      </c>
      <c r="CD5" s="897" t="s">
        <v>223</v>
      </c>
      <c r="CE5" s="724" t="s">
        <v>344</v>
      </c>
      <c r="CF5" s="719">
        <v>44901</v>
      </c>
      <c r="CG5" s="720">
        <v>18014.7</v>
      </c>
      <c r="CH5" s="717">
        <v>20</v>
      </c>
      <c r="CI5" s="721">
        <v>18032</v>
      </c>
      <c r="CJ5" s="138">
        <f>CG5-CI5</f>
        <v>-17.299999999999272</v>
      </c>
      <c r="CK5" s="244"/>
      <c r="CL5" s="244"/>
      <c r="CM5" s="1189" t="s">
        <v>222</v>
      </c>
      <c r="CN5" s="905" t="s">
        <v>223</v>
      </c>
      <c r="CO5" s="718" t="s">
        <v>345</v>
      </c>
      <c r="CP5" s="719">
        <v>44901</v>
      </c>
      <c r="CQ5" s="720">
        <v>19221</v>
      </c>
      <c r="CR5" s="717">
        <v>21</v>
      </c>
      <c r="CS5" s="721">
        <v>19080.599999999999</v>
      </c>
      <c r="CT5" s="138">
        <f>CQ5-CS5</f>
        <v>140.40000000000146</v>
      </c>
      <c r="CU5" s="397"/>
      <c r="CW5" s="716" t="s">
        <v>220</v>
      </c>
      <c r="CX5" s="871" t="s">
        <v>221</v>
      </c>
      <c r="CY5" s="718" t="s">
        <v>346</v>
      </c>
      <c r="CZ5" s="719">
        <v>44902</v>
      </c>
      <c r="DA5" s="720">
        <v>18623.95</v>
      </c>
      <c r="DB5" s="717">
        <v>20</v>
      </c>
      <c r="DC5" s="721">
        <v>18651.62</v>
      </c>
      <c r="DD5" s="138">
        <f>DA5-DC5</f>
        <v>-27.669999999998254</v>
      </c>
      <c r="DE5" s="397"/>
      <c r="DG5" s="723" t="s">
        <v>222</v>
      </c>
      <c r="DH5" s="897" t="s">
        <v>223</v>
      </c>
      <c r="DI5" s="724" t="s">
        <v>347</v>
      </c>
      <c r="DJ5" s="719">
        <v>44903</v>
      </c>
      <c r="DK5" s="720">
        <v>18888.5</v>
      </c>
      <c r="DL5" s="717">
        <v>21</v>
      </c>
      <c r="DM5" s="721">
        <v>18798.7</v>
      </c>
      <c r="DN5" s="138">
        <f>DK5-DM5</f>
        <v>89.799999999999272</v>
      </c>
      <c r="DO5" s="397"/>
      <c r="DQ5" s="1191" t="s">
        <v>220</v>
      </c>
      <c r="DR5" s="903" t="s">
        <v>221</v>
      </c>
      <c r="DS5" s="724" t="s">
        <v>348</v>
      </c>
      <c r="DT5" s="719">
        <v>44903</v>
      </c>
      <c r="DU5" s="720">
        <v>18366.080000000002</v>
      </c>
      <c r="DV5" s="717">
        <v>20</v>
      </c>
      <c r="DW5" s="721">
        <v>18341.810000000001</v>
      </c>
      <c r="DX5" s="138">
        <f>DU5-DW5</f>
        <v>24.270000000000437</v>
      </c>
      <c r="DY5" s="244"/>
      <c r="EA5" s="723" t="s">
        <v>222</v>
      </c>
      <c r="EB5" s="870" t="s">
        <v>223</v>
      </c>
      <c r="EC5" s="724" t="s">
        <v>349</v>
      </c>
      <c r="ED5" s="719">
        <v>44904</v>
      </c>
      <c r="EE5" s="720">
        <v>18847.11</v>
      </c>
      <c r="EF5" s="717">
        <v>21</v>
      </c>
      <c r="EG5" s="721">
        <v>18871.3</v>
      </c>
      <c r="EH5" s="138">
        <f>EE5-EG5</f>
        <v>-24.18999999999869</v>
      </c>
      <c r="EI5" s="397"/>
      <c r="EJ5" s="75" t="s">
        <v>49</v>
      </c>
      <c r="EK5" s="723" t="s">
        <v>222</v>
      </c>
      <c r="EL5" s="870" t="s">
        <v>223</v>
      </c>
      <c r="EM5" s="724" t="s">
        <v>350</v>
      </c>
      <c r="EN5" s="719">
        <v>44904</v>
      </c>
      <c r="EO5" s="720">
        <v>19130.18</v>
      </c>
      <c r="EP5" s="717">
        <v>21</v>
      </c>
      <c r="EQ5" s="721">
        <v>19185.5</v>
      </c>
      <c r="ER5" s="138">
        <f>EO5-EQ5</f>
        <v>-55.319999999999709</v>
      </c>
      <c r="ES5" s="397"/>
      <c r="ET5" s="75" t="s">
        <v>49</v>
      </c>
      <c r="EU5" s="716" t="s">
        <v>222</v>
      </c>
      <c r="EV5" s="870" t="s">
        <v>223</v>
      </c>
      <c r="EW5" s="718" t="s">
        <v>396</v>
      </c>
      <c r="EX5" s="719">
        <v>44904</v>
      </c>
      <c r="EY5" s="720">
        <v>18790.439999999999</v>
      </c>
      <c r="EZ5" s="717">
        <v>21</v>
      </c>
      <c r="FA5" s="700">
        <v>18821</v>
      </c>
      <c r="FB5" s="138">
        <f>EY5-FA5</f>
        <v>-30.56000000000131</v>
      </c>
      <c r="FC5" s="397"/>
      <c r="FE5" s="723" t="s">
        <v>222</v>
      </c>
      <c r="FF5" s="870" t="s">
        <v>223</v>
      </c>
      <c r="FG5" s="724" t="s">
        <v>397</v>
      </c>
      <c r="FH5" s="719">
        <v>44905</v>
      </c>
      <c r="FI5" s="720">
        <v>18848.189999999999</v>
      </c>
      <c r="FJ5" s="717">
        <v>21</v>
      </c>
      <c r="FK5" s="700">
        <v>18826.7</v>
      </c>
      <c r="FL5" s="138">
        <f>FI5-FK5</f>
        <v>21.489999999997963</v>
      </c>
      <c r="FM5" s="397"/>
      <c r="FO5" s="732" t="s">
        <v>220</v>
      </c>
      <c r="FP5" s="871" t="s">
        <v>221</v>
      </c>
      <c r="FQ5" s="724" t="s">
        <v>398</v>
      </c>
      <c r="FR5" s="719">
        <v>44905</v>
      </c>
      <c r="FS5" s="720">
        <v>18920.68</v>
      </c>
      <c r="FT5" s="717">
        <v>20</v>
      </c>
      <c r="FU5" s="721">
        <v>18959.16</v>
      </c>
      <c r="FV5" s="138">
        <f>FS5-FU5</f>
        <v>-38.479999999999563</v>
      </c>
      <c r="FW5" s="397"/>
      <c r="FY5" s="716" t="s">
        <v>222</v>
      </c>
      <c r="FZ5" s="870" t="s">
        <v>223</v>
      </c>
      <c r="GA5" s="718" t="s">
        <v>399</v>
      </c>
      <c r="GB5" s="719">
        <v>44908</v>
      </c>
      <c r="GC5" s="720">
        <v>18992.169999999998</v>
      </c>
      <c r="GD5" s="717">
        <v>21</v>
      </c>
      <c r="GE5" s="721">
        <v>18917.400000000001</v>
      </c>
      <c r="GF5" s="138">
        <f>GC5-GE5</f>
        <v>74.769999999996799</v>
      </c>
      <c r="GG5" s="397"/>
      <c r="GI5" s="821" t="s">
        <v>222</v>
      </c>
      <c r="GJ5" s="870" t="s">
        <v>223</v>
      </c>
      <c r="GK5" s="724" t="s">
        <v>400</v>
      </c>
      <c r="GL5" s="722">
        <v>44908</v>
      </c>
      <c r="GM5" s="720">
        <v>18949.169999999998</v>
      </c>
      <c r="GN5" s="717">
        <v>21</v>
      </c>
      <c r="GO5" s="721">
        <f>GN32</f>
        <v>0</v>
      </c>
      <c r="GP5" s="138">
        <f>GM5-GO5</f>
        <v>18949.169999999998</v>
      </c>
      <c r="GQ5" s="397"/>
      <c r="GS5" s="1189" t="s">
        <v>222</v>
      </c>
      <c r="GT5" s="870" t="s">
        <v>223</v>
      </c>
      <c r="GU5" s="717" t="s">
        <v>401</v>
      </c>
      <c r="GV5" s="722">
        <v>44908</v>
      </c>
      <c r="GW5" s="720">
        <v>19166.849999999999</v>
      </c>
      <c r="GX5" s="717">
        <v>21</v>
      </c>
      <c r="GY5" s="721">
        <v>19058.7</v>
      </c>
      <c r="GZ5" s="138">
        <f>GW5-GY5</f>
        <v>108.14999999999782</v>
      </c>
      <c r="HA5" s="397"/>
      <c r="HC5" s="1192" t="s">
        <v>220</v>
      </c>
      <c r="HD5" s="871" t="s">
        <v>221</v>
      </c>
      <c r="HE5" s="724" t="s">
        <v>402</v>
      </c>
      <c r="HF5" s="722">
        <v>44909</v>
      </c>
      <c r="HG5" s="720">
        <v>18590.849999999999</v>
      </c>
      <c r="HH5" s="717">
        <v>20</v>
      </c>
      <c r="HI5" s="721">
        <v>18618.48</v>
      </c>
      <c r="HJ5" s="138">
        <f>HG5-HI5</f>
        <v>-27.630000000001019</v>
      </c>
      <c r="HK5" s="397"/>
      <c r="HM5" s="723" t="s">
        <v>403</v>
      </c>
      <c r="HN5" s="871" t="s">
        <v>221</v>
      </c>
      <c r="HO5" s="724" t="s">
        <v>404</v>
      </c>
      <c r="HP5" s="719">
        <v>44909</v>
      </c>
      <c r="HQ5" s="720">
        <v>18256.88</v>
      </c>
      <c r="HR5" s="717">
        <v>20</v>
      </c>
      <c r="HS5" s="700">
        <v>18237.5</v>
      </c>
      <c r="HT5" s="138">
        <f>HQ5-HS5</f>
        <v>19.380000000001019</v>
      </c>
      <c r="HU5" s="397"/>
      <c r="HW5" s="1189" t="s">
        <v>220</v>
      </c>
      <c r="HX5" s="871" t="s">
        <v>221</v>
      </c>
      <c r="HY5" s="724" t="s">
        <v>405</v>
      </c>
      <c r="HZ5" s="719">
        <v>44910</v>
      </c>
      <c r="IA5" s="720">
        <v>18753.78</v>
      </c>
      <c r="IB5" s="717">
        <v>20</v>
      </c>
      <c r="IC5" s="721">
        <v>18785</v>
      </c>
      <c r="ID5" s="138">
        <f>IA5-IC5</f>
        <v>-31.220000000001164</v>
      </c>
      <c r="IE5" s="397"/>
      <c r="IG5" s="1189" t="s">
        <v>222</v>
      </c>
      <c r="IH5" s="870" t="s">
        <v>223</v>
      </c>
      <c r="II5" s="724" t="s">
        <v>406</v>
      </c>
      <c r="IJ5" s="719">
        <v>44910</v>
      </c>
      <c r="IK5" s="720">
        <v>19116.189999999999</v>
      </c>
      <c r="IL5" s="717">
        <v>21</v>
      </c>
      <c r="IM5" s="721">
        <v>19114.3</v>
      </c>
      <c r="IN5" s="138">
        <f>IK5-IM5</f>
        <v>1.8899999999994179</v>
      </c>
      <c r="IO5" s="397"/>
      <c r="IQ5" s="1189" t="s">
        <v>222</v>
      </c>
      <c r="IR5" s="1076" t="s">
        <v>223</v>
      </c>
      <c r="IS5" s="718" t="s">
        <v>407</v>
      </c>
      <c r="IT5" s="722">
        <v>44911</v>
      </c>
      <c r="IU5" s="720">
        <v>19165.84</v>
      </c>
      <c r="IV5" s="717">
        <v>21</v>
      </c>
      <c r="IW5" s="721">
        <v>19125.2</v>
      </c>
      <c r="IX5" s="138">
        <f>IU5-IW5</f>
        <v>40.639999999999418</v>
      </c>
      <c r="IY5" s="397"/>
      <c r="JA5" s="723" t="s">
        <v>222</v>
      </c>
      <c r="JB5" s="870" t="s">
        <v>223</v>
      </c>
      <c r="JC5" s="718" t="s">
        <v>408</v>
      </c>
      <c r="JD5" s="719">
        <v>44911</v>
      </c>
      <c r="JE5" s="720">
        <v>19052.3</v>
      </c>
      <c r="JF5" s="717">
        <v>21</v>
      </c>
      <c r="JG5" s="721">
        <v>19018.2</v>
      </c>
      <c r="JH5" s="138">
        <f>JE5-JG5</f>
        <v>34.099999999998545</v>
      </c>
      <c r="JI5" s="397"/>
      <c r="JK5" s="1191" t="s">
        <v>222</v>
      </c>
      <c r="JL5" s="1085" t="s">
        <v>223</v>
      </c>
      <c r="JM5" s="724" t="s">
        <v>409</v>
      </c>
      <c r="JN5" s="719">
        <v>44912</v>
      </c>
      <c r="JO5" s="720">
        <v>19132.05</v>
      </c>
      <c r="JP5" s="717">
        <v>21</v>
      </c>
      <c r="JQ5" s="700">
        <v>19056.099999999999</v>
      </c>
      <c r="JR5" s="138">
        <f>JO5-JQ5</f>
        <v>75.950000000000728</v>
      </c>
      <c r="JS5" s="397"/>
      <c r="JU5" s="716" t="s">
        <v>222</v>
      </c>
      <c r="JV5" s="870" t="s">
        <v>223</v>
      </c>
      <c r="JW5" s="718" t="s">
        <v>410</v>
      </c>
      <c r="JX5" s="719">
        <v>44912</v>
      </c>
      <c r="JY5" s="720">
        <v>19022.099999999999</v>
      </c>
      <c r="JZ5" s="717">
        <v>21</v>
      </c>
      <c r="KA5" s="721">
        <v>18972.900000000001</v>
      </c>
      <c r="KB5" s="138">
        <f>JY5-KA5</f>
        <v>49.19999999999709</v>
      </c>
      <c r="KC5" s="397"/>
      <c r="KE5" s="1193" t="s">
        <v>222</v>
      </c>
      <c r="KF5" s="870" t="s">
        <v>223</v>
      </c>
      <c r="KG5" s="718" t="s">
        <v>411</v>
      </c>
      <c r="KH5" s="719">
        <v>44915</v>
      </c>
      <c r="KI5" s="720">
        <v>19011.71</v>
      </c>
      <c r="KJ5" s="717">
        <v>21</v>
      </c>
      <c r="KK5" s="721">
        <v>19014.5</v>
      </c>
      <c r="KL5" s="138">
        <f>KI5-KK5</f>
        <v>-2.7900000000008731</v>
      </c>
      <c r="KM5" s="397"/>
      <c r="KO5" s="716" t="s">
        <v>220</v>
      </c>
      <c r="KP5" s="871" t="s">
        <v>412</v>
      </c>
      <c r="KQ5" s="718" t="s">
        <v>413</v>
      </c>
      <c r="KR5" s="719">
        <v>44915</v>
      </c>
      <c r="KS5" s="720">
        <v>18789.09</v>
      </c>
      <c r="KT5" s="717">
        <v>20</v>
      </c>
      <c r="KU5" s="721">
        <v>18755.48</v>
      </c>
      <c r="KV5" s="138">
        <f>KS5-KU5</f>
        <v>33.610000000000582</v>
      </c>
      <c r="KW5" s="397"/>
      <c r="KY5" s="716" t="s">
        <v>222</v>
      </c>
      <c r="KZ5" s="870" t="s">
        <v>223</v>
      </c>
      <c r="LA5" s="718" t="s">
        <v>414</v>
      </c>
      <c r="LB5" s="722">
        <v>44916</v>
      </c>
      <c r="LC5" s="720">
        <v>19050.21</v>
      </c>
      <c r="LD5" s="717">
        <v>21</v>
      </c>
      <c r="LE5" s="721">
        <v>18981.900000000001</v>
      </c>
      <c r="LF5" s="138">
        <f>LC5-LE5</f>
        <v>68.309999999997672</v>
      </c>
      <c r="LG5" s="397"/>
      <c r="LH5" s="75" t="s">
        <v>41</v>
      </c>
      <c r="LI5" s="723" t="s">
        <v>220</v>
      </c>
      <c r="LJ5" s="871" t="s">
        <v>415</v>
      </c>
      <c r="LK5" s="724" t="s">
        <v>416</v>
      </c>
      <c r="LL5" s="719">
        <v>44916</v>
      </c>
      <c r="LM5" s="720">
        <v>18670.64</v>
      </c>
      <c r="LN5" s="717">
        <v>20</v>
      </c>
      <c r="LO5" s="721">
        <v>18728.29</v>
      </c>
      <c r="LP5" s="138">
        <f>LM5-LO5</f>
        <v>-57.650000000001455</v>
      </c>
      <c r="LQ5" s="397"/>
      <c r="LS5" s="723" t="s">
        <v>222</v>
      </c>
      <c r="LT5" s="870" t="s">
        <v>223</v>
      </c>
      <c r="LU5" s="725" t="s">
        <v>417</v>
      </c>
      <c r="LV5" s="719">
        <v>44917</v>
      </c>
      <c r="LW5" s="720">
        <v>18579.03</v>
      </c>
      <c r="LX5" s="717">
        <v>21</v>
      </c>
      <c r="LY5" s="721">
        <v>18686.400000000001</v>
      </c>
      <c r="LZ5" s="138">
        <f>LW5-LY5</f>
        <v>-107.37000000000262</v>
      </c>
      <c r="MA5" s="397"/>
      <c r="MB5" s="244"/>
      <c r="MC5" s="75" t="s">
        <v>222</v>
      </c>
      <c r="MD5" s="870" t="s">
        <v>223</v>
      </c>
      <c r="ME5" s="225" t="s">
        <v>418</v>
      </c>
      <c r="MF5" s="135">
        <v>44917</v>
      </c>
      <c r="MG5" s="86">
        <v>19089.29</v>
      </c>
      <c r="MH5" s="73">
        <v>21</v>
      </c>
      <c r="MI5" s="48">
        <v>19014.3</v>
      </c>
      <c r="MJ5" s="138">
        <f>MG5-MI5</f>
        <v>74.990000000001601</v>
      </c>
      <c r="MK5" s="138"/>
      <c r="MM5" s="75" t="s">
        <v>220</v>
      </c>
      <c r="MN5" s="871" t="s">
        <v>221</v>
      </c>
      <c r="MO5" s="225" t="s">
        <v>419</v>
      </c>
      <c r="MP5" s="135">
        <v>44917</v>
      </c>
      <c r="MQ5" s="86">
        <v>18357.23</v>
      </c>
      <c r="MR5" s="73">
        <v>20</v>
      </c>
      <c r="MS5" s="48">
        <v>18390.810000000001</v>
      </c>
      <c r="MT5" s="138">
        <f>MQ5-MS5</f>
        <v>-33.580000000001746</v>
      </c>
      <c r="MU5" s="138"/>
      <c r="MW5" s="75" t="s">
        <v>222</v>
      </c>
      <c r="MX5" s="870" t="s">
        <v>223</v>
      </c>
      <c r="MY5" s="225" t="s">
        <v>420</v>
      </c>
      <c r="MZ5" s="135">
        <v>44918</v>
      </c>
      <c r="NA5" s="86">
        <v>19059.93</v>
      </c>
      <c r="NB5" s="73">
        <v>21</v>
      </c>
      <c r="NC5" s="48">
        <v>19064.400000000001</v>
      </c>
      <c r="ND5" s="138">
        <f>NA5-NC5</f>
        <v>-4.4700000000011642</v>
      </c>
      <c r="NE5" s="138"/>
      <c r="NG5" s="75" t="s">
        <v>222</v>
      </c>
      <c r="NH5" s="870" t="s">
        <v>223</v>
      </c>
      <c r="NI5" s="102" t="s">
        <v>421</v>
      </c>
      <c r="NJ5" s="135">
        <v>44918</v>
      </c>
      <c r="NK5" s="86">
        <v>19147.78</v>
      </c>
      <c r="NL5" s="73">
        <v>21</v>
      </c>
      <c r="NM5" s="48">
        <v>19183.3</v>
      </c>
      <c r="NN5" s="138">
        <f>NK5-NM5</f>
        <v>-35.520000000000437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193"/>
      <c r="L6" s="727"/>
      <c r="M6" s="723"/>
      <c r="N6" s="723"/>
      <c r="O6" s="723"/>
      <c r="P6" s="723"/>
      <c r="Q6" s="717"/>
      <c r="S6" s="244"/>
      <c r="U6" s="716"/>
      <c r="V6" s="727"/>
      <c r="W6" s="723"/>
      <c r="X6" s="723"/>
      <c r="Y6" s="723"/>
      <c r="Z6" s="723"/>
      <c r="AA6" s="717"/>
      <c r="AC6" s="244"/>
      <c r="AE6" s="226"/>
      <c r="AF6" s="280"/>
      <c r="AK6" s="73"/>
      <c r="AM6" s="244"/>
      <c r="AP6" s="228"/>
      <c r="AU6" s="73"/>
      <c r="AZ6" s="228"/>
      <c r="BE6" s="73"/>
      <c r="BI6" s="1189"/>
      <c r="BJ6" s="726"/>
      <c r="BK6" s="723"/>
      <c r="BL6" s="723"/>
      <c r="BM6" s="723"/>
      <c r="BN6" s="723"/>
      <c r="BO6" s="717"/>
      <c r="BQ6" s="244"/>
      <c r="BS6" s="1192"/>
      <c r="BT6" s="727"/>
      <c r="BU6" s="723"/>
      <c r="BV6" s="723"/>
      <c r="BW6" s="723"/>
      <c r="BX6" s="723"/>
      <c r="BY6" s="717"/>
      <c r="CA6" s="244"/>
      <c r="CB6" s="244"/>
      <c r="CC6" s="716"/>
      <c r="CD6" s="727"/>
      <c r="CE6" s="723"/>
      <c r="CF6" s="723"/>
      <c r="CG6" s="723"/>
      <c r="CH6" s="723"/>
      <c r="CI6" s="717"/>
      <c r="CK6" s="244"/>
      <c r="CL6" s="244"/>
      <c r="CM6" s="1189"/>
      <c r="CN6" s="728"/>
      <c r="CO6" s="723"/>
      <c r="CP6" s="723"/>
      <c r="CQ6" s="723"/>
      <c r="CR6" s="723"/>
      <c r="CS6" s="717"/>
      <c r="CU6" s="244"/>
      <c r="CW6" s="226"/>
      <c r="CX6" s="228"/>
      <c r="DC6" s="73"/>
      <c r="DE6" s="244"/>
      <c r="DG6" s="62"/>
      <c r="DH6" s="228"/>
      <c r="DM6" s="73"/>
      <c r="DO6" s="244"/>
      <c r="DQ6" s="1191"/>
      <c r="DR6" s="727"/>
      <c r="DS6" s="723"/>
      <c r="DT6" s="723"/>
      <c r="DU6" s="723"/>
      <c r="DV6" s="723"/>
      <c r="DW6" s="717"/>
      <c r="DY6" s="244"/>
      <c r="EA6" s="723"/>
      <c r="EB6" s="727"/>
      <c r="EC6" s="723"/>
      <c r="ED6" s="723"/>
      <c r="EE6" s="723"/>
      <c r="EF6" s="723"/>
      <c r="EG6" s="717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22"/>
      <c r="GJ6" s="823"/>
      <c r="GK6" s="723"/>
      <c r="GL6" s="723"/>
      <c r="GM6" s="723"/>
      <c r="GN6" s="723"/>
      <c r="GO6" s="717"/>
      <c r="GQ6" s="244"/>
      <c r="GS6" s="1189"/>
      <c r="GT6" s="733"/>
      <c r="GU6" s="723"/>
      <c r="GV6" s="723"/>
      <c r="GW6" s="723"/>
      <c r="GX6" s="723"/>
      <c r="GY6" s="717"/>
      <c r="HA6" s="244"/>
      <c r="HC6" s="1192"/>
      <c r="HD6" s="727"/>
      <c r="HE6" s="723"/>
      <c r="HF6" s="723"/>
      <c r="HG6" s="723"/>
      <c r="HH6" s="723"/>
      <c r="HI6" s="717"/>
      <c r="HK6" s="244"/>
      <c r="HM6" s="176"/>
      <c r="HN6" s="228"/>
      <c r="HS6" s="73"/>
      <c r="HU6" s="244"/>
      <c r="HW6" s="1189"/>
      <c r="HX6" s="723"/>
      <c r="HY6" s="723"/>
      <c r="HZ6" s="723"/>
      <c r="IA6" s="723"/>
      <c r="IB6" s="723"/>
      <c r="IC6" s="717"/>
      <c r="IE6" s="244"/>
      <c r="IG6" s="1189"/>
      <c r="IH6" s="723"/>
      <c r="II6" s="723"/>
      <c r="IJ6" s="723"/>
      <c r="IK6" s="723"/>
      <c r="IL6" s="723"/>
      <c r="IM6" s="717"/>
      <c r="IO6" s="244"/>
      <c r="IQ6" s="1189"/>
      <c r="IR6" s="727"/>
      <c r="IS6" s="723"/>
      <c r="IT6" s="723"/>
      <c r="IU6" s="723"/>
      <c r="IV6" s="723"/>
      <c r="IW6" s="717"/>
      <c r="IY6" s="244"/>
      <c r="JA6" s="723"/>
      <c r="JB6" s="723"/>
      <c r="JC6" s="723"/>
      <c r="JD6" s="723"/>
      <c r="JE6" s="723"/>
      <c r="JF6" s="723"/>
      <c r="JG6" s="717"/>
      <c r="JI6" s="244"/>
      <c r="JK6" s="1191"/>
      <c r="JL6" s="727"/>
      <c r="JM6" s="723"/>
      <c r="JN6" s="723"/>
      <c r="JO6" s="723"/>
      <c r="JP6" s="723"/>
      <c r="JQ6" s="717"/>
      <c r="JS6" s="244"/>
      <c r="JU6" s="716"/>
      <c r="JV6" s="727"/>
      <c r="JW6" s="723"/>
      <c r="JX6" s="723"/>
      <c r="JY6" s="723"/>
      <c r="JZ6" s="723"/>
      <c r="KA6" s="717"/>
      <c r="KC6" s="244"/>
      <c r="KE6" s="1193"/>
      <c r="KF6" s="727"/>
      <c r="KG6" s="723"/>
      <c r="KH6" s="723"/>
      <c r="KI6" s="723"/>
      <c r="KJ6" s="723"/>
      <c r="KK6" s="717"/>
      <c r="KM6" s="244"/>
      <c r="KO6" s="716"/>
      <c r="KP6" s="727"/>
      <c r="KQ6" s="723"/>
      <c r="KR6" s="723"/>
      <c r="KS6" s="723"/>
      <c r="KT6" s="723"/>
      <c r="KU6" s="717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868.2</v>
      </c>
      <c r="Y8" s="253"/>
      <c r="Z8" s="702"/>
      <c r="AA8" s="703"/>
      <c r="AB8" s="704"/>
      <c r="AC8" s="394">
        <f>AB8*Z8</f>
        <v>0</v>
      </c>
      <c r="AE8" s="61"/>
      <c r="AF8" s="106"/>
      <c r="AG8" s="15">
        <v>1</v>
      </c>
      <c r="AH8" s="92">
        <v>932.13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880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890.9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936.66</v>
      </c>
      <c r="BM8" s="135"/>
      <c r="BN8" s="92"/>
      <c r="BO8" s="95"/>
      <c r="BP8" s="289"/>
      <c r="BQ8" s="482">
        <f>BP8*BN8</f>
        <v>0</v>
      </c>
      <c r="BR8" s="394"/>
      <c r="BS8" s="61"/>
      <c r="BT8" s="106"/>
      <c r="BU8" s="15">
        <v>1</v>
      </c>
      <c r="BV8" s="92"/>
      <c r="BW8" s="290"/>
      <c r="BX8" s="92"/>
      <c r="BY8" s="582"/>
      <c r="BZ8" s="291"/>
      <c r="CA8" s="394">
        <f>BZ8*BX8</f>
        <v>0</v>
      </c>
      <c r="CC8" s="61"/>
      <c r="CD8" s="213"/>
      <c r="CE8" s="15">
        <v>1</v>
      </c>
      <c r="CF8" s="92">
        <v>938.9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934.4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938.02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02">
        <v>886.3</v>
      </c>
      <c r="DK8" s="729"/>
      <c r="DL8" s="702"/>
      <c r="DM8" s="730"/>
      <c r="DN8" s="731"/>
      <c r="DO8" s="399">
        <f>DN8*DL8</f>
        <v>0</v>
      </c>
      <c r="DQ8" s="61"/>
      <c r="DR8" s="106"/>
      <c r="DS8" s="15">
        <v>1</v>
      </c>
      <c r="DT8" s="92">
        <v>891.76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919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933.5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868.2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881.8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944.37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900.8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889.9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889.9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936.21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895.39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940.75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940.7</v>
      </c>
      <c r="IK8" s="253"/>
      <c r="IL8" s="92"/>
      <c r="IM8" s="70"/>
      <c r="IN8" s="71"/>
      <c r="IO8" s="394">
        <f>IN8*IL8</f>
        <v>0</v>
      </c>
      <c r="IQ8" s="487"/>
      <c r="IR8" s="106"/>
      <c r="IS8" s="15">
        <v>1</v>
      </c>
      <c r="IT8" s="92">
        <v>893.6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922.6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915.3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910.8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887.2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923.06</v>
      </c>
      <c r="KS8" s="253"/>
      <c r="KT8" s="702"/>
      <c r="KU8" s="703"/>
      <c r="KV8" s="704"/>
      <c r="KW8" s="394">
        <f>KV8*KT8</f>
        <v>0</v>
      </c>
      <c r="KY8" s="61"/>
      <c r="KZ8" s="106"/>
      <c r="LA8" s="15">
        <v>1</v>
      </c>
      <c r="LB8" s="92">
        <v>894.5</v>
      </c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>
        <v>938.93</v>
      </c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>
        <v>896.3</v>
      </c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>
        <v>894.5</v>
      </c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>
        <v>899.02</v>
      </c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>
        <v>938.9</v>
      </c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>
        <v>897.2</v>
      </c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90509303</v>
      </c>
      <c r="E9" s="135">
        <f t="shared" si="6"/>
        <v>44898</v>
      </c>
      <c r="F9" s="86">
        <f t="shared" si="6"/>
        <v>18435.43</v>
      </c>
      <c r="G9" s="73">
        <f t="shared" si="6"/>
        <v>20</v>
      </c>
      <c r="H9" s="48">
        <f t="shared" si="6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898.1</v>
      </c>
      <c r="Y9" s="253"/>
      <c r="Z9" s="705"/>
      <c r="AA9" s="703"/>
      <c r="AB9" s="704"/>
      <c r="AC9" s="394">
        <f t="shared" ref="AC9:AC28" si="8">AB9*Z9</f>
        <v>0</v>
      </c>
      <c r="AF9" s="94"/>
      <c r="AG9" s="15">
        <v>2</v>
      </c>
      <c r="AH9" s="92">
        <v>939.38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922.6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897.2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882.23</v>
      </c>
      <c r="BM9" s="135"/>
      <c r="BN9" s="92"/>
      <c r="BO9" s="95"/>
      <c r="BP9" s="289"/>
      <c r="BQ9" s="482">
        <f t="shared" ref="BQ9:BQ29" si="12">BP9*BN9</f>
        <v>0</v>
      </c>
      <c r="BR9" s="394"/>
      <c r="BT9" s="106"/>
      <c r="BU9" s="15">
        <v>2</v>
      </c>
      <c r="BV9" s="92"/>
      <c r="BW9" s="290"/>
      <c r="BX9" s="92"/>
      <c r="BY9" s="582"/>
      <c r="BZ9" s="291"/>
      <c r="CA9" s="394">
        <f t="shared" ref="CA9:CA28" si="13">BZ9*BX9</f>
        <v>0</v>
      </c>
      <c r="CD9" s="213"/>
      <c r="CE9" s="15">
        <v>2</v>
      </c>
      <c r="CF9" s="92">
        <v>889.9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884.5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931.67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02">
        <v>894.5</v>
      </c>
      <c r="DK9" s="729"/>
      <c r="DL9" s="702"/>
      <c r="DM9" s="730"/>
      <c r="DN9" s="731"/>
      <c r="DO9" s="399">
        <f t="shared" ref="DO9:DO29" si="16">DN9*DL9</f>
        <v>0</v>
      </c>
      <c r="DR9" s="94"/>
      <c r="DS9" s="15">
        <v>2</v>
      </c>
      <c r="DT9" s="92">
        <v>922.15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884.5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878.6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897.2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892.7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946.19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886.3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934.4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886.3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904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902.64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969.78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924.4</v>
      </c>
      <c r="IK9" s="253"/>
      <c r="IL9" s="69"/>
      <c r="IM9" s="70"/>
      <c r="IN9" s="71"/>
      <c r="IO9" s="394">
        <f t="shared" ref="IO9:IO29" si="28">IN9*IL9</f>
        <v>0</v>
      </c>
      <c r="IQ9" s="488"/>
      <c r="IR9" s="94"/>
      <c r="IS9" s="15">
        <v>2</v>
      </c>
      <c r="IT9" s="92">
        <v>916.3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884.5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921.7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870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930.8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959.34</v>
      </c>
      <c r="KS9" s="253"/>
      <c r="KT9" s="705"/>
      <c r="KU9" s="703"/>
      <c r="KV9" s="704"/>
      <c r="KW9" s="394">
        <f t="shared" ref="KW9:KW28" si="34">KV9*KT9</f>
        <v>0</v>
      </c>
      <c r="KZ9" s="94"/>
      <c r="LA9" s="15">
        <v>2</v>
      </c>
      <c r="LB9" s="92">
        <v>931.7</v>
      </c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>
        <v>915.8</v>
      </c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>
        <v>885</v>
      </c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>
        <v>935.3</v>
      </c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>
        <v>951.18</v>
      </c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>
        <v>919.9</v>
      </c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>
        <v>892.7</v>
      </c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 xml:space="preserve">OJAI ALIMENTOS SA DE CV </v>
      </c>
      <c r="C10" s="75" t="str">
        <f t="shared" si="47"/>
        <v>CERDO EN COMBO</v>
      </c>
      <c r="D10" s="102">
        <f t="shared" si="47"/>
        <v>0</v>
      </c>
      <c r="E10" s="135">
        <f t="shared" si="47"/>
        <v>44898</v>
      </c>
      <c r="F10" s="86">
        <f t="shared" si="47"/>
        <v>1123</v>
      </c>
      <c r="G10" s="73">
        <f t="shared" si="47"/>
        <v>2</v>
      </c>
      <c r="H10" s="48">
        <f t="shared" si="47"/>
        <v>1123</v>
      </c>
      <c r="I10" s="105">
        <f t="shared" si="47"/>
        <v>0</v>
      </c>
      <c r="L10" s="106"/>
      <c r="M10" s="15">
        <v>3</v>
      </c>
      <c r="N10" s="69">
        <v>893.6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914.4</v>
      </c>
      <c r="Y10" s="253"/>
      <c r="Z10" s="705"/>
      <c r="AA10" s="703"/>
      <c r="AB10" s="704"/>
      <c r="AC10" s="394">
        <f t="shared" si="8"/>
        <v>0</v>
      </c>
      <c r="AF10" s="94"/>
      <c r="AG10" s="15">
        <v>3</v>
      </c>
      <c r="AH10" s="92">
        <v>934.85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939.8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912.6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943.92</v>
      </c>
      <c r="BM10" s="135"/>
      <c r="BN10" s="92"/>
      <c r="BO10" s="95"/>
      <c r="BP10" s="289"/>
      <c r="BQ10" s="482">
        <f t="shared" si="12"/>
        <v>0</v>
      </c>
      <c r="BR10" s="394"/>
      <c r="BT10" s="106"/>
      <c r="BU10" s="15">
        <v>3</v>
      </c>
      <c r="BV10" s="92"/>
      <c r="BW10" s="290"/>
      <c r="BX10" s="92"/>
      <c r="BY10" s="582"/>
      <c r="BZ10" s="291"/>
      <c r="CA10" s="394">
        <f t="shared" si="13"/>
        <v>0</v>
      </c>
      <c r="CD10" s="213"/>
      <c r="CE10" s="15">
        <v>3</v>
      </c>
      <c r="CF10" s="92">
        <v>875.4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935.3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944.37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02">
        <v>871.8</v>
      </c>
      <c r="DK10" s="729"/>
      <c r="DL10" s="702"/>
      <c r="DM10" s="730"/>
      <c r="DN10" s="731"/>
      <c r="DO10" s="399">
        <f t="shared" si="16"/>
        <v>0</v>
      </c>
      <c r="DR10" s="94"/>
      <c r="DS10" s="15">
        <v>3</v>
      </c>
      <c r="DT10" s="92">
        <v>920.33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881.8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889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907.2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950.72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870.9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912.6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925.3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946.64</v>
      </c>
      <c r="HG10" s="245"/>
      <c r="HH10" s="702"/>
      <c r="HI10" s="964"/>
      <c r="HJ10" s="71"/>
      <c r="HK10" s="394">
        <f t="shared" si="26"/>
        <v>0</v>
      </c>
      <c r="HN10" s="94"/>
      <c r="HO10" s="15">
        <v>3</v>
      </c>
      <c r="HP10" s="92">
        <v>904.46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964.33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864.5</v>
      </c>
      <c r="IK10" s="253"/>
      <c r="IL10" s="69"/>
      <c r="IM10" s="70"/>
      <c r="IN10" s="71"/>
      <c r="IO10" s="394">
        <f t="shared" si="28"/>
        <v>0</v>
      </c>
      <c r="IQ10" s="489"/>
      <c r="IR10" s="94"/>
      <c r="IS10" s="15">
        <v>3</v>
      </c>
      <c r="IT10" s="92">
        <v>895.4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920.8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922.6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896.3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902.2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930.77</v>
      </c>
      <c r="KS10" s="253"/>
      <c r="KT10" s="705"/>
      <c r="KU10" s="703"/>
      <c r="KV10" s="704"/>
      <c r="KW10" s="394">
        <f t="shared" si="34"/>
        <v>0</v>
      </c>
      <c r="KZ10" s="94"/>
      <c r="LA10" s="15">
        <v>3</v>
      </c>
      <c r="LB10" s="92">
        <v>911.7</v>
      </c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>
        <v>915.34</v>
      </c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>
        <v>876.8</v>
      </c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>
        <v>932.6</v>
      </c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>
        <v>906.27</v>
      </c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>
        <v>917.2</v>
      </c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>
        <v>899</v>
      </c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90587790</v>
      </c>
      <c r="E11" s="135">
        <f t="shared" si="49"/>
        <v>44901</v>
      </c>
      <c r="F11" s="86">
        <f t="shared" si="49"/>
        <v>18014.7</v>
      </c>
      <c r="G11" s="73">
        <f t="shared" si="49"/>
        <v>20</v>
      </c>
      <c r="H11" s="48">
        <f t="shared" si="49"/>
        <v>18032</v>
      </c>
      <c r="I11" s="105">
        <f t="shared" si="49"/>
        <v>-17.299999999999272</v>
      </c>
      <c r="K11" s="61"/>
      <c r="L11" s="106"/>
      <c r="M11" s="15">
        <v>4</v>
      </c>
      <c r="N11" s="69">
        <v>911.7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911.7</v>
      </c>
      <c r="Y11" s="253"/>
      <c r="Z11" s="705"/>
      <c r="AA11" s="703"/>
      <c r="AB11" s="704"/>
      <c r="AC11" s="394">
        <f t="shared" si="8"/>
        <v>0</v>
      </c>
      <c r="AE11" s="61"/>
      <c r="AF11" s="106"/>
      <c r="AG11" s="15">
        <v>4</v>
      </c>
      <c r="AH11" s="92">
        <v>948.91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908.2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883.6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965.24</v>
      </c>
      <c r="BM11" s="135"/>
      <c r="BN11" s="92"/>
      <c r="BO11" s="95"/>
      <c r="BP11" s="289"/>
      <c r="BQ11" s="482">
        <f t="shared" si="12"/>
        <v>0</v>
      </c>
      <c r="BR11" s="394"/>
      <c r="BS11" s="61"/>
      <c r="BT11" s="106"/>
      <c r="BU11" s="15">
        <v>4</v>
      </c>
      <c r="BV11" s="92"/>
      <c r="BW11" s="290"/>
      <c r="BX11" s="92"/>
      <c r="BY11" s="582"/>
      <c r="BZ11" s="291"/>
      <c r="CA11" s="394">
        <f t="shared" si="13"/>
        <v>0</v>
      </c>
      <c r="CC11" s="61"/>
      <c r="CD11" s="213"/>
      <c r="CE11" s="15">
        <v>4</v>
      </c>
      <c r="CF11" s="92">
        <v>901.7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932.6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915.34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02">
        <v>913.5</v>
      </c>
      <c r="DK11" s="729"/>
      <c r="DL11" s="702"/>
      <c r="DM11" s="730"/>
      <c r="DN11" s="731"/>
      <c r="DO11" s="399">
        <f t="shared" si="16"/>
        <v>0</v>
      </c>
      <c r="DQ11" s="61"/>
      <c r="DR11" s="106"/>
      <c r="DS11" s="15">
        <v>4</v>
      </c>
      <c r="DT11" s="92">
        <v>918.52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899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902.2</v>
      </c>
      <c r="EO11" s="253"/>
      <c r="EP11" s="69"/>
      <c r="EQ11" s="70"/>
      <c r="ER11" s="71"/>
      <c r="ES11" s="394">
        <f t="shared" si="19"/>
        <v>0</v>
      </c>
      <c r="EU11" s="504"/>
      <c r="EV11" s="332"/>
      <c r="EW11" s="15">
        <v>4</v>
      </c>
      <c r="EX11" s="92">
        <v>914.4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899.9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952.54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894.5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897.2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926.2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928.5</v>
      </c>
      <c r="HG11" s="245"/>
      <c r="HH11" s="702"/>
      <c r="HI11" s="964"/>
      <c r="HJ11" s="71"/>
      <c r="HK11" s="394">
        <f t="shared" si="26"/>
        <v>0</v>
      </c>
      <c r="HM11" s="61"/>
      <c r="HN11" s="106"/>
      <c r="HO11" s="15">
        <v>4</v>
      </c>
      <c r="HP11" s="92">
        <v>884.5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924.42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917.2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888.1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934.4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905.4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866.4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861.8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920.33</v>
      </c>
      <c r="KS11" s="253"/>
      <c r="KT11" s="705"/>
      <c r="KU11" s="703"/>
      <c r="KV11" s="704"/>
      <c r="KW11" s="394">
        <f t="shared" si="34"/>
        <v>0</v>
      </c>
      <c r="KY11" s="61"/>
      <c r="KZ11" s="106"/>
      <c r="LA11" s="15">
        <v>4</v>
      </c>
      <c r="LB11" s="92">
        <v>909.9</v>
      </c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>
        <v>943.92</v>
      </c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>
        <v>930.8</v>
      </c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>
        <v>916.3</v>
      </c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>
        <v>904</v>
      </c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>
        <v>919</v>
      </c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>
        <v>892.7</v>
      </c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90644060</v>
      </c>
      <c r="E12" s="135">
        <f t="shared" si="50"/>
        <v>44901</v>
      </c>
      <c r="F12" s="86">
        <f t="shared" si="50"/>
        <v>19221</v>
      </c>
      <c r="G12" s="73">
        <f t="shared" si="50"/>
        <v>21</v>
      </c>
      <c r="H12" s="48">
        <f t="shared" si="50"/>
        <v>19080.599999999999</v>
      </c>
      <c r="I12" s="105">
        <f t="shared" si="50"/>
        <v>140.40000000000146</v>
      </c>
      <c r="L12" s="106"/>
      <c r="M12" s="15">
        <v>5</v>
      </c>
      <c r="N12" s="69">
        <v>866.4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898.1</v>
      </c>
      <c r="Y12" s="253"/>
      <c r="Z12" s="705"/>
      <c r="AA12" s="703"/>
      <c r="AB12" s="704"/>
      <c r="AC12" s="394">
        <f t="shared" si="8"/>
        <v>0</v>
      </c>
      <c r="AF12" s="106"/>
      <c r="AG12" s="15">
        <v>5</v>
      </c>
      <c r="AH12" s="92">
        <v>936.2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898.1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920.9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975.22</v>
      </c>
      <c r="BM12" s="135"/>
      <c r="BN12" s="92"/>
      <c r="BO12" s="95"/>
      <c r="BP12" s="289"/>
      <c r="BQ12" s="482">
        <f t="shared" si="12"/>
        <v>0</v>
      </c>
      <c r="BR12" s="394"/>
      <c r="BT12" s="106"/>
      <c r="BU12" s="15">
        <v>5</v>
      </c>
      <c r="BV12" s="92"/>
      <c r="BW12" s="290"/>
      <c r="BX12" s="92"/>
      <c r="BY12" s="582"/>
      <c r="BZ12" s="291"/>
      <c r="CA12" s="394">
        <f t="shared" si="13"/>
        <v>0</v>
      </c>
      <c r="CD12" s="213"/>
      <c r="CE12" s="15">
        <v>5</v>
      </c>
      <c r="CF12" s="92">
        <v>891.8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883.6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916.71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02">
        <v>899.9</v>
      </c>
      <c r="DK12" s="729"/>
      <c r="DL12" s="702"/>
      <c r="DM12" s="730"/>
      <c r="DN12" s="731"/>
      <c r="DO12" s="399">
        <f t="shared" si="16"/>
        <v>0</v>
      </c>
      <c r="DR12" s="106"/>
      <c r="DS12" s="15">
        <v>5</v>
      </c>
      <c r="DT12" s="92">
        <v>934.4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891.8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939.4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891.8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914.4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964.33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879.1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893.6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936.2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896.29</v>
      </c>
      <c r="HG12" s="245"/>
      <c r="HH12" s="702"/>
      <c r="HI12" s="964"/>
      <c r="HJ12" s="71"/>
      <c r="HK12" s="394">
        <f t="shared" si="26"/>
        <v>0</v>
      </c>
      <c r="HN12" s="106"/>
      <c r="HO12" s="15">
        <v>5</v>
      </c>
      <c r="HP12" s="92">
        <v>917.16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959.8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931.7</v>
      </c>
      <c r="IK12" s="253"/>
      <c r="IL12" s="69"/>
      <c r="IM12" s="70"/>
      <c r="IN12" s="71"/>
      <c r="IO12" s="394">
        <f t="shared" si="28"/>
        <v>0</v>
      </c>
      <c r="IQ12" s="489"/>
      <c r="IR12" s="106"/>
      <c r="IS12" s="15">
        <v>5</v>
      </c>
      <c r="IT12" s="92">
        <v>935.3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881.8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920.8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906.3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893.6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930.77</v>
      </c>
      <c r="KS12" s="253"/>
      <c r="KT12" s="705"/>
      <c r="KU12" s="703"/>
      <c r="KV12" s="704"/>
      <c r="KW12" s="394">
        <f t="shared" si="34"/>
        <v>0</v>
      </c>
      <c r="KZ12" s="106"/>
      <c r="LA12" s="15">
        <v>5</v>
      </c>
      <c r="LB12" s="92">
        <v>927.1</v>
      </c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>
        <v>940.29</v>
      </c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>
        <v>917.6</v>
      </c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>
        <v>899.9</v>
      </c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>
        <v>959.34</v>
      </c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>
        <v>921.7</v>
      </c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>
        <v>909</v>
      </c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90707882</v>
      </c>
      <c r="E13" s="135">
        <f t="shared" si="51"/>
        <v>44902</v>
      </c>
      <c r="F13" s="86">
        <f t="shared" si="51"/>
        <v>18623.95</v>
      </c>
      <c r="G13" s="73">
        <f t="shared" si="51"/>
        <v>20</v>
      </c>
      <c r="H13" s="48">
        <f t="shared" si="51"/>
        <v>18651.62</v>
      </c>
      <c r="I13" s="105">
        <f t="shared" si="51"/>
        <v>-27.669999999998254</v>
      </c>
      <c r="L13" s="106"/>
      <c r="M13" s="15">
        <v>6</v>
      </c>
      <c r="N13" s="69">
        <v>896.3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880</v>
      </c>
      <c r="Y13" s="253"/>
      <c r="Z13" s="705"/>
      <c r="AA13" s="703"/>
      <c r="AB13" s="704"/>
      <c r="AC13" s="394">
        <f t="shared" si="8"/>
        <v>0</v>
      </c>
      <c r="AF13" s="106"/>
      <c r="AG13" s="15">
        <v>6</v>
      </c>
      <c r="AH13" s="92">
        <v>949.82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927.1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880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901.28</v>
      </c>
      <c r="BM13" s="135"/>
      <c r="BN13" s="92"/>
      <c r="BO13" s="95"/>
      <c r="BP13" s="289"/>
      <c r="BQ13" s="482">
        <f t="shared" si="12"/>
        <v>0</v>
      </c>
      <c r="BR13" s="394"/>
      <c r="BT13" s="106"/>
      <c r="BU13" s="15">
        <v>6</v>
      </c>
      <c r="BV13" s="92"/>
      <c r="BW13" s="290"/>
      <c r="BX13" s="92"/>
      <c r="BY13" s="582"/>
      <c r="BZ13" s="291"/>
      <c r="CA13" s="394">
        <f t="shared" si="13"/>
        <v>0</v>
      </c>
      <c r="CD13" s="213"/>
      <c r="CE13" s="15">
        <v>6</v>
      </c>
      <c r="CF13" s="92">
        <v>906.3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921.7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929.86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02">
        <v>929.9</v>
      </c>
      <c r="DK13" s="729"/>
      <c r="DL13" s="702"/>
      <c r="DM13" s="730"/>
      <c r="DN13" s="731"/>
      <c r="DO13" s="399">
        <f t="shared" si="16"/>
        <v>0</v>
      </c>
      <c r="DR13" s="106"/>
      <c r="DS13" s="15">
        <v>6</v>
      </c>
      <c r="DT13" s="92">
        <v>948.46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876.3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885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863.6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889.9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906.27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906.3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880.9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914.4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949.82</v>
      </c>
      <c r="HG13" s="245"/>
      <c r="HH13" s="702"/>
      <c r="HI13" s="964"/>
      <c r="HJ13" s="71"/>
      <c r="HK13" s="394">
        <f t="shared" si="26"/>
        <v>0</v>
      </c>
      <c r="HN13" s="106"/>
      <c r="HO13" s="15">
        <v>6</v>
      </c>
      <c r="HP13" s="92">
        <v>914.89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953.45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89"/>
      <c r="IR13" s="106"/>
      <c r="IS13" s="15">
        <v>6</v>
      </c>
      <c r="IT13" s="92">
        <v>913.5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934.4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929.9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916.3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935.3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933.49</v>
      </c>
      <c r="KS13" s="253"/>
      <c r="KT13" s="705"/>
      <c r="KU13" s="703"/>
      <c r="KV13" s="704"/>
      <c r="KW13" s="394">
        <f t="shared" si="34"/>
        <v>0</v>
      </c>
      <c r="KZ13" s="106"/>
      <c r="LA13" s="15">
        <v>6</v>
      </c>
      <c r="LB13" s="92">
        <v>913.5</v>
      </c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>
        <v>947.1</v>
      </c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>
        <v>887.2</v>
      </c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>
        <v>867.3</v>
      </c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>
        <v>903.55</v>
      </c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>
        <v>915.3</v>
      </c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>
        <v>910.8</v>
      </c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90757463</v>
      </c>
      <c r="E14" s="135">
        <f t="shared" si="52"/>
        <v>44903</v>
      </c>
      <c r="F14" s="86">
        <f t="shared" si="52"/>
        <v>18888.5</v>
      </c>
      <c r="G14" s="73">
        <f t="shared" si="52"/>
        <v>21</v>
      </c>
      <c r="H14" s="48">
        <f t="shared" si="52"/>
        <v>18798.7</v>
      </c>
      <c r="I14" s="105">
        <f t="shared" si="52"/>
        <v>89.799999999999272</v>
      </c>
      <c r="L14" s="106"/>
      <c r="M14" s="15">
        <v>7</v>
      </c>
      <c r="N14" s="69">
        <v>907.2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893.6</v>
      </c>
      <c r="Y14" s="253"/>
      <c r="Z14" s="705"/>
      <c r="AA14" s="703"/>
      <c r="AB14" s="704"/>
      <c r="AC14" s="394">
        <f t="shared" si="8"/>
        <v>0</v>
      </c>
      <c r="AF14" s="106"/>
      <c r="AG14" s="15">
        <v>7</v>
      </c>
      <c r="AH14" s="92">
        <v>973.4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875.4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884.5</v>
      </c>
      <c r="BC14" s="245"/>
      <c r="BD14" s="92"/>
      <c r="BE14" s="95"/>
      <c r="BF14" s="71"/>
      <c r="BG14" s="394">
        <f t="shared" si="11"/>
        <v>0</v>
      </c>
      <c r="BJ14" s="673"/>
      <c r="BK14" s="15">
        <v>7</v>
      </c>
      <c r="BL14" s="92">
        <v>870.44</v>
      </c>
      <c r="BM14" s="135"/>
      <c r="BN14" s="92"/>
      <c r="BO14" s="95"/>
      <c r="BP14" s="289"/>
      <c r="BQ14" s="482">
        <f t="shared" si="12"/>
        <v>0</v>
      </c>
      <c r="BR14" s="394"/>
      <c r="BT14" s="106"/>
      <c r="BU14" s="15">
        <v>7</v>
      </c>
      <c r="BV14" s="92"/>
      <c r="BW14" s="290"/>
      <c r="BX14" s="92"/>
      <c r="BY14" s="582"/>
      <c r="BZ14" s="291"/>
      <c r="CA14" s="394">
        <f t="shared" si="13"/>
        <v>0</v>
      </c>
      <c r="CD14" s="213"/>
      <c r="CE14" s="15">
        <v>7</v>
      </c>
      <c r="CF14" s="92">
        <v>893.6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867.3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934.85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02">
        <v>902.6</v>
      </c>
      <c r="DK14" s="729"/>
      <c r="DL14" s="702"/>
      <c r="DM14" s="730"/>
      <c r="DN14" s="731"/>
      <c r="DO14" s="399">
        <f t="shared" si="16"/>
        <v>0</v>
      </c>
      <c r="DR14" s="106"/>
      <c r="DS14" s="15">
        <v>7</v>
      </c>
      <c r="DT14" s="92">
        <v>947.55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938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920.8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863.6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913.5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941.65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925.3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901.7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909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910.8</v>
      </c>
      <c r="HG14" s="245"/>
      <c r="HH14" s="702"/>
      <c r="HI14" s="964"/>
      <c r="HJ14" s="71"/>
      <c r="HK14" s="394">
        <f t="shared" si="26"/>
        <v>0</v>
      </c>
      <c r="HN14" s="106"/>
      <c r="HO14" s="15">
        <v>7</v>
      </c>
      <c r="HP14" s="92">
        <v>891.3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941.65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881.8</v>
      </c>
      <c r="IK14" s="253"/>
      <c r="IL14" s="69"/>
      <c r="IM14" s="70"/>
      <c r="IN14" s="71"/>
      <c r="IO14" s="394">
        <f t="shared" si="28"/>
        <v>0</v>
      </c>
      <c r="IQ14" s="486"/>
      <c r="IR14" s="106"/>
      <c r="IS14" s="15">
        <v>7</v>
      </c>
      <c r="IT14" s="92">
        <v>911.7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914.4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900.8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911.7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914.9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938.02</v>
      </c>
      <c r="KS14" s="253"/>
      <c r="KT14" s="705"/>
      <c r="KU14" s="703"/>
      <c r="KV14" s="704"/>
      <c r="KW14" s="394">
        <f t="shared" si="34"/>
        <v>0</v>
      </c>
      <c r="KZ14" s="106"/>
      <c r="LA14" s="15">
        <v>7</v>
      </c>
      <c r="LB14" s="92">
        <v>909</v>
      </c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>
        <v>947.1</v>
      </c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>
        <v>862.7</v>
      </c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>
        <v>889.9</v>
      </c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>
        <v>933.49</v>
      </c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>
        <v>886.3</v>
      </c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>
        <v>925.3</v>
      </c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90722929</v>
      </c>
      <c r="E15" s="135">
        <f t="shared" si="53"/>
        <v>44903</v>
      </c>
      <c r="F15" s="86">
        <f t="shared" si="53"/>
        <v>18366.080000000002</v>
      </c>
      <c r="G15" s="73">
        <f t="shared" si="53"/>
        <v>20</v>
      </c>
      <c r="H15" s="48">
        <f t="shared" si="53"/>
        <v>18341.810000000001</v>
      </c>
      <c r="I15" s="105">
        <f t="shared" si="53"/>
        <v>24.270000000000437</v>
      </c>
      <c r="L15" s="106"/>
      <c r="M15" s="15">
        <v>8</v>
      </c>
      <c r="N15" s="69">
        <v>880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920.8</v>
      </c>
      <c r="Y15" s="253"/>
      <c r="Z15" s="705"/>
      <c r="AA15" s="703"/>
      <c r="AB15" s="704"/>
      <c r="AC15" s="394">
        <f t="shared" si="8"/>
        <v>0</v>
      </c>
      <c r="AF15" s="106"/>
      <c r="AG15" s="15">
        <v>8</v>
      </c>
      <c r="AH15" s="92">
        <v>960.25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903.6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901.7</v>
      </c>
      <c r="BC15" s="245"/>
      <c r="BD15" s="92"/>
      <c r="BE15" s="95"/>
      <c r="BF15" s="71"/>
      <c r="BG15" s="394">
        <f t="shared" si="11"/>
        <v>0</v>
      </c>
      <c r="BJ15" s="673"/>
      <c r="BK15" s="15">
        <v>8</v>
      </c>
      <c r="BL15" s="92">
        <v>880.87</v>
      </c>
      <c r="BM15" s="135"/>
      <c r="BN15" s="92"/>
      <c r="BO15" s="95"/>
      <c r="BP15" s="289"/>
      <c r="BQ15" s="482">
        <f t="shared" si="12"/>
        <v>0</v>
      </c>
      <c r="BR15" s="394"/>
      <c r="BT15" s="106"/>
      <c r="BU15" s="15">
        <v>8</v>
      </c>
      <c r="BV15" s="92"/>
      <c r="BW15" s="290"/>
      <c r="BX15" s="92"/>
      <c r="BY15" s="582"/>
      <c r="BZ15" s="291"/>
      <c r="CA15" s="394">
        <f t="shared" si="13"/>
        <v>0</v>
      </c>
      <c r="CD15" s="213"/>
      <c r="CE15" s="15">
        <v>8</v>
      </c>
      <c r="CF15" s="92">
        <v>919.9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935.3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947.1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02">
        <v>919.9</v>
      </c>
      <c r="DK15" s="729"/>
      <c r="DL15" s="702"/>
      <c r="DM15" s="730"/>
      <c r="DN15" s="731"/>
      <c r="DO15" s="399">
        <f t="shared" si="16"/>
        <v>0</v>
      </c>
      <c r="DR15" s="106"/>
      <c r="DS15" s="15">
        <v>8</v>
      </c>
      <c r="DT15" s="92">
        <v>924.87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880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927.6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889.9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899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949.82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899.9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867.3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903.6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902.19</v>
      </c>
      <c r="HG15" s="245"/>
      <c r="HH15" s="702"/>
      <c r="HI15" s="964"/>
      <c r="HJ15" s="71"/>
      <c r="HK15" s="394">
        <f t="shared" si="26"/>
        <v>0</v>
      </c>
      <c r="HN15" s="106"/>
      <c r="HO15" s="15">
        <v>8</v>
      </c>
      <c r="HP15" s="92">
        <v>879.51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928.04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899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940.7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883.6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874.5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919.9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880.4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935.76</v>
      </c>
      <c r="KS15" s="253"/>
      <c r="KT15" s="705"/>
      <c r="KU15" s="703"/>
      <c r="KV15" s="704"/>
      <c r="KW15" s="394">
        <f t="shared" si="34"/>
        <v>0</v>
      </c>
      <c r="KZ15" s="106"/>
      <c r="LA15" s="15">
        <v>8</v>
      </c>
      <c r="LB15" s="92">
        <v>913.5</v>
      </c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>
        <v>937.57</v>
      </c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>
        <v>901.3</v>
      </c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>
        <v>892.7</v>
      </c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>
        <v>925.79</v>
      </c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>
        <v>875.4</v>
      </c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>
        <v>906.3</v>
      </c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90825607</v>
      </c>
      <c r="E16" s="135">
        <f t="shared" si="54"/>
        <v>44904</v>
      </c>
      <c r="F16" s="86">
        <f t="shared" si="54"/>
        <v>18847.11</v>
      </c>
      <c r="G16" s="73">
        <f t="shared" si="54"/>
        <v>21</v>
      </c>
      <c r="H16" s="48">
        <f t="shared" si="54"/>
        <v>18871.3</v>
      </c>
      <c r="I16" s="105">
        <f t="shared" si="54"/>
        <v>-24.18999999999869</v>
      </c>
      <c r="L16" s="106"/>
      <c r="M16" s="15">
        <v>9</v>
      </c>
      <c r="N16" s="69">
        <v>892.7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916.3</v>
      </c>
      <c r="Y16" s="253"/>
      <c r="Z16" s="705"/>
      <c r="AA16" s="703"/>
      <c r="AB16" s="704"/>
      <c r="AC16" s="394">
        <f t="shared" si="8"/>
        <v>0</v>
      </c>
      <c r="AF16" s="106"/>
      <c r="AG16" s="15">
        <v>9</v>
      </c>
      <c r="AH16" s="92">
        <v>936.21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924.4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936.2</v>
      </c>
      <c r="BC16" s="245"/>
      <c r="BD16" s="92"/>
      <c r="BE16" s="95"/>
      <c r="BF16" s="71"/>
      <c r="BG16" s="394">
        <f t="shared" si="11"/>
        <v>0</v>
      </c>
      <c r="BJ16" s="673"/>
      <c r="BK16" s="15">
        <v>9</v>
      </c>
      <c r="BL16" s="92">
        <v>940.29</v>
      </c>
      <c r="BM16" s="135"/>
      <c r="BN16" s="92"/>
      <c r="BO16" s="95"/>
      <c r="BP16" s="289"/>
      <c r="BQ16" s="482">
        <f t="shared" si="12"/>
        <v>0</v>
      </c>
      <c r="BR16" s="394"/>
      <c r="BT16" s="106"/>
      <c r="BU16" s="15">
        <v>9</v>
      </c>
      <c r="BV16" s="92"/>
      <c r="BW16" s="290"/>
      <c r="BX16" s="92"/>
      <c r="BY16" s="582"/>
      <c r="BZ16" s="291"/>
      <c r="CA16" s="394">
        <f t="shared" si="13"/>
        <v>0</v>
      </c>
      <c r="CD16" s="213"/>
      <c r="CE16" s="15">
        <v>9</v>
      </c>
      <c r="CF16" s="92">
        <v>910.8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932.6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940.75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02">
        <v>916.3</v>
      </c>
      <c r="DK16" s="729"/>
      <c r="DL16" s="702"/>
      <c r="DM16" s="730"/>
      <c r="DN16" s="731"/>
      <c r="DO16" s="399">
        <f t="shared" si="16"/>
        <v>0</v>
      </c>
      <c r="DR16" s="106"/>
      <c r="DS16" s="15">
        <v>9</v>
      </c>
      <c r="DT16" s="92">
        <v>944.83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893.6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932.1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896.3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887.2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937.12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900.8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878.2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900.8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955.71</v>
      </c>
      <c r="HG16" s="245"/>
      <c r="HH16" s="702"/>
      <c r="HI16" s="964"/>
      <c r="HJ16" s="71"/>
      <c r="HK16" s="394">
        <f t="shared" si="26"/>
        <v>0</v>
      </c>
      <c r="HN16" s="106"/>
      <c r="HO16" s="15">
        <v>9</v>
      </c>
      <c r="HP16" s="92">
        <v>912.62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969.78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918.1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919.9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917.2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875.4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917.2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934.4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938.93</v>
      </c>
      <c r="KS16" s="253"/>
      <c r="KT16" s="705"/>
      <c r="KU16" s="703"/>
      <c r="KV16" s="704"/>
      <c r="KW16" s="394">
        <f t="shared" si="34"/>
        <v>0</v>
      </c>
      <c r="KZ16" s="106"/>
      <c r="LA16" s="15">
        <v>9</v>
      </c>
      <c r="LB16" s="92">
        <v>894.5</v>
      </c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>
        <v>908.09</v>
      </c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>
        <v>889</v>
      </c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>
        <v>919</v>
      </c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>
        <v>905.37</v>
      </c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>
        <v>931.7</v>
      </c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>
        <v>940.7</v>
      </c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90825386</v>
      </c>
      <c r="E17" s="135">
        <f t="shared" si="55"/>
        <v>44904</v>
      </c>
      <c r="F17" s="86">
        <f t="shared" si="55"/>
        <v>19130.18</v>
      </c>
      <c r="G17" s="73">
        <f t="shared" si="55"/>
        <v>21</v>
      </c>
      <c r="H17" s="48">
        <f t="shared" si="55"/>
        <v>19185.5</v>
      </c>
      <c r="I17" s="105">
        <f t="shared" si="55"/>
        <v>-55.319999999999709</v>
      </c>
      <c r="L17" s="106"/>
      <c r="M17" s="15">
        <v>10</v>
      </c>
      <c r="N17" s="69">
        <v>910.8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887.2</v>
      </c>
      <c r="Y17" s="253"/>
      <c r="Z17" s="705"/>
      <c r="AA17" s="703"/>
      <c r="AB17" s="704"/>
      <c r="AC17" s="394">
        <f t="shared" si="8"/>
        <v>0</v>
      </c>
      <c r="AF17" s="106"/>
      <c r="AG17" s="15">
        <v>10</v>
      </c>
      <c r="AH17" s="92">
        <v>953.9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906.3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926.2</v>
      </c>
      <c r="BC17" s="245"/>
      <c r="BD17" s="92"/>
      <c r="BE17" s="95"/>
      <c r="BF17" s="71"/>
      <c r="BG17" s="394">
        <f t="shared" si="11"/>
        <v>0</v>
      </c>
      <c r="BJ17" s="673"/>
      <c r="BK17" s="15">
        <v>10</v>
      </c>
      <c r="BL17" s="92">
        <v>875.88</v>
      </c>
      <c r="BM17" s="135"/>
      <c r="BN17" s="92"/>
      <c r="BO17" s="95"/>
      <c r="BP17" s="289"/>
      <c r="BQ17" s="482">
        <f t="shared" si="12"/>
        <v>0</v>
      </c>
      <c r="BR17" s="394"/>
      <c r="BT17" s="106"/>
      <c r="BU17" s="15">
        <v>10</v>
      </c>
      <c r="BV17" s="69"/>
      <c r="BW17" s="290"/>
      <c r="BX17" s="69"/>
      <c r="BY17" s="582"/>
      <c r="BZ17" s="291"/>
      <c r="CA17" s="394">
        <f t="shared" si="13"/>
        <v>0</v>
      </c>
      <c r="CD17" s="213"/>
      <c r="CE17" s="15">
        <v>10</v>
      </c>
      <c r="CF17" s="92">
        <v>905.4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895.4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914.44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05">
        <v>861.8</v>
      </c>
      <c r="DK17" s="729"/>
      <c r="DL17" s="705"/>
      <c r="DM17" s="730"/>
      <c r="DN17" s="731"/>
      <c r="DO17" s="399">
        <f t="shared" si="16"/>
        <v>0</v>
      </c>
      <c r="DR17" s="106"/>
      <c r="DS17" s="15">
        <v>10</v>
      </c>
      <c r="DT17" s="69">
        <v>877.24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892.7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940.3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920.8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911.7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969.78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918.1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911.7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886.3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949.82</v>
      </c>
      <c r="HG17" s="245"/>
      <c r="HH17" s="702"/>
      <c r="HI17" s="964"/>
      <c r="HJ17" s="71"/>
      <c r="HK17" s="394">
        <f t="shared" si="26"/>
        <v>0</v>
      </c>
      <c r="HN17" s="106"/>
      <c r="HO17" s="15">
        <v>10</v>
      </c>
      <c r="HP17" s="92">
        <v>925.32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924.42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923.5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898.1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861.8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908.1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898.1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906.7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933.49</v>
      </c>
      <c r="KS17" s="253"/>
      <c r="KT17" s="705"/>
      <c r="KU17" s="703"/>
      <c r="KV17" s="704"/>
      <c r="KW17" s="394">
        <f t="shared" si="34"/>
        <v>0</v>
      </c>
      <c r="KZ17" s="106"/>
      <c r="LA17" s="15">
        <v>10</v>
      </c>
      <c r="LB17" s="92">
        <v>889</v>
      </c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>
        <v>945.74</v>
      </c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>
        <v>885.9</v>
      </c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>
        <v>865.4</v>
      </c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>
        <v>930.31</v>
      </c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>
        <v>877.2</v>
      </c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>
        <v>907.2</v>
      </c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90825608</v>
      </c>
      <c r="E18" s="135">
        <f t="shared" si="56"/>
        <v>44904</v>
      </c>
      <c r="F18" s="86">
        <f t="shared" si="56"/>
        <v>18790.439999999999</v>
      </c>
      <c r="G18" s="73">
        <f t="shared" si="56"/>
        <v>21</v>
      </c>
      <c r="H18" s="48">
        <f t="shared" si="56"/>
        <v>18821</v>
      </c>
      <c r="I18" s="105">
        <f t="shared" si="56"/>
        <v>-30.56000000000131</v>
      </c>
      <c r="L18" s="106"/>
      <c r="M18" s="15">
        <v>11</v>
      </c>
      <c r="N18" s="69">
        <v>862.7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891.8</v>
      </c>
      <c r="Y18" s="253"/>
      <c r="Z18" s="705"/>
      <c r="AA18" s="703"/>
      <c r="AB18" s="704"/>
      <c r="AC18" s="394">
        <f t="shared" si="8"/>
        <v>0</v>
      </c>
      <c r="AF18" s="106"/>
      <c r="AG18" s="15">
        <v>11</v>
      </c>
      <c r="AH18" s="92">
        <v>975.22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930.8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915.3</v>
      </c>
      <c r="BC18" s="245"/>
      <c r="BD18" s="92"/>
      <c r="BE18" s="95"/>
      <c r="BF18" s="71"/>
      <c r="BG18" s="394">
        <f t="shared" si="11"/>
        <v>0</v>
      </c>
      <c r="BJ18" s="673"/>
      <c r="BK18" s="15">
        <v>11</v>
      </c>
      <c r="BL18" s="92">
        <v>888.13</v>
      </c>
      <c r="BM18" s="135"/>
      <c r="BN18" s="92"/>
      <c r="BO18" s="95"/>
      <c r="BP18" s="289"/>
      <c r="BQ18" s="482">
        <f t="shared" si="12"/>
        <v>0</v>
      </c>
      <c r="BR18" s="394"/>
      <c r="BT18" s="106"/>
      <c r="BU18" s="15">
        <v>11</v>
      </c>
      <c r="BV18" s="92"/>
      <c r="BW18" s="290"/>
      <c r="BX18" s="92"/>
      <c r="BY18" s="582"/>
      <c r="BZ18" s="291"/>
      <c r="CA18" s="394">
        <f t="shared" si="13"/>
        <v>0</v>
      </c>
      <c r="CD18" s="213"/>
      <c r="CE18" s="15">
        <v>11</v>
      </c>
      <c r="CF18" s="69">
        <v>906.3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873.6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928.5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02">
        <v>877.2</v>
      </c>
      <c r="DK18" s="729"/>
      <c r="DL18" s="702"/>
      <c r="DM18" s="730"/>
      <c r="DN18" s="731"/>
      <c r="DO18" s="399">
        <f t="shared" si="16"/>
        <v>0</v>
      </c>
      <c r="DR18" s="106"/>
      <c r="DS18" s="15">
        <v>11</v>
      </c>
      <c r="DT18" s="92">
        <v>912.17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889.9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877.7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900.8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878.2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948.91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924.4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882.7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930.8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951.63</v>
      </c>
      <c r="HG18" s="245"/>
      <c r="HH18" s="702"/>
      <c r="HI18" s="964"/>
      <c r="HJ18" s="71"/>
      <c r="HK18" s="394">
        <f t="shared" si="26"/>
        <v>0</v>
      </c>
      <c r="HN18" s="106"/>
      <c r="HO18" s="15">
        <v>11</v>
      </c>
      <c r="HP18" s="92">
        <v>966.15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924.42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907.2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929.9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894.5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938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924.4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903.1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949.36</v>
      </c>
      <c r="KS18" s="253"/>
      <c r="KT18" s="705"/>
      <c r="KU18" s="703"/>
      <c r="KV18" s="704"/>
      <c r="KW18" s="394">
        <f t="shared" si="34"/>
        <v>0</v>
      </c>
      <c r="KZ18" s="106"/>
      <c r="LA18" s="15">
        <v>11</v>
      </c>
      <c r="LB18" s="92">
        <v>912.6</v>
      </c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>
        <v>925.78</v>
      </c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>
        <v>870.9</v>
      </c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>
        <v>901.7</v>
      </c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>
        <v>899.47</v>
      </c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>
        <v>894.5</v>
      </c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>
        <v>917.2</v>
      </c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90826159</v>
      </c>
      <c r="E19" s="135">
        <f t="shared" si="57"/>
        <v>44905</v>
      </c>
      <c r="F19" s="86">
        <f t="shared" si="57"/>
        <v>18848.189999999999</v>
      </c>
      <c r="G19" s="73">
        <f t="shared" si="57"/>
        <v>21</v>
      </c>
      <c r="H19" s="48">
        <f t="shared" si="57"/>
        <v>18826.7</v>
      </c>
      <c r="I19" s="105">
        <f t="shared" si="57"/>
        <v>21.489999999997963</v>
      </c>
      <c r="L19" s="94"/>
      <c r="M19" s="15">
        <v>12</v>
      </c>
      <c r="N19" s="69">
        <v>877.2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870.9</v>
      </c>
      <c r="Y19" s="253"/>
      <c r="Z19" s="705"/>
      <c r="AA19" s="703"/>
      <c r="AB19" s="704"/>
      <c r="AC19" s="394">
        <f t="shared" si="8"/>
        <v>0</v>
      </c>
      <c r="AF19" s="106"/>
      <c r="AG19" s="15">
        <v>12</v>
      </c>
      <c r="AH19" s="69">
        <v>967.96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916.3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886.3</v>
      </c>
      <c r="BC19" s="245"/>
      <c r="BD19" s="92"/>
      <c r="BE19" s="95"/>
      <c r="BF19" s="71"/>
      <c r="BG19" s="394">
        <f t="shared" si="11"/>
        <v>0</v>
      </c>
      <c r="BJ19" s="673"/>
      <c r="BK19" s="15">
        <v>12</v>
      </c>
      <c r="BL19" s="92">
        <v>945.28</v>
      </c>
      <c r="BM19" s="135"/>
      <c r="BN19" s="92"/>
      <c r="BO19" s="95"/>
      <c r="BP19" s="289"/>
      <c r="BQ19" s="482">
        <f t="shared" si="12"/>
        <v>0</v>
      </c>
      <c r="BR19" s="394"/>
      <c r="BT19" s="106"/>
      <c r="BU19" s="15">
        <v>12</v>
      </c>
      <c r="BV19" s="92"/>
      <c r="BW19" s="290"/>
      <c r="BX19" s="92"/>
      <c r="BY19" s="582"/>
      <c r="BZ19" s="291"/>
      <c r="CA19" s="394">
        <f t="shared" si="13"/>
        <v>0</v>
      </c>
      <c r="CD19" s="213"/>
      <c r="CE19" s="15">
        <v>12</v>
      </c>
      <c r="CF19" s="92">
        <v>901.7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899.9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956.62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02">
        <v>909</v>
      </c>
      <c r="DK19" s="729"/>
      <c r="DL19" s="702"/>
      <c r="DM19" s="730"/>
      <c r="DN19" s="731"/>
      <c r="DO19" s="399">
        <f t="shared" si="16"/>
        <v>0</v>
      </c>
      <c r="DR19" s="106"/>
      <c r="DS19" s="15">
        <v>12</v>
      </c>
      <c r="DT19" s="92">
        <v>933.03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870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915.3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915.3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886.3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970.68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871.8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897.2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914.4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931.67</v>
      </c>
      <c r="HG19" s="245"/>
      <c r="HH19" s="702"/>
      <c r="HI19" s="964"/>
      <c r="HJ19" s="71"/>
      <c r="HK19" s="394">
        <f t="shared" si="26"/>
        <v>0</v>
      </c>
      <c r="HN19" s="106"/>
      <c r="HO19" s="15">
        <v>12</v>
      </c>
      <c r="HP19" s="92">
        <v>962.97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928.95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922.6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911.7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898.1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918.1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898.1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895.8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939.38</v>
      </c>
      <c r="KS19" s="253"/>
      <c r="KT19" s="705"/>
      <c r="KU19" s="703"/>
      <c r="KV19" s="704"/>
      <c r="KW19" s="394">
        <f t="shared" si="34"/>
        <v>0</v>
      </c>
      <c r="KZ19" s="106"/>
      <c r="LA19" s="15">
        <v>12</v>
      </c>
      <c r="LB19" s="92">
        <v>904.5</v>
      </c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>
        <v>932.13</v>
      </c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>
        <v>879.5</v>
      </c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>
        <v>940.7</v>
      </c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>
        <v>932.13</v>
      </c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>
        <v>934.4</v>
      </c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>
        <v>905.4</v>
      </c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90888795</v>
      </c>
      <c r="E20" s="135">
        <f t="shared" si="58"/>
        <v>44905</v>
      </c>
      <c r="F20" s="86">
        <f t="shared" si="58"/>
        <v>18920.68</v>
      </c>
      <c r="G20" s="73">
        <f t="shared" si="58"/>
        <v>20</v>
      </c>
      <c r="H20" s="48">
        <f t="shared" si="58"/>
        <v>18959.16</v>
      </c>
      <c r="I20" s="105">
        <f t="shared" si="58"/>
        <v>-38.479999999999563</v>
      </c>
      <c r="L20" s="94"/>
      <c r="M20" s="15">
        <v>13</v>
      </c>
      <c r="N20" s="69">
        <v>892.7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883.6</v>
      </c>
      <c r="Y20" s="253"/>
      <c r="Z20" s="705"/>
      <c r="AA20" s="703"/>
      <c r="AB20" s="704"/>
      <c r="AC20" s="394">
        <f t="shared" si="8"/>
        <v>0</v>
      </c>
      <c r="AF20" s="106"/>
      <c r="AG20" s="15">
        <v>13</v>
      </c>
      <c r="AH20" s="92">
        <v>943.47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916.3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900.8</v>
      </c>
      <c r="BC20" s="245"/>
      <c r="BD20" s="92"/>
      <c r="BE20" s="95"/>
      <c r="BF20" s="71"/>
      <c r="BG20" s="394">
        <f t="shared" si="11"/>
        <v>0</v>
      </c>
      <c r="BJ20" s="673"/>
      <c r="BK20" s="15">
        <v>13</v>
      </c>
      <c r="BL20" s="69">
        <v>944.37</v>
      </c>
      <c r="BM20" s="135"/>
      <c r="BN20" s="69"/>
      <c r="BO20" s="95"/>
      <c r="BP20" s="289"/>
      <c r="BQ20" s="482">
        <f t="shared" si="12"/>
        <v>0</v>
      </c>
      <c r="BR20" s="394"/>
      <c r="BT20" s="106"/>
      <c r="BU20" s="15">
        <v>13</v>
      </c>
      <c r="BV20" s="92"/>
      <c r="BW20" s="290"/>
      <c r="BX20" s="92"/>
      <c r="BY20" s="582"/>
      <c r="BZ20" s="291"/>
      <c r="CA20" s="394">
        <f t="shared" si="13"/>
        <v>0</v>
      </c>
      <c r="CD20" s="213"/>
      <c r="CE20" s="15">
        <v>13</v>
      </c>
      <c r="CF20" s="92">
        <v>916.3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921.7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891.3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02">
        <v>890.9</v>
      </c>
      <c r="DK20" s="729"/>
      <c r="DL20" s="702"/>
      <c r="DM20" s="730"/>
      <c r="DN20" s="731"/>
      <c r="DO20" s="399">
        <f t="shared" si="16"/>
        <v>0</v>
      </c>
      <c r="DR20" s="106"/>
      <c r="DS20" s="15">
        <v>13</v>
      </c>
      <c r="DT20" s="92">
        <v>897.65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910.8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931.7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888.1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916.3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957.07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890.9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893.6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866.4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931.22</v>
      </c>
      <c r="HG20" s="245"/>
      <c r="HH20" s="702"/>
      <c r="HI20" s="964"/>
      <c r="HJ20" s="71"/>
      <c r="HK20" s="244">
        <f t="shared" si="26"/>
        <v>0</v>
      </c>
      <c r="HN20" s="106"/>
      <c r="HO20" s="15">
        <v>13</v>
      </c>
      <c r="HP20" s="92">
        <v>894.48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938.93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914.4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932.6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934.4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913.5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910.8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865.4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948.46</v>
      </c>
      <c r="KS20" s="253"/>
      <c r="KT20" s="705"/>
      <c r="KU20" s="703"/>
      <c r="KV20" s="704"/>
      <c r="KW20" s="394">
        <f t="shared" si="34"/>
        <v>0</v>
      </c>
      <c r="KZ20" s="106"/>
      <c r="LA20" s="15">
        <v>13</v>
      </c>
      <c r="LB20" s="69">
        <v>870.9</v>
      </c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>
        <v>924.87</v>
      </c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>
        <v>909.9</v>
      </c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>
        <v>895.4</v>
      </c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>
        <v>957.07</v>
      </c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>
        <v>929</v>
      </c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>
        <v>916.3</v>
      </c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0" t="str">
        <f>GA5</f>
        <v>PED. 90971391</v>
      </c>
      <c r="E21" s="135">
        <f t="shared" si="59"/>
        <v>44908</v>
      </c>
      <c r="F21" s="86">
        <f t="shared" si="59"/>
        <v>18992.169999999998</v>
      </c>
      <c r="G21" s="73">
        <f t="shared" si="59"/>
        <v>21</v>
      </c>
      <c r="H21" s="48">
        <f t="shared" si="59"/>
        <v>18917.400000000001</v>
      </c>
      <c r="I21" s="105">
        <f t="shared" si="59"/>
        <v>74.769999999996799</v>
      </c>
      <c r="L21" s="94"/>
      <c r="M21" s="15">
        <v>14</v>
      </c>
      <c r="N21" s="69">
        <v>939.8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890.9</v>
      </c>
      <c r="Y21" s="253"/>
      <c r="Z21" s="705"/>
      <c r="AA21" s="703"/>
      <c r="AB21" s="704"/>
      <c r="AC21" s="394">
        <f t="shared" si="8"/>
        <v>0</v>
      </c>
      <c r="AF21" s="106"/>
      <c r="AG21" s="15">
        <v>14</v>
      </c>
      <c r="AH21" s="92">
        <v>958.89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927.1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894.5</v>
      </c>
      <c r="BC21" s="245"/>
      <c r="BD21" s="92"/>
      <c r="BE21" s="95"/>
      <c r="BF21" s="71"/>
      <c r="BG21" s="394">
        <f t="shared" si="11"/>
        <v>0</v>
      </c>
      <c r="BJ21" s="673"/>
      <c r="BK21" s="15">
        <v>14</v>
      </c>
      <c r="BL21" s="92">
        <v>911.26</v>
      </c>
      <c r="BM21" s="135"/>
      <c r="BN21" s="92"/>
      <c r="BO21" s="95"/>
      <c r="BP21" s="289"/>
      <c r="BQ21" s="482">
        <f t="shared" si="12"/>
        <v>0</v>
      </c>
      <c r="BR21" s="394"/>
      <c r="BT21" s="106"/>
      <c r="BU21" s="15">
        <v>14</v>
      </c>
      <c r="BV21" s="92"/>
      <c r="BW21" s="290"/>
      <c r="BX21" s="92"/>
      <c r="BY21" s="582"/>
      <c r="BZ21" s="291"/>
      <c r="CA21" s="394">
        <f t="shared" si="13"/>
        <v>0</v>
      </c>
      <c r="CD21" s="213"/>
      <c r="CE21" s="15">
        <v>14</v>
      </c>
      <c r="CF21" s="92">
        <v>920.8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899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972.04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02">
        <v>878.2</v>
      </c>
      <c r="DK21" s="729"/>
      <c r="DL21" s="702"/>
      <c r="DM21" s="730"/>
      <c r="DN21" s="731"/>
      <c r="DO21" s="399">
        <f t="shared" si="16"/>
        <v>0</v>
      </c>
      <c r="DR21" s="106"/>
      <c r="DS21" s="15">
        <v>14</v>
      </c>
      <c r="DT21" s="92">
        <v>936.21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893.6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936.2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889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897.2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940.75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883.6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884.5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933.5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970.23</v>
      </c>
      <c r="HG21" s="245"/>
      <c r="HH21" s="702"/>
      <c r="HI21" s="964"/>
      <c r="HJ21" s="71"/>
      <c r="HK21" s="244">
        <f t="shared" si="26"/>
        <v>0</v>
      </c>
      <c r="HN21" s="106"/>
      <c r="HO21" s="15">
        <v>14</v>
      </c>
      <c r="HP21" s="92">
        <v>900.38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902.64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892.7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903.6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929.9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917.2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898.1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906.7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950.72</v>
      </c>
      <c r="KS21" s="253"/>
      <c r="KT21" s="705"/>
      <c r="KU21" s="703"/>
      <c r="KV21" s="704"/>
      <c r="KW21" s="394">
        <f t="shared" si="34"/>
        <v>0</v>
      </c>
      <c r="KZ21" s="106"/>
      <c r="LA21" s="15">
        <v>14</v>
      </c>
      <c r="LB21" s="92">
        <v>929</v>
      </c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>
        <v>959.34</v>
      </c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>
        <v>866.4</v>
      </c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>
        <v>907.2</v>
      </c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>
        <v>920.33</v>
      </c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>
        <v>895.4</v>
      </c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>
        <v>935.3</v>
      </c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90970890</v>
      </c>
      <c r="E22" s="135">
        <f t="shared" si="60"/>
        <v>44908</v>
      </c>
      <c r="F22" s="86">
        <f t="shared" si="60"/>
        <v>18949.169999999998</v>
      </c>
      <c r="G22" s="73">
        <f t="shared" si="60"/>
        <v>21</v>
      </c>
      <c r="H22" s="48">
        <f t="shared" si="60"/>
        <v>0</v>
      </c>
      <c r="I22" s="105">
        <f>GP5</f>
        <v>18949.169999999998</v>
      </c>
      <c r="L22" s="94"/>
      <c r="M22" s="15">
        <v>15</v>
      </c>
      <c r="N22" s="69">
        <v>864.5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898.1</v>
      </c>
      <c r="Y22" s="253"/>
      <c r="Z22" s="705"/>
      <c r="AA22" s="703"/>
      <c r="AB22" s="704"/>
      <c r="AC22" s="394">
        <f t="shared" si="8"/>
        <v>0</v>
      </c>
      <c r="AF22" s="106"/>
      <c r="AG22" s="15">
        <v>15</v>
      </c>
      <c r="AH22" s="92">
        <v>926.23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888.1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897.2</v>
      </c>
      <c r="BC22" s="245"/>
      <c r="BD22" s="92"/>
      <c r="BE22" s="95"/>
      <c r="BF22" s="71"/>
      <c r="BG22" s="394">
        <f t="shared" si="11"/>
        <v>0</v>
      </c>
      <c r="BJ22" s="673"/>
      <c r="BK22" s="15">
        <v>15</v>
      </c>
      <c r="BL22" s="92">
        <v>967.05</v>
      </c>
      <c r="BM22" s="135"/>
      <c r="BN22" s="92"/>
      <c r="BO22" s="95"/>
      <c r="BP22" s="289"/>
      <c r="BQ22" s="482">
        <f t="shared" si="12"/>
        <v>0</v>
      </c>
      <c r="BR22" s="394"/>
      <c r="BT22" s="106"/>
      <c r="BU22" s="15">
        <v>15</v>
      </c>
      <c r="BV22" s="92"/>
      <c r="BW22" s="290"/>
      <c r="BX22" s="92"/>
      <c r="BY22" s="582"/>
      <c r="BZ22" s="291"/>
      <c r="CA22" s="394">
        <f t="shared" si="13"/>
        <v>0</v>
      </c>
      <c r="CD22" s="213"/>
      <c r="CE22" s="15">
        <v>15</v>
      </c>
      <c r="CF22" s="92">
        <v>865.4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925.3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923.06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02">
        <v>909</v>
      </c>
      <c r="DK22" s="729"/>
      <c r="DL22" s="702"/>
      <c r="DM22" s="730"/>
      <c r="DN22" s="731"/>
      <c r="DO22" s="399">
        <f t="shared" si="16"/>
        <v>0</v>
      </c>
      <c r="DR22" s="106"/>
      <c r="DS22" s="15">
        <v>15</v>
      </c>
      <c r="DT22" s="92">
        <v>905.37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931.7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889.5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924.4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890.9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952.54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932.6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930.8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907.2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931.67</v>
      </c>
      <c r="HG22" s="245"/>
      <c r="HH22" s="702"/>
      <c r="HI22" s="964"/>
      <c r="HJ22" s="71"/>
      <c r="HK22" s="244">
        <f t="shared" si="26"/>
        <v>0</v>
      </c>
      <c r="HN22" s="106"/>
      <c r="HO22" s="15">
        <v>15</v>
      </c>
      <c r="HP22" s="92">
        <v>914.89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930.77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909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921.7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891.8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889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904.5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939.4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952.99</v>
      </c>
      <c r="KS22" s="253"/>
      <c r="KT22" s="705"/>
      <c r="KU22" s="703"/>
      <c r="KV22" s="704"/>
      <c r="KW22" s="394">
        <f t="shared" si="34"/>
        <v>0</v>
      </c>
      <c r="KZ22" s="106"/>
      <c r="LA22" s="15">
        <v>15</v>
      </c>
      <c r="LB22" s="92">
        <v>920.8</v>
      </c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>
        <v>933.49</v>
      </c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>
        <v>885</v>
      </c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>
        <v>922.6</v>
      </c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>
        <v>885.41</v>
      </c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>
        <v>918.1</v>
      </c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>
        <v>877.2</v>
      </c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61"/>
        <v>44908</v>
      </c>
      <c r="F23" s="86">
        <f t="shared" si="61"/>
        <v>19166.849999999999</v>
      </c>
      <c r="G23" s="73">
        <f t="shared" si="61"/>
        <v>21</v>
      </c>
      <c r="H23" s="48">
        <f t="shared" si="6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924.4</v>
      </c>
      <c r="Y23" s="253"/>
      <c r="Z23" s="705"/>
      <c r="AA23" s="703"/>
      <c r="AB23" s="704"/>
      <c r="AC23" s="394">
        <f t="shared" si="8"/>
        <v>0</v>
      </c>
      <c r="AF23" s="106"/>
      <c r="AG23" s="15">
        <v>16</v>
      </c>
      <c r="AH23" s="92">
        <v>941.65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869.1</v>
      </c>
      <c r="BC23" s="245"/>
      <c r="BD23" s="92"/>
      <c r="BE23" s="95"/>
      <c r="BF23" s="71"/>
      <c r="BG23" s="394">
        <f t="shared" si="11"/>
        <v>0</v>
      </c>
      <c r="BJ23" s="673"/>
      <c r="BK23" s="15">
        <v>16</v>
      </c>
      <c r="BL23" s="92">
        <v>938.02</v>
      </c>
      <c r="BM23" s="135"/>
      <c r="BN23" s="92"/>
      <c r="BO23" s="95"/>
      <c r="BP23" s="289"/>
      <c r="BQ23" s="482">
        <f t="shared" si="12"/>
        <v>0</v>
      </c>
      <c r="BR23" s="394"/>
      <c r="BT23" s="106"/>
      <c r="BU23" s="15">
        <v>16</v>
      </c>
      <c r="BV23" s="92"/>
      <c r="BW23" s="290"/>
      <c r="BX23" s="92"/>
      <c r="BY23" s="582"/>
      <c r="BZ23" s="291"/>
      <c r="CA23" s="394">
        <f t="shared" si="13"/>
        <v>0</v>
      </c>
      <c r="CD23" s="213"/>
      <c r="CE23" s="15">
        <v>16</v>
      </c>
      <c r="CF23" s="92">
        <v>894.5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884.5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952.54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02">
        <v>889.9</v>
      </c>
      <c r="DK23" s="729"/>
      <c r="DL23" s="702"/>
      <c r="DM23" s="730"/>
      <c r="DN23" s="731"/>
      <c r="DO23" s="399">
        <f t="shared" si="16"/>
        <v>0</v>
      </c>
      <c r="DR23" s="106"/>
      <c r="DS23" s="15">
        <v>16</v>
      </c>
      <c r="DT23" s="92">
        <v>907.62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878.2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894.9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916.3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865.4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959.8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895.4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920.8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884.5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895.39</v>
      </c>
      <c r="HG23" s="245"/>
      <c r="HH23" s="702"/>
      <c r="HI23" s="964"/>
      <c r="HJ23" s="71"/>
      <c r="HK23" s="244">
        <f t="shared" si="26"/>
        <v>0</v>
      </c>
      <c r="HN23" s="106"/>
      <c r="HO23" s="15">
        <v>16</v>
      </c>
      <c r="HP23" s="92">
        <v>938.49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947.1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906.3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919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919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902.6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889.9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901.7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950.72</v>
      </c>
      <c r="KS23" s="253"/>
      <c r="KT23" s="705"/>
      <c r="KU23" s="703"/>
      <c r="KV23" s="704"/>
      <c r="KW23" s="394">
        <f t="shared" si="34"/>
        <v>0</v>
      </c>
      <c r="KZ23" s="106"/>
      <c r="LA23" s="15">
        <v>16</v>
      </c>
      <c r="LB23" s="92">
        <v>919</v>
      </c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>
        <v>936.21</v>
      </c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>
        <v>898.6</v>
      </c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>
        <v>873.6</v>
      </c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>
        <v>908.54</v>
      </c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>
        <v>917.2</v>
      </c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>
        <v>936.2</v>
      </c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910285201</v>
      </c>
      <c r="E24" s="135">
        <f t="shared" si="62"/>
        <v>44909</v>
      </c>
      <c r="F24" s="86">
        <f t="shared" si="62"/>
        <v>18590.849999999999</v>
      </c>
      <c r="G24" s="73">
        <f t="shared" si="62"/>
        <v>20</v>
      </c>
      <c r="H24" s="48">
        <f t="shared" si="62"/>
        <v>18618.48</v>
      </c>
      <c r="I24" s="105">
        <f t="shared" si="62"/>
        <v>-27.630000000001019</v>
      </c>
      <c r="L24" s="94"/>
      <c r="M24" s="15">
        <v>17</v>
      </c>
      <c r="N24" s="69">
        <v>875.4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893.6</v>
      </c>
      <c r="Y24" s="253"/>
      <c r="Z24" s="705"/>
      <c r="AA24" s="703"/>
      <c r="AB24" s="704"/>
      <c r="AC24" s="394">
        <f t="shared" si="8"/>
        <v>0</v>
      </c>
      <c r="AF24" s="106"/>
      <c r="AG24" s="15">
        <v>17</v>
      </c>
      <c r="AH24" s="92">
        <v>921.24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933.5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890.9</v>
      </c>
      <c r="BC24" s="245"/>
      <c r="BD24" s="92"/>
      <c r="BE24" s="95"/>
      <c r="BF24" s="71"/>
      <c r="BG24" s="394">
        <f t="shared" si="11"/>
        <v>0</v>
      </c>
      <c r="BJ24" s="674"/>
      <c r="BK24" s="15">
        <v>17</v>
      </c>
      <c r="BL24" s="92">
        <v>888.13</v>
      </c>
      <c r="BM24" s="135"/>
      <c r="BN24" s="92"/>
      <c r="BO24" s="95"/>
      <c r="BP24" s="289"/>
      <c r="BQ24" s="482">
        <f t="shared" si="12"/>
        <v>0</v>
      </c>
      <c r="BR24" s="394"/>
      <c r="BT24" s="106"/>
      <c r="BU24" s="15">
        <v>17</v>
      </c>
      <c r="BV24" s="92"/>
      <c r="BW24" s="290"/>
      <c r="BX24" s="92"/>
      <c r="BY24" s="582"/>
      <c r="BZ24" s="291"/>
      <c r="CA24" s="394">
        <f t="shared" si="13"/>
        <v>0</v>
      </c>
      <c r="CD24" s="213"/>
      <c r="CE24" s="15">
        <v>17</v>
      </c>
      <c r="CF24" s="92">
        <v>866.4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876.3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943.01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02">
        <v>903.6</v>
      </c>
      <c r="DK24" s="729"/>
      <c r="DL24" s="702"/>
      <c r="DM24" s="730"/>
      <c r="DN24" s="731"/>
      <c r="DO24" s="399">
        <f t="shared" si="16"/>
        <v>0</v>
      </c>
      <c r="DR24" s="106"/>
      <c r="DS24" s="15">
        <v>17</v>
      </c>
      <c r="DT24" s="92">
        <v>936.21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911.7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925.3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867.3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938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905.37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920.8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910.8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910.8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922.6</v>
      </c>
      <c r="HG24" s="245"/>
      <c r="HH24" s="702"/>
      <c r="HI24" s="964"/>
      <c r="HJ24" s="71"/>
      <c r="HK24" s="244">
        <f t="shared" si="26"/>
        <v>0</v>
      </c>
      <c r="HN24" s="106"/>
      <c r="HO24" s="15">
        <v>17</v>
      </c>
      <c r="HP24" s="92">
        <v>943.47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954.35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898.1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928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880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900.8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889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927.1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884.5</v>
      </c>
      <c r="KS24" s="253"/>
      <c r="KT24" s="705"/>
      <c r="KU24" s="703"/>
      <c r="KV24" s="704"/>
      <c r="KW24" s="394">
        <f t="shared" si="34"/>
        <v>0</v>
      </c>
      <c r="KZ24" s="106"/>
      <c r="LA24" s="15">
        <v>17</v>
      </c>
      <c r="LB24" s="92">
        <v>911.7</v>
      </c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>
        <v>938.02</v>
      </c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>
        <v>887.2</v>
      </c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>
        <v>888.1</v>
      </c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>
        <v>939.84</v>
      </c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>
        <v>873.6</v>
      </c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>
        <v>874.5</v>
      </c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FREHS MEAT</v>
      </c>
      <c r="C25" s="71" t="str">
        <f t="shared" si="63"/>
        <v xml:space="preserve">I B P </v>
      </c>
      <c r="D25" s="102" t="str">
        <f t="shared" si="63"/>
        <v>PED. 91026280</v>
      </c>
      <c r="E25" s="135">
        <f t="shared" si="63"/>
        <v>44909</v>
      </c>
      <c r="F25" s="86">
        <f t="shared" si="63"/>
        <v>18256.88</v>
      </c>
      <c r="G25" s="73">
        <f t="shared" si="63"/>
        <v>20</v>
      </c>
      <c r="H25" s="48">
        <f t="shared" si="63"/>
        <v>18237.5</v>
      </c>
      <c r="I25" s="105">
        <f t="shared" si="63"/>
        <v>19.380000000001019</v>
      </c>
      <c r="L25" s="94"/>
      <c r="M25" s="15">
        <v>18</v>
      </c>
      <c r="N25" s="69">
        <v>925.3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889.9</v>
      </c>
      <c r="Y25" s="253"/>
      <c r="Z25" s="705"/>
      <c r="AA25" s="703"/>
      <c r="AB25" s="704"/>
      <c r="AC25" s="394">
        <f t="shared" si="8"/>
        <v>0</v>
      </c>
      <c r="AF25" s="94"/>
      <c r="AG25" s="15">
        <v>18</v>
      </c>
      <c r="AH25" s="92">
        <v>930.77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926.2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939.8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911.26</v>
      </c>
      <c r="BM25" s="135"/>
      <c r="BN25" s="92"/>
      <c r="BO25" s="95"/>
      <c r="BP25" s="289"/>
      <c r="BQ25" s="482">
        <f t="shared" si="12"/>
        <v>0</v>
      </c>
      <c r="BR25" s="394"/>
      <c r="BT25" s="106"/>
      <c r="BU25" s="15">
        <v>18</v>
      </c>
      <c r="BV25" s="92"/>
      <c r="BW25" s="290"/>
      <c r="BX25" s="92"/>
      <c r="BY25" s="582"/>
      <c r="BZ25" s="291"/>
      <c r="CA25" s="394">
        <f t="shared" si="13"/>
        <v>0</v>
      </c>
      <c r="CD25" s="213"/>
      <c r="CE25" s="15">
        <v>18</v>
      </c>
      <c r="CF25" s="92">
        <v>902.6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902.6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902.19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02">
        <v>885.4</v>
      </c>
      <c r="DK25" s="729"/>
      <c r="DL25" s="702"/>
      <c r="DM25" s="730"/>
      <c r="DN25" s="731"/>
      <c r="DO25" s="399">
        <f t="shared" si="16"/>
        <v>0</v>
      </c>
      <c r="DR25" s="94"/>
      <c r="DS25" s="15">
        <v>18</v>
      </c>
      <c r="DT25" s="92">
        <v>936.21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870.9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924.4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915.3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863.6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961.61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902.6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916.3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889.9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917.16</v>
      </c>
      <c r="HG25" s="245"/>
      <c r="HH25" s="702"/>
      <c r="HI25" s="964"/>
      <c r="HJ25" s="71"/>
      <c r="HK25" s="244">
        <f t="shared" si="26"/>
        <v>0</v>
      </c>
      <c r="HN25" s="213"/>
      <c r="HO25" s="15">
        <v>18</v>
      </c>
      <c r="HP25" s="92">
        <v>919.88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927.14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914.4</v>
      </c>
      <c r="IK25" s="253"/>
      <c r="IL25" s="69"/>
      <c r="IM25" s="70"/>
      <c r="IN25" s="71"/>
      <c r="IO25" s="394">
        <f t="shared" si="28"/>
        <v>0</v>
      </c>
      <c r="IR25" s="94"/>
      <c r="IS25" s="15">
        <v>18</v>
      </c>
      <c r="IT25" s="92">
        <v>911.7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937.1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861.8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888.1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908.1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934.4</v>
      </c>
      <c r="KS25" s="253"/>
      <c r="KT25" s="705"/>
      <c r="KU25" s="703"/>
      <c r="KV25" s="704"/>
      <c r="KW25" s="394">
        <f t="shared" si="34"/>
        <v>0</v>
      </c>
      <c r="KZ25" s="94"/>
      <c r="LA25" s="15">
        <v>18</v>
      </c>
      <c r="LB25" s="92">
        <v>869.1</v>
      </c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>
        <v>947.1</v>
      </c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>
        <v>873.2</v>
      </c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>
        <v>877.2</v>
      </c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>
        <v>906.27</v>
      </c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>
        <v>899</v>
      </c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>
        <v>931.7</v>
      </c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91075573</v>
      </c>
      <c r="E26" s="135">
        <f t="shared" si="64"/>
        <v>44910</v>
      </c>
      <c r="F26" s="86">
        <f t="shared" si="64"/>
        <v>18753.78</v>
      </c>
      <c r="G26" s="73">
        <f t="shared" si="64"/>
        <v>20</v>
      </c>
      <c r="H26" s="48">
        <f t="shared" si="64"/>
        <v>18785</v>
      </c>
      <c r="I26" s="105">
        <f t="shared" si="64"/>
        <v>-31.220000000001164</v>
      </c>
      <c r="L26" s="94"/>
      <c r="M26" s="15">
        <v>19</v>
      </c>
      <c r="N26" s="69">
        <v>870.9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890.9</v>
      </c>
      <c r="Y26" s="253"/>
      <c r="Z26" s="705"/>
      <c r="AA26" s="703"/>
      <c r="AB26" s="704"/>
      <c r="AC26" s="394">
        <f t="shared" si="8"/>
        <v>0</v>
      </c>
      <c r="AF26" s="106"/>
      <c r="AG26" s="15">
        <v>19</v>
      </c>
      <c r="AH26" s="92">
        <v>942.11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926.2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869.1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872.25</v>
      </c>
      <c r="BM26" s="135"/>
      <c r="BN26" s="92"/>
      <c r="BO26" s="95"/>
      <c r="BP26" s="289"/>
      <c r="BQ26" s="482">
        <f t="shared" si="12"/>
        <v>0</v>
      </c>
      <c r="BR26" s="394"/>
      <c r="BT26" s="106"/>
      <c r="BU26" s="15">
        <v>19</v>
      </c>
      <c r="BV26" s="92"/>
      <c r="BW26" s="290"/>
      <c r="BX26" s="92"/>
      <c r="BY26" s="582"/>
      <c r="BZ26" s="291"/>
      <c r="CA26" s="394">
        <f t="shared" si="13"/>
        <v>0</v>
      </c>
      <c r="CD26" s="213"/>
      <c r="CE26" s="15">
        <v>19</v>
      </c>
      <c r="CF26" s="92">
        <v>909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911.7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935.76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02">
        <v>918.1</v>
      </c>
      <c r="DK26" s="729"/>
      <c r="DL26" s="702"/>
      <c r="DM26" s="730"/>
      <c r="DN26" s="731"/>
      <c r="DO26" s="399">
        <f t="shared" si="16"/>
        <v>0</v>
      </c>
      <c r="DR26" s="106"/>
      <c r="DS26" s="15">
        <v>19</v>
      </c>
      <c r="DT26" s="92">
        <v>873.16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898.1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927.6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920.8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894.5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933.49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914.4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871.8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901.7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922.6</v>
      </c>
      <c r="HG26" s="245"/>
      <c r="HH26" s="702"/>
      <c r="HI26" s="964"/>
      <c r="HJ26" s="71"/>
      <c r="HK26" s="244">
        <f t="shared" si="26"/>
        <v>0</v>
      </c>
      <c r="HN26" s="213"/>
      <c r="HO26" s="15">
        <v>19</v>
      </c>
      <c r="HP26" s="92">
        <v>867.26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942.56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934.4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879.1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889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929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937.1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911.3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933.94</v>
      </c>
      <c r="KS26" s="253"/>
      <c r="KT26" s="705"/>
      <c r="KU26" s="703"/>
      <c r="KV26" s="704"/>
      <c r="KW26" s="394">
        <f t="shared" si="34"/>
        <v>0</v>
      </c>
      <c r="KZ26" s="106"/>
      <c r="LA26" s="15">
        <v>19</v>
      </c>
      <c r="LB26" s="92">
        <v>884.5</v>
      </c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>
        <v>964.79</v>
      </c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>
        <v>930.8</v>
      </c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>
        <v>913.5</v>
      </c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>
        <v>931.67</v>
      </c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>
        <v>898.1</v>
      </c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>
        <v>936.2</v>
      </c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91025870</v>
      </c>
      <c r="E27" s="135">
        <f t="shared" si="65"/>
        <v>44910</v>
      </c>
      <c r="F27" s="86">
        <f t="shared" si="65"/>
        <v>19116.189999999999</v>
      </c>
      <c r="G27" s="73">
        <f t="shared" si="65"/>
        <v>21</v>
      </c>
      <c r="H27" s="48">
        <f t="shared" si="65"/>
        <v>19114.3</v>
      </c>
      <c r="I27" s="105">
        <f t="shared" si="65"/>
        <v>1.8899999999994179</v>
      </c>
      <c r="L27" s="94"/>
      <c r="M27" s="15">
        <v>20</v>
      </c>
      <c r="N27" s="69">
        <v>893.6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892.7</v>
      </c>
      <c r="Y27" s="253"/>
      <c r="Z27" s="705"/>
      <c r="AA27" s="703"/>
      <c r="AB27" s="704"/>
      <c r="AC27" s="394">
        <f t="shared" si="8"/>
        <v>0</v>
      </c>
      <c r="AF27" s="106"/>
      <c r="AG27" s="15">
        <v>20</v>
      </c>
      <c r="AH27" s="92">
        <v>962.97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880.9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910.8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913.53</v>
      </c>
      <c r="BM27" s="135"/>
      <c r="BN27" s="92"/>
      <c r="BO27" s="95"/>
      <c r="BP27" s="289"/>
      <c r="BQ27" s="482">
        <f t="shared" si="12"/>
        <v>0</v>
      </c>
      <c r="BR27" s="394"/>
      <c r="BT27" s="106"/>
      <c r="BU27" s="15">
        <v>20</v>
      </c>
      <c r="BV27" s="92"/>
      <c r="BW27" s="290"/>
      <c r="BX27" s="92"/>
      <c r="BY27" s="582"/>
      <c r="BZ27" s="291"/>
      <c r="CA27" s="394">
        <f t="shared" si="13"/>
        <v>0</v>
      </c>
      <c r="CD27" s="213"/>
      <c r="CE27" s="15">
        <v>20</v>
      </c>
      <c r="CF27" s="92">
        <v>915.3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938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933.49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02">
        <v>869.1</v>
      </c>
      <c r="DK27" s="729"/>
      <c r="DL27" s="702"/>
      <c r="DM27" s="730"/>
      <c r="DN27" s="731"/>
      <c r="DO27" s="399">
        <f t="shared" si="16"/>
        <v>0</v>
      </c>
      <c r="DR27" s="106"/>
      <c r="DS27" s="15">
        <v>20</v>
      </c>
      <c r="DT27" s="92">
        <v>874.07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893.6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909.9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900.8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895.4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966.15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899.9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917.6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914.4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964.33</v>
      </c>
      <c r="HG27" s="245"/>
      <c r="HH27" s="702"/>
      <c r="HI27" s="964"/>
      <c r="HJ27" s="71"/>
      <c r="HK27" s="244">
        <f t="shared" si="26"/>
        <v>0</v>
      </c>
      <c r="HN27" s="213"/>
      <c r="HO27" s="15">
        <v>20</v>
      </c>
      <c r="HP27" s="92">
        <v>901.74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911.72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916.3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889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862.7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902.6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903.6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902.3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967.05</v>
      </c>
      <c r="KS27" s="253"/>
      <c r="KT27" s="705"/>
      <c r="KU27" s="703"/>
      <c r="KV27" s="704"/>
      <c r="KW27" s="394">
        <f t="shared" si="34"/>
        <v>0</v>
      </c>
      <c r="KZ27" s="106"/>
      <c r="LA27" s="15">
        <v>20</v>
      </c>
      <c r="LB27" s="92">
        <v>897.2</v>
      </c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>
        <v>926.68</v>
      </c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>
        <v>873.2</v>
      </c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>
        <v>940.7</v>
      </c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>
        <v>891.76</v>
      </c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>
        <v>912.6</v>
      </c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>
        <v>937.1</v>
      </c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9102497</v>
      </c>
      <c r="E28" s="135">
        <f t="shared" si="66"/>
        <v>44911</v>
      </c>
      <c r="F28" s="86">
        <f t="shared" si="66"/>
        <v>19165.84</v>
      </c>
      <c r="G28" s="73">
        <f t="shared" si="66"/>
        <v>21</v>
      </c>
      <c r="H28" s="48">
        <f t="shared" si="66"/>
        <v>19125.2</v>
      </c>
      <c r="I28" s="105">
        <f t="shared" si="66"/>
        <v>40.639999999999418</v>
      </c>
      <c r="L28" s="94"/>
      <c r="M28" s="15">
        <v>21</v>
      </c>
      <c r="N28" s="69">
        <v>898.1</v>
      </c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927.1</v>
      </c>
      <c r="Y28" s="253"/>
      <c r="Z28" s="705"/>
      <c r="AA28" s="703"/>
      <c r="AB28" s="704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920.8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/>
      <c r="BW28" s="290"/>
      <c r="BX28" s="92"/>
      <c r="BY28" s="582"/>
      <c r="BZ28" s="291"/>
      <c r="CA28" s="394">
        <f t="shared" si="13"/>
        <v>0</v>
      </c>
      <c r="CD28" s="492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925.3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02">
        <v>871.8</v>
      </c>
      <c r="DK28" s="729"/>
      <c r="DL28" s="702"/>
      <c r="DM28" s="730"/>
      <c r="DN28" s="731"/>
      <c r="DO28" s="399">
        <f t="shared" si="16"/>
        <v>0</v>
      </c>
      <c r="DR28" s="106"/>
      <c r="DS28" s="15">
        <v>21</v>
      </c>
      <c r="DT28" s="92"/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940.7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911.7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>
        <v>888.1</v>
      </c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903.6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/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>
        <v>899</v>
      </c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>
        <v>879.1</v>
      </c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>
        <v>927.1</v>
      </c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/>
      <c r="HG28" s="245"/>
      <c r="HH28" s="702"/>
      <c r="HI28" s="964"/>
      <c r="HJ28" s="71"/>
      <c r="HK28" s="244">
        <f t="shared" si="26"/>
        <v>0</v>
      </c>
      <c r="HN28" s="106"/>
      <c r="HO28" s="15">
        <v>21</v>
      </c>
      <c r="HP28" s="92"/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/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902.6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886.3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>
        <v>926.2</v>
      </c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909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>
        <v>916.3</v>
      </c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906.3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/>
      <c r="KS28" s="253"/>
      <c r="KT28" s="705"/>
      <c r="KU28" s="703"/>
      <c r="KV28" s="704"/>
      <c r="KW28" s="394">
        <f t="shared" si="34"/>
        <v>0</v>
      </c>
      <c r="KZ28" s="106"/>
      <c r="LA28" s="15">
        <v>21</v>
      </c>
      <c r="LB28" s="92">
        <v>868.2</v>
      </c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>
        <v>879.1</v>
      </c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>
        <v>940.7</v>
      </c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>
        <v>935.3</v>
      </c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91179969</v>
      </c>
      <c r="E29" s="135">
        <f t="shared" si="67"/>
        <v>44911</v>
      </c>
      <c r="F29" s="86">
        <f t="shared" si="67"/>
        <v>19052.3</v>
      </c>
      <c r="G29" s="73">
        <f t="shared" si="67"/>
        <v>21</v>
      </c>
      <c r="H29" s="48">
        <f t="shared" si="67"/>
        <v>19018.2</v>
      </c>
      <c r="I29" s="105">
        <f t="shared" si="67"/>
        <v>34.099999999998545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705"/>
      <c r="AA29" s="703"/>
      <c r="AB29" s="704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702"/>
      <c r="HI29" s="964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05"/>
      <c r="KU29" s="703"/>
      <c r="KV29" s="704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91092545</v>
      </c>
      <c r="E30" s="135">
        <f t="shared" si="68"/>
        <v>44912</v>
      </c>
      <c r="F30" s="86">
        <f t="shared" si="68"/>
        <v>19132.05</v>
      </c>
      <c r="G30" s="73">
        <f t="shared" si="68"/>
        <v>21</v>
      </c>
      <c r="H30" s="48">
        <f t="shared" si="68"/>
        <v>19056.099999999999</v>
      </c>
      <c r="I30" s="105">
        <f>F30-H30</f>
        <v>75.950000000000728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91143502</v>
      </c>
      <c r="E31" s="135">
        <f t="shared" si="69"/>
        <v>44912</v>
      </c>
      <c r="F31" s="86">
        <f t="shared" si="69"/>
        <v>19022.099999999999</v>
      </c>
      <c r="G31" s="73">
        <f t="shared" si="69"/>
        <v>21</v>
      </c>
      <c r="H31" s="48">
        <f t="shared" si="69"/>
        <v>18972.900000000001</v>
      </c>
      <c r="I31" s="105">
        <f t="shared" ref="I31:I92" si="70">F31-H31</f>
        <v>49.19999999999709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91307670</v>
      </c>
      <c r="E32" s="135">
        <f t="shared" si="71"/>
        <v>44915</v>
      </c>
      <c r="F32" s="86">
        <f t="shared" si="71"/>
        <v>19011.71</v>
      </c>
      <c r="G32" s="73">
        <f t="shared" si="71"/>
        <v>21</v>
      </c>
      <c r="H32" s="48">
        <f t="shared" si="71"/>
        <v>19014.5</v>
      </c>
      <c r="I32" s="105">
        <f t="shared" si="70"/>
        <v>-2.7900000000008731</v>
      </c>
      <c r="N32" s="105">
        <f>SUM(N8:N31)</f>
        <v>18759.599999999999</v>
      </c>
      <c r="P32" s="105">
        <f>SUM(P8:P31)</f>
        <v>0</v>
      </c>
      <c r="S32" s="394"/>
      <c r="X32" s="105">
        <f>SUM(X8:X31)</f>
        <v>18842.3</v>
      </c>
      <c r="Z32" s="105">
        <f>SUM(Z8:Z31)</f>
        <v>0</v>
      </c>
      <c r="AH32" s="105">
        <f>SUM(AH8:AH31)</f>
        <v>18935.559999999998</v>
      </c>
      <c r="AJ32" s="105">
        <f>SUM(AJ8:AJ31)</f>
        <v>0</v>
      </c>
      <c r="AM32" s="394"/>
      <c r="AR32" s="86">
        <f>SUM(AR8:AR31)</f>
        <v>19169.8</v>
      </c>
      <c r="AT32" s="105">
        <f>SUM(AT8:AT31)</f>
        <v>0</v>
      </c>
      <c r="AZ32" s="75"/>
      <c r="BB32" s="86">
        <f>SUM(BB8:BB31)</f>
        <v>18007.599999999995</v>
      </c>
      <c r="BD32" s="105">
        <f>SUM(BD8:BD31)</f>
        <v>0</v>
      </c>
      <c r="BL32" s="105">
        <f>SUM(BL8:BL31)</f>
        <v>18351.309999999998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18031.999999999996</v>
      </c>
      <c r="CH32" s="105">
        <f>SUM(CH8:CH31)</f>
        <v>0</v>
      </c>
      <c r="CP32" s="105">
        <f>SUM(CP8:CP31)</f>
        <v>19080.599999999999</v>
      </c>
      <c r="CR32" s="105">
        <f>SUM(CR8:CR31)</f>
        <v>0</v>
      </c>
      <c r="CZ32" s="105">
        <f>SUM(CZ8:CZ31)</f>
        <v>18651.620000000003</v>
      </c>
      <c r="DB32" s="105">
        <f>SUM(DB8:DB31)</f>
        <v>0</v>
      </c>
      <c r="DJ32" s="105">
        <f>SUM(DJ8:DJ31)</f>
        <v>18798.699999999997</v>
      </c>
      <c r="DL32" s="105">
        <f>SUM(DL8:DL31)</f>
        <v>0</v>
      </c>
      <c r="DT32" s="105">
        <f>SUM(DT8:DT31)</f>
        <v>18341.810000000001</v>
      </c>
      <c r="DV32" s="105">
        <f>SUM(DV8:DV31)</f>
        <v>0</v>
      </c>
      <c r="ED32" s="105">
        <f>SUM(ED8:ED31)</f>
        <v>18871.3</v>
      </c>
      <c r="EF32" s="105">
        <f>SUM(EF8:EF31)</f>
        <v>0</v>
      </c>
      <c r="EN32" s="105">
        <f>SUM(EN8:EN31)</f>
        <v>19185.5</v>
      </c>
      <c r="EP32" s="105">
        <f>SUM(EP8:EP31)</f>
        <v>0</v>
      </c>
      <c r="EX32" s="105">
        <f>SUM(EX8:EX31)</f>
        <v>18820.999999999996</v>
      </c>
      <c r="EZ32" s="105">
        <f>SUM(EZ8:EZ31)</f>
        <v>0</v>
      </c>
      <c r="FH32" s="132">
        <f>SUM(FH8:FH31)</f>
        <v>18826.699999999997</v>
      </c>
      <c r="FJ32" s="105">
        <f>SUM(FJ8:FJ31)</f>
        <v>0</v>
      </c>
      <c r="FR32" s="105">
        <f>SUM(FR8:FR31)</f>
        <v>18959.160000000003</v>
      </c>
      <c r="FS32" s="105"/>
      <c r="FT32" s="105">
        <f>SUM(FT8:FT31)</f>
        <v>0</v>
      </c>
      <c r="FU32" s="75" t="s">
        <v>36</v>
      </c>
      <c r="GB32" s="105">
        <f>SUM(GB8:GB31)</f>
        <v>18917.400000000001</v>
      </c>
      <c r="GD32" s="105">
        <f>SUM(GD8:GD31)</f>
        <v>0</v>
      </c>
      <c r="GL32" s="105">
        <f>SUM(GL8:GL31)</f>
        <v>18872.699999999997</v>
      </c>
      <c r="GN32" s="105">
        <f>SUM(GN8:GN31)</f>
        <v>0</v>
      </c>
      <c r="GV32" s="105">
        <f>SUM(GV8:GV31)</f>
        <v>19058.699999999997</v>
      </c>
      <c r="GX32" s="105">
        <f>SUM(GX8:GX31)</f>
        <v>0</v>
      </c>
      <c r="HF32" s="105">
        <f>SUM(HF8:HF31)</f>
        <v>18618.48</v>
      </c>
      <c r="HH32" s="105">
        <f>SUM(HH8:HH31)</f>
        <v>0</v>
      </c>
      <c r="HP32" s="105">
        <f>SUM(HP8:HP31)</f>
        <v>18237.499999999996</v>
      </c>
      <c r="HR32" s="105">
        <f>SUM(HR8:HR31)</f>
        <v>0</v>
      </c>
      <c r="HZ32" s="105">
        <f>SUM(HZ8:HZ31)</f>
        <v>18785.000000000004</v>
      </c>
      <c r="IB32" s="105">
        <f>SUM(IB8:IB31)</f>
        <v>0</v>
      </c>
      <c r="IJ32" s="105">
        <f>SUM(IJ8:IJ31)</f>
        <v>19114.3</v>
      </c>
      <c r="IL32" s="105">
        <f>SUM(IL8:IL31)</f>
        <v>0</v>
      </c>
      <c r="IT32" s="105">
        <f>SUM(IT8:IT31)</f>
        <v>19125.2</v>
      </c>
      <c r="IV32" s="105">
        <f>SUM(IV8:IV31)</f>
        <v>0</v>
      </c>
      <c r="JD32" s="105">
        <f>SUM(JD8:JD31)</f>
        <v>19018.199999999997</v>
      </c>
      <c r="JF32" s="105">
        <f>SUM(JF8:JF31)</f>
        <v>0</v>
      </c>
      <c r="JN32" s="105">
        <f>SUM(JN8:JN31)</f>
        <v>19056.099999999999</v>
      </c>
      <c r="JP32" s="105">
        <f>SUM(JP8:JP31)</f>
        <v>0</v>
      </c>
      <c r="JX32" s="105">
        <f>SUM(JX8:JX31)</f>
        <v>18972.899999999998</v>
      </c>
      <c r="JZ32" s="105">
        <f>SUM(JZ8:JZ31)</f>
        <v>0</v>
      </c>
      <c r="KH32" s="105">
        <f>SUM(KH8:KH31)</f>
        <v>19014.5</v>
      </c>
      <c r="KJ32" s="105">
        <f>SUM(KJ8:KJ31)</f>
        <v>0</v>
      </c>
      <c r="KR32" s="105">
        <f>SUM(KR8:KR31)</f>
        <v>18755.479999999996</v>
      </c>
      <c r="KT32" s="105">
        <f>SUM(KT8:KT31)</f>
        <v>0</v>
      </c>
      <c r="LB32" s="105">
        <f>SUM(LB8:LB31)</f>
        <v>18981.900000000001</v>
      </c>
      <c r="LD32" s="105">
        <f>SUM(LD8:LD31)</f>
        <v>0</v>
      </c>
      <c r="LL32" s="86">
        <f>SUM(LL8:LL31)</f>
        <v>18728.29</v>
      </c>
      <c r="LN32" s="105">
        <f>SUM(LN8:LN31)</f>
        <v>0</v>
      </c>
      <c r="LU32" s="140"/>
      <c r="LV32" s="86">
        <f>SUM(LV8:LV31)</f>
        <v>18686.400000000001</v>
      </c>
      <c r="LW32" s="86"/>
      <c r="LX32" s="86">
        <f>SUM(LX8:LX31)</f>
        <v>0</v>
      </c>
      <c r="MA32" s="394"/>
      <c r="MB32" s="394"/>
      <c r="MF32" s="105">
        <f>SUM(MF8:MF31)</f>
        <v>19014.300000000003</v>
      </c>
      <c r="MH32" s="105">
        <f>SUM(MH8:MH31)</f>
        <v>0</v>
      </c>
      <c r="MP32" s="86">
        <f>SUM(MP8:MP31)</f>
        <v>18390.809999999994</v>
      </c>
      <c r="MR32" s="86">
        <f>SUM(MR8:MR31)</f>
        <v>0</v>
      </c>
      <c r="MZ32" s="86">
        <f>SUM(MZ8:MZ31)</f>
        <v>19064.400000000001</v>
      </c>
      <c r="NB32" s="86">
        <f>SUM(NB8:NB31)</f>
        <v>0</v>
      </c>
      <c r="NJ32" s="105">
        <f>SUM(NJ8:NJ31)</f>
        <v>19183.3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 B P </v>
      </c>
      <c r="D33" s="102" t="str">
        <f t="shared" si="72"/>
        <v>PED. 91354477</v>
      </c>
      <c r="E33" s="135">
        <f t="shared" si="72"/>
        <v>44915</v>
      </c>
      <c r="F33" s="86">
        <f t="shared" si="72"/>
        <v>18789.09</v>
      </c>
      <c r="G33" s="73">
        <f t="shared" si="72"/>
        <v>20</v>
      </c>
      <c r="H33" s="48">
        <f t="shared" si="72"/>
        <v>18755.48</v>
      </c>
      <c r="I33" s="105">
        <f t="shared" si="70"/>
        <v>33.610000000000582</v>
      </c>
      <c r="N33" s="974" t="s">
        <v>21</v>
      </c>
      <c r="O33" s="975"/>
      <c r="P33" s="141">
        <f>Q5-P32</f>
        <v>18759.599999999999</v>
      </c>
      <c r="S33" s="394"/>
      <c r="X33" s="974" t="s">
        <v>21</v>
      </c>
      <c r="Y33" s="975"/>
      <c r="Z33" s="141">
        <f>AA5-Z32</f>
        <v>18842.3</v>
      </c>
      <c r="AH33" s="261" t="s">
        <v>21</v>
      </c>
      <c r="AI33" s="262"/>
      <c r="AJ33" s="217">
        <f>AK5-AJ32</f>
        <v>18935.560000000001</v>
      </c>
      <c r="AM33" s="394"/>
      <c r="AR33" s="261" t="s">
        <v>21</v>
      </c>
      <c r="AS33" s="262"/>
      <c r="AT33" s="141">
        <f>AU5-AT32</f>
        <v>19169.8</v>
      </c>
      <c r="AZ33" s="75"/>
      <c r="BB33" s="261" t="s">
        <v>21</v>
      </c>
      <c r="BC33" s="262"/>
      <c r="BD33" s="141">
        <f>BE5-BD32</f>
        <v>18007.599999999999</v>
      </c>
      <c r="BL33" s="261" t="s">
        <v>21</v>
      </c>
      <c r="BM33" s="262"/>
      <c r="BN33" s="141">
        <f>BL32-BN32</f>
        <v>18351.309999999998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18031.999999999996</v>
      </c>
      <c r="CP33" s="261" t="s">
        <v>21</v>
      </c>
      <c r="CQ33" s="262"/>
      <c r="CR33" s="141">
        <f>CP32-CR32</f>
        <v>19080.599999999999</v>
      </c>
      <c r="CZ33" s="261" t="s">
        <v>21</v>
      </c>
      <c r="DA33" s="262"/>
      <c r="DB33" s="141">
        <f>CZ32-DB32</f>
        <v>18651.620000000003</v>
      </c>
      <c r="DJ33" s="261" t="s">
        <v>21</v>
      </c>
      <c r="DK33" s="262"/>
      <c r="DL33" s="141">
        <f>DJ32-DL32</f>
        <v>18798.699999999997</v>
      </c>
      <c r="DT33" s="261" t="s">
        <v>21</v>
      </c>
      <c r="DU33" s="262"/>
      <c r="DV33" s="141">
        <f>DT32-DV32</f>
        <v>18341.810000000001</v>
      </c>
      <c r="ED33" s="261" t="s">
        <v>21</v>
      </c>
      <c r="EE33" s="262"/>
      <c r="EF33" s="141">
        <f>ED32-EF32</f>
        <v>18871.3</v>
      </c>
      <c r="EN33" s="261" t="s">
        <v>21</v>
      </c>
      <c r="EO33" s="262"/>
      <c r="EP33" s="141">
        <f>EN32-EP32</f>
        <v>19185.5</v>
      </c>
      <c r="EX33" s="261" t="s">
        <v>21</v>
      </c>
      <c r="EY33" s="262"/>
      <c r="EZ33" s="141">
        <f>EX32-EZ32</f>
        <v>18820.999999999996</v>
      </c>
      <c r="FH33" s="261" t="s">
        <v>21</v>
      </c>
      <c r="FI33" s="262"/>
      <c r="FJ33" s="141">
        <f>FH32-FJ32</f>
        <v>18826.699999999997</v>
      </c>
      <c r="FR33" s="261" t="s">
        <v>21</v>
      </c>
      <c r="FS33" s="262"/>
      <c r="FT33" s="141">
        <f>FR32-FT32</f>
        <v>18959.160000000003</v>
      </c>
      <c r="GB33" s="261" t="s">
        <v>21</v>
      </c>
      <c r="GC33" s="262"/>
      <c r="GD33" s="141">
        <f>GE5-GD32</f>
        <v>18917.400000000001</v>
      </c>
      <c r="GL33" s="261" t="s">
        <v>21</v>
      </c>
      <c r="GM33" s="262"/>
      <c r="GN33" s="141">
        <f>GL32-GN32</f>
        <v>18872.699999999997</v>
      </c>
      <c r="GV33" s="261" t="s">
        <v>21</v>
      </c>
      <c r="GW33" s="262"/>
      <c r="GX33" s="141">
        <f>GV32-GX32</f>
        <v>19058.699999999997</v>
      </c>
      <c r="HF33" s="261" t="s">
        <v>21</v>
      </c>
      <c r="HG33" s="262"/>
      <c r="HH33" s="141">
        <f>HF32-HH32</f>
        <v>18618.48</v>
      </c>
      <c r="HP33" s="261" t="s">
        <v>21</v>
      </c>
      <c r="HQ33" s="262"/>
      <c r="HR33" s="141">
        <f>HP32-HR32</f>
        <v>18237.499999999996</v>
      </c>
      <c r="HZ33" s="261" t="s">
        <v>21</v>
      </c>
      <c r="IA33" s="262"/>
      <c r="IB33" s="141">
        <f>IC5-IB32</f>
        <v>18785</v>
      </c>
      <c r="IJ33" s="261" t="s">
        <v>21</v>
      </c>
      <c r="IK33" s="262"/>
      <c r="IL33" s="141">
        <f>IJ32-IL32</f>
        <v>19114.3</v>
      </c>
      <c r="IT33" s="261" t="s">
        <v>21</v>
      </c>
      <c r="IU33" s="262"/>
      <c r="IV33" s="141">
        <f>IT32-IV32</f>
        <v>19125.2</v>
      </c>
      <c r="JD33" s="261" t="s">
        <v>21</v>
      </c>
      <c r="JE33" s="262"/>
      <c r="JF33" s="141">
        <f>JD32-JF32</f>
        <v>19018.199999999997</v>
      </c>
      <c r="JN33" s="261" t="s">
        <v>21</v>
      </c>
      <c r="JO33" s="262"/>
      <c r="JP33" s="141">
        <f>JN32-JP32</f>
        <v>19056.099999999999</v>
      </c>
      <c r="JX33" s="261" t="s">
        <v>21</v>
      </c>
      <c r="JY33" s="262"/>
      <c r="JZ33" s="141">
        <f>KA5-JZ32</f>
        <v>18972.900000000001</v>
      </c>
      <c r="KH33" s="261" t="s">
        <v>21</v>
      </c>
      <c r="KI33" s="262"/>
      <c r="KJ33" s="141">
        <f>KK5-KJ32</f>
        <v>19014.5</v>
      </c>
      <c r="KR33" s="261" t="s">
        <v>21</v>
      </c>
      <c r="KS33" s="262"/>
      <c r="KT33" s="141">
        <f>KU5-KT32</f>
        <v>18755.48</v>
      </c>
      <c r="LB33" s="261" t="s">
        <v>21</v>
      </c>
      <c r="LC33" s="262"/>
      <c r="LD33" s="217">
        <f>LE5-LD32</f>
        <v>18981.900000000001</v>
      </c>
      <c r="LL33" s="261" t="s">
        <v>21</v>
      </c>
      <c r="LM33" s="262"/>
      <c r="LN33" s="141">
        <f>LO5-LN32</f>
        <v>18728.29</v>
      </c>
      <c r="MA33" s="394"/>
      <c r="MB33" s="394"/>
      <c r="MF33" s="261" t="s">
        <v>21</v>
      </c>
      <c r="MG33" s="262"/>
      <c r="MH33" s="141">
        <f>MI5-MH32</f>
        <v>19014.3</v>
      </c>
      <c r="MP33" s="261" t="s">
        <v>21</v>
      </c>
      <c r="MQ33" s="262"/>
      <c r="MR33" s="141">
        <f>MS5-MR32</f>
        <v>18390.810000000001</v>
      </c>
      <c r="MZ33" s="261" t="s">
        <v>21</v>
      </c>
      <c r="NA33" s="262"/>
      <c r="NB33" s="141">
        <f>NC5-NB32</f>
        <v>19064.400000000001</v>
      </c>
      <c r="NJ33" s="261" t="s">
        <v>21</v>
      </c>
      <c r="NK33" s="262"/>
      <c r="NL33" s="141">
        <f>NM5-NL32</f>
        <v>19183.3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94" t="s">
        <v>21</v>
      </c>
      <c r="RU33" s="1195"/>
      <c r="RV33" s="141">
        <f>SUM(RW5-RV32)</f>
        <v>0</v>
      </c>
      <c r="SC33" s="1194" t="s">
        <v>21</v>
      </c>
      <c r="SD33" s="1195"/>
      <c r="SE33" s="141">
        <f>SUM(SF5-SE32)</f>
        <v>0</v>
      </c>
      <c r="SL33" s="1194" t="s">
        <v>21</v>
      </c>
      <c r="SM33" s="1195"/>
      <c r="SN33" s="217">
        <f>SUM(SO5-SN32)</f>
        <v>0</v>
      </c>
      <c r="SU33" s="1194" t="s">
        <v>21</v>
      </c>
      <c r="SV33" s="1195"/>
      <c r="SW33" s="141">
        <f>SUM(SX5-SW32)</f>
        <v>0</v>
      </c>
      <c r="TD33" s="1194" t="s">
        <v>21</v>
      </c>
      <c r="TE33" s="1195"/>
      <c r="TF33" s="141">
        <f>SUM(TG5-TF32)</f>
        <v>0</v>
      </c>
      <c r="TM33" s="1194" t="s">
        <v>21</v>
      </c>
      <c r="TN33" s="1195"/>
      <c r="TO33" s="141">
        <f>SUM(TP5-TO32)</f>
        <v>0</v>
      </c>
      <c r="TV33" s="1194" t="s">
        <v>21</v>
      </c>
      <c r="TW33" s="1195"/>
      <c r="TX33" s="141">
        <f>SUM(TY5-TX32)</f>
        <v>0</v>
      </c>
      <c r="UE33" s="1194" t="s">
        <v>21</v>
      </c>
      <c r="UF33" s="1195"/>
      <c r="UG33" s="141">
        <f>SUM(UH5-UG32)</f>
        <v>0</v>
      </c>
      <c r="UN33" s="1194" t="s">
        <v>21</v>
      </c>
      <c r="UO33" s="119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94" t="s">
        <v>21</v>
      </c>
      <c r="VP33" s="1195"/>
      <c r="VQ33" s="141">
        <f>VR5-VQ32</f>
        <v>-22</v>
      </c>
      <c r="VX33" s="1194" t="s">
        <v>21</v>
      </c>
      <c r="VY33" s="1195"/>
      <c r="VZ33" s="141">
        <f>WA5-VZ32</f>
        <v>-22</v>
      </c>
      <c r="WG33" s="1194" t="s">
        <v>21</v>
      </c>
      <c r="WH33" s="1195"/>
      <c r="WI33" s="141">
        <f>WJ5-WI32</f>
        <v>-22</v>
      </c>
      <c r="WP33" s="1194" t="s">
        <v>21</v>
      </c>
      <c r="WQ33" s="1195"/>
      <c r="WR33" s="141">
        <f>WS5-WR32</f>
        <v>-22</v>
      </c>
      <c r="WY33" s="1194" t="s">
        <v>21</v>
      </c>
      <c r="WZ33" s="1195"/>
      <c r="XA33" s="141">
        <f>XB5-XA32</f>
        <v>-22</v>
      </c>
      <c r="XH33" s="1194" t="s">
        <v>21</v>
      </c>
      <c r="XI33" s="1195"/>
      <c r="XJ33" s="141">
        <f>XK5-XJ32</f>
        <v>-22</v>
      </c>
      <c r="XQ33" s="1194" t="s">
        <v>21</v>
      </c>
      <c r="XR33" s="1195"/>
      <c r="XS33" s="141">
        <f>XT5-XS32</f>
        <v>-22</v>
      </c>
      <c r="XZ33" s="1194" t="s">
        <v>21</v>
      </c>
      <c r="YA33" s="1195"/>
      <c r="YB33" s="141">
        <f>YC5-YB32</f>
        <v>-22</v>
      </c>
      <c r="YI33" s="1194" t="s">
        <v>21</v>
      </c>
      <c r="YJ33" s="1195"/>
      <c r="YK33" s="141">
        <f>YL5-YK32</f>
        <v>-22</v>
      </c>
      <c r="YR33" s="1194" t="s">
        <v>21</v>
      </c>
      <c r="YS33" s="1195"/>
      <c r="YT33" s="141">
        <f>YU5-YT32</f>
        <v>-22</v>
      </c>
      <c r="ZA33" s="1194" t="s">
        <v>21</v>
      </c>
      <c r="ZB33" s="1195"/>
      <c r="ZC33" s="141">
        <f>ZD5-ZC32</f>
        <v>-22</v>
      </c>
      <c r="ZJ33" s="1194" t="s">
        <v>21</v>
      </c>
      <c r="ZK33" s="1195"/>
      <c r="ZL33" s="141">
        <f>ZM5-ZL32</f>
        <v>-22</v>
      </c>
      <c r="ZS33" s="1194" t="s">
        <v>21</v>
      </c>
      <c r="ZT33" s="1195"/>
      <c r="ZU33" s="141">
        <f>ZV5-ZU32</f>
        <v>-22</v>
      </c>
      <c r="AAB33" s="1194" t="s">
        <v>21</v>
      </c>
      <c r="AAC33" s="1195"/>
      <c r="AAD33" s="141">
        <f>AAE5-AAD32</f>
        <v>-22</v>
      </c>
      <c r="AAK33" s="1194" t="s">
        <v>21</v>
      </c>
      <c r="AAL33" s="1195"/>
      <c r="AAM33" s="141">
        <f>AAN5-AAM32</f>
        <v>-22</v>
      </c>
      <c r="AAT33" s="1194" t="s">
        <v>21</v>
      </c>
      <c r="AAU33" s="1195"/>
      <c r="AAV33" s="141">
        <f>AAV32-AAT32</f>
        <v>22</v>
      </c>
      <c r="ABC33" s="1194" t="s">
        <v>21</v>
      </c>
      <c r="ABD33" s="1195"/>
      <c r="ABE33" s="141">
        <f>ABF5-ABE32</f>
        <v>-22</v>
      </c>
      <c r="ABL33" s="1194" t="s">
        <v>21</v>
      </c>
      <c r="ABM33" s="1195"/>
      <c r="ABN33" s="141">
        <f>ABO5-ABN32</f>
        <v>-22</v>
      </c>
      <c r="ABU33" s="1194" t="s">
        <v>21</v>
      </c>
      <c r="ABV33" s="1195"/>
      <c r="ABW33" s="141">
        <f>ABX5-ABW32</f>
        <v>-22</v>
      </c>
      <c r="ACD33" s="1194" t="s">
        <v>21</v>
      </c>
      <c r="ACE33" s="1195"/>
      <c r="ACF33" s="141">
        <f>ACG5-ACF32</f>
        <v>-22</v>
      </c>
      <c r="ACM33" s="1194" t="s">
        <v>21</v>
      </c>
      <c r="ACN33" s="1195"/>
      <c r="ACO33" s="141">
        <f>ACP5-ACO32</f>
        <v>-22</v>
      </c>
      <c r="ACV33" s="1194" t="s">
        <v>21</v>
      </c>
      <c r="ACW33" s="1195"/>
      <c r="ACX33" s="141">
        <f>ACY5-ACX32</f>
        <v>-22</v>
      </c>
      <c r="ADE33" s="1194" t="s">
        <v>21</v>
      </c>
      <c r="ADF33" s="1195"/>
      <c r="ADG33" s="141">
        <f>ADH5-ADG32</f>
        <v>-22</v>
      </c>
      <c r="ADN33" s="1194" t="s">
        <v>21</v>
      </c>
      <c r="ADO33" s="1195"/>
      <c r="ADP33" s="141">
        <f>ADQ5-ADP32</f>
        <v>-22</v>
      </c>
      <c r="ADW33" s="1194" t="s">
        <v>21</v>
      </c>
      <c r="ADX33" s="1195"/>
      <c r="ADY33" s="141">
        <f>ADZ5-ADY32</f>
        <v>-22</v>
      </c>
      <c r="AEF33" s="1194" t="s">
        <v>21</v>
      </c>
      <c r="AEG33" s="1195"/>
      <c r="AEH33" s="141">
        <f>AEI5-AEH32</f>
        <v>-22</v>
      </c>
      <c r="AEO33" s="1194" t="s">
        <v>21</v>
      </c>
      <c r="AEP33" s="1195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91409199</v>
      </c>
      <c r="E34" s="135">
        <f t="shared" si="73"/>
        <v>44916</v>
      </c>
      <c r="F34" s="86">
        <f t="shared" si="73"/>
        <v>19050.21</v>
      </c>
      <c r="G34" s="73">
        <f t="shared" si="73"/>
        <v>21</v>
      </c>
      <c r="H34" s="48">
        <f t="shared" si="73"/>
        <v>18981.900000000001</v>
      </c>
      <c r="I34" s="105">
        <f t="shared" si="70"/>
        <v>68.309999999997672</v>
      </c>
      <c r="N34" s="976" t="s">
        <v>4</v>
      </c>
      <c r="O34" s="977"/>
      <c r="P34" s="49"/>
      <c r="S34" s="394"/>
      <c r="X34" s="976" t="s">
        <v>4</v>
      </c>
      <c r="Y34" s="977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18686.400000000001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96" t="s">
        <v>4</v>
      </c>
      <c r="RU34" s="1197"/>
      <c r="RV34" s="49"/>
      <c r="SC34" s="1196" t="s">
        <v>4</v>
      </c>
      <c r="SD34" s="1197"/>
      <c r="SE34" s="49"/>
      <c r="SL34" s="1196" t="s">
        <v>4</v>
      </c>
      <c r="SM34" s="1197"/>
      <c r="SN34" s="49"/>
      <c r="SU34" s="1196" t="s">
        <v>4</v>
      </c>
      <c r="SV34" s="1197"/>
      <c r="SW34" s="49"/>
      <c r="TD34" s="1196" t="s">
        <v>4</v>
      </c>
      <c r="TE34" s="1197"/>
      <c r="TF34" s="49"/>
      <c r="TM34" s="1196" t="s">
        <v>4</v>
      </c>
      <c r="TN34" s="1197"/>
      <c r="TO34" s="49"/>
      <c r="TV34" s="1196" t="s">
        <v>4</v>
      </c>
      <c r="TW34" s="1197"/>
      <c r="TX34" s="49"/>
      <c r="UE34" s="1196" t="s">
        <v>4</v>
      </c>
      <c r="UF34" s="1197"/>
      <c r="UG34" s="49"/>
      <c r="UN34" s="1196" t="s">
        <v>4</v>
      </c>
      <c r="UO34" s="119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96" t="s">
        <v>4</v>
      </c>
      <c r="VP34" s="1197"/>
      <c r="VQ34" s="49"/>
      <c r="VX34" s="1196" t="s">
        <v>4</v>
      </c>
      <c r="VY34" s="1197"/>
      <c r="VZ34" s="49"/>
      <c r="WG34" s="1196" t="s">
        <v>4</v>
      </c>
      <c r="WH34" s="1197"/>
      <c r="WI34" s="49"/>
      <c r="WP34" s="1196" t="s">
        <v>4</v>
      </c>
      <c r="WQ34" s="1197"/>
      <c r="WR34" s="49"/>
      <c r="WY34" s="1196" t="s">
        <v>4</v>
      </c>
      <c r="WZ34" s="1197"/>
      <c r="XA34" s="49"/>
      <c r="XH34" s="1196" t="s">
        <v>4</v>
      </c>
      <c r="XI34" s="1197"/>
      <c r="XJ34" s="49"/>
      <c r="XQ34" s="1196" t="s">
        <v>4</v>
      </c>
      <c r="XR34" s="1197"/>
      <c r="XS34" s="49"/>
      <c r="XZ34" s="1196" t="s">
        <v>4</v>
      </c>
      <c r="YA34" s="1197"/>
      <c r="YB34" s="49"/>
      <c r="YI34" s="1196" t="s">
        <v>4</v>
      </c>
      <c r="YJ34" s="1197"/>
      <c r="YK34" s="49"/>
      <c r="YR34" s="1196" t="s">
        <v>4</v>
      </c>
      <c r="YS34" s="1197"/>
      <c r="YT34" s="49"/>
      <c r="ZA34" s="1196" t="s">
        <v>4</v>
      </c>
      <c r="ZB34" s="1197"/>
      <c r="ZC34" s="49"/>
      <c r="ZJ34" s="1196" t="s">
        <v>4</v>
      </c>
      <c r="ZK34" s="1197"/>
      <c r="ZL34" s="49"/>
      <c r="ZS34" s="1196" t="s">
        <v>4</v>
      </c>
      <c r="ZT34" s="1197"/>
      <c r="ZU34" s="49"/>
      <c r="AAB34" s="1196" t="s">
        <v>4</v>
      </c>
      <c r="AAC34" s="1197"/>
      <c r="AAD34" s="49"/>
      <c r="AAK34" s="1196" t="s">
        <v>4</v>
      </c>
      <c r="AAL34" s="1197"/>
      <c r="AAM34" s="49"/>
      <c r="AAT34" s="1196" t="s">
        <v>4</v>
      </c>
      <c r="AAU34" s="1197"/>
      <c r="AAV34" s="49"/>
      <c r="ABC34" s="1196" t="s">
        <v>4</v>
      </c>
      <c r="ABD34" s="1197"/>
      <c r="ABE34" s="49"/>
      <c r="ABL34" s="1196" t="s">
        <v>4</v>
      </c>
      <c r="ABM34" s="1197"/>
      <c r="ABN34" s="49"/>
      <c r="ABU34" s="1196" t="s">
        <v>4</v>
      </c>
      <c r="ABV34" s="1197"/>
      <c r="ABW34" s="49"/>
      <c r="ACD34" s="1196" t="s">
        <v>4</v>
      </c>
      <c r="ACE34" s="1197"/>
      <c r="ACF34" s="49"/>
      <c r="ACM34" s="1196" t="s">
        <v>4</v>
      </c>
      <c r="ACN34" s="1197"/>
      <c r="ACO34" s="49"/>
      <c r="ACV34" s="1196" t="s">
        <v>4</v>
      </c>
      <c r="ACW34" s="1197"/>
      <c r="ACX34" s="49"/>
      <c r="ADE34" s="1196" t="s">
        <v>4</v>
      </c>
      <c r="ADF34" s="1197"/>
      <c r="ADG34" s="49"/>
      <c r="ADN34" s="1196" t="s">
        <v>4</v>
      </c>
      <c r="ADO34" s="1197"/>
      <c r="ADP34" s="49"/>
      <c r="ADW34" s="1196" t="s">
        <v>4</v>
      </c>
      <c r="ADX34" s="1197"/>
      <c r="ADY34" s="49"/>
      <c r="AEF34" s="1196" t="s">
        <v>4</v>
      </c>
      <c r="AEG34" s="1197"/>
      <c r="AEH34" s="49"/>
      <c r="AEO34" s="1196" t="s">
        <v>4</v>
      </c>
      <c r="AEP34" s="1197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 I B P</v>
      </c>
      <c r="D35" s="102" t="str">
        <f t="shared" si="74"/>
        <v>PED. 91408419</v>
      </c>
      <c r="E35" s="135">
        <f t="shared" si="74"/>
        <v>44916</v>
      </c>
      <c r="F35" s="86">
        <f t="shared" si="74"/>
        <v>18670.64</v>
      </c>
      <c r="G35" s="73">
        <f t="shared" si="74"/>
        <v>20</v>
      </c>
      <c r="H35" s="48">
        <f t="shared" si="74"/>
        <v>18728.29</v>
      </c>
      <c r="I35" s="105">
        <f t="shared" si="70"/>
        <v>-57.650000000001455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91479897</v>
      </c>
      <c r="E36" s="135">
        <f t="shared" si="75"/>
        <v>44917</v>
      </c>
      <c r="F36" s="86">
        <f t="shared" si="75"/>
        <v>18579.03</v>
      </c>
      <c r="G36" s="73">
        <f t="shared" si="75"/>
        <v>21</v>
      </c>
      <c r="H36" s="48">
        <f t="shared" si="75"/>
        <v>18686.400000000001</v>
      </c>
      <c r="I36" s="105">
        <f t="shared" si="70"/>
        <v>-107.37000000000262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 t="str">
        <f t="shared" ref="B37:H37" si="76">MC5</f>
        <v>SEABOARD FOODS</v>
      </c>
      <c r="C37" s="75" t="str">
        <f t="shared" si="76"/>
        <v>Seaboard</v>
      </c>
      <c r="D37" s="102" t="str">
        <f t="shared" si="76"/>
        <v>PED. 91408800</v>
      </c>
      <c r="E37" s="135">
        <f t="shared" si="76"/>
        <v>44917</v>
      </c>
      <c r="F37" s="86">
        <f t="shared" si="76"/>
        <v>19089.29</v>
      </c>
      <c r="G37" s="73">
        <f t="shared" si="76"/>
        <v>21</v>
      </c>
      <c r="H37" s="48">
        <f t="shared" si="76"/>
        <v>19014.3</v>
      </c>
      <c r="I37" s="105">
        <f t="shared" si="70"/>
        <v>74.990000000001601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 t="str">
        <f t="shared" ref="B38:H38" si="77">MM5</f>
        <v>TYSON FRESH MEAT</v>
      </c>
      <c r="C38" s="75" t="str">
        <f t="shared" si="77"/>
        <v xml:space="preserve">I B P </v>
      </c>
      <c r="D38" s="142" t="str">
        <f t="shared" si="77"/>
        <v>PED. 91478998</v>
      </c>
      <c r="E38" s="135">
        <f t="shared" si="77"/>
        <v>44917</v>
      </c>
      <c r="F38" s="132">
        <f t="shared" si="77"/>
        <v>18357.23</v>
      </c>
      <c r="G38" s="73">
        <f t="shared" si="77"/>
        <v>20</v>
      </c>
      <c r="H38" s="132">
        <f t="shared" si="77"/>
        <v>18390.810000000001</v>
      </c>
      <c r="I38" s="105">
        <f t="shared" si="70"/>
        <v>-33.580000000001746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 t="str">
        <f t="shared" ref="B39:H39" si="78">MW5</f>
        <v>SEABOARD FOODS</v>
      </c>
      <c r="C39" s="75" t="str">
        <f t="shared" si="78"/>
        <v>Seaboard</v>
      </c>
      <c r="D39" s="143" t="str">
        <f t="shared" si="78"/>
        <v>PED. 91552977</v>
      </c>
      <c r="E39" s="135">
        <f t="shared" si="78"/>
        <v>44918</v>
      </c>
      <c r="F39" s="105">
        <f t="shared" si="78"/>
        <v>19059.93</v>
      </c>
      <c r="G39" s="73">
        <f t="shared" si="78"/>
        <v>21</v>
      </c>
      <c r="H39" s="132">
        <f t="shared" si="78"/>
        <v>19064.400000000001</v>
      </c>
      <c r="I39" s="105">
        <f t="shared" si="70"/>
        <v>-4.4700000000011642</v>
      </c>
      <c r="AZ39" s="75"/>
      <c r="MA39" s="394"/>
      <c r="MB39" s="394"/>
    </row>
    <row r="40" spans="1:823" x14ac:dyDescent="0.25">
      <c r="A40" s="137">
        <v>37</v>
      </c>
      <c r="B40" s="75" t="str">
        <f t="shared" ref="B40:H40" si="79">NG5</f>
        <v>SEABOARD FOODS</v>
      </c>
      <c r="C40" s="75" t="str">
        <f t="shared" si="79"/>
        <v>Seaboard</v>
      </c>
      <c r="D40" s="143" t="str">
        <f t="shared" si="79"/>
        <v>PED. 91548406</v>
      </c>
      <c r="E40" s="135">
        <f t="shared" si="79"/>
        <v>44918</v>
      </c>
      <c r="F40" s="105">
        <f t="shared" si="79"/>
        <v>19147.78</v>
      </c>
      <c r="G40" s="73">
        <f t="shared" si="79"/>
        <v>21</v>
      </c>
      <c r="H40" s="132">
        <f t="shared" si="79"/>
        <v>19183.3</v>
      </c>
      <c r="I40" s="105">
        <f t="shared" si="70"/>
        <v>-35.520000000000437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8"/>
      <c r="B1" s="1188"/>
      <c r="C1" s="1188"/>
      <c r="D1" s="1188"/>
      <c r="E1" s="1188"/>
      <c r="F1" s="1188"/>
      <c r="G1" s="118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6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75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/>
      <c r="B5" s="1222" t="s">
        <v>96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0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7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7"/>
      <c r="F25" s="92">
        <f t="shared" si="0"/>
        <v>0</v>
      </c>
      <c r="G25" s="565"/>
      <c r="H25" s="566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7"/>
      <c r="F26" s="92">
        <f t="shared" si="0"/>
        <v>0</v>
      </c>
      <c r="G26" s="565"/>
      <c r="H26" s="566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7"/>
      <c r="F27" s="92">
        <f t="shared" si="0"/>
        <v>0</v>
      </c>
      <c r="G27" s="565"/>
      <c r="H27" s="566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94" t="s">
        <v>21</v>
      </c>
      <c r="E32" s="119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376</v>
      </c>
      <c r="C5" s="66">
        <v>300</v>
      </c>
      <c r="D5" s="134">
        <v>44900</v>
      </c>
      <c r="E5" s="86">
        <v>5</v>
      </c>
      <c r="F5" s="73">
        <v>1</v>
      </c>
      <c r="G5" s="238"/>
    </row>
    <row r="6" spans="1:9" ht="15.75" x14ac:dyDescent="0.25">
      <c r="A6" s="75"/>
      <c r="B6" s="496" t="s">
        <v>75</v>
      </c>
      <c r="C6" s="66"/>
      <c r="D6" s="134"/>
      <c r="E6" s="105"/>
      <c r="F6" s="73"/>
      <c r="G6" s="88">
        <f>F27</f>
        <v>0</v>
      </c>
      <c r="H6" s="7">
        <f>E6-G6+E5+E7+E4</f>
        <v>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1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5</v>
      </c>
    </row>
    <row r="10" spans="1:9" x14ac:dyDescent="0.25">
      <c r="B10" s="417">
        <f>B9-C10</f>
        <v>1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5</v>
      </c>
    </row>
    <row r="11" spans="1:9" x14ac:dyDescent="0.25">
      <c r="B11" s="417">
        <f>B10-C11</f>
        <v>1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5</v>
      </c>
    </row>
    <row r="12" spans="1:9" x14ac:dyDescent="0.25">
      <c r="A12" s="55" t="s">
        <v>33</v>
      </c>
      <c r="B12" s="417">
        <f t="shared" ref="B12:B14" si="2">B11-C12</f>
        <v>1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5</v>
      </c>
    </row>
    <row r="13" spans="1:9" x14ac:dyDescent="0.25">
      <c r="B13" s="417">
        <f t="shared" si="2"/>
        <v>1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5</v>
      </c>
    </row>
    <row r="14" spans="1:9" x14ac:dyDescent="0.25">
      <c r="A14" s="19"/>
      <c r="B14" s="417">
        <f t="shared" si="2"/>
        <v>1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5</v>
      </c>
    </row>
    <row r="15" spans="1:9" x14ac:dyDescent="0.25">
      <c r="B15" s="417">
        <f>B14-C15</f>
        <v>1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5</v>
      </c>
    </row>
    <row r="16" spans="1:9" x14ac:dyDescent="0.25">
      <c r="B16" s="417">
        <f t="shared" ref="B16:B26" si="3">B15-C16</f>
        <v>1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5</v>
      </c>
    </row>
    <row r="17" spans="1:9" x14ac:dyDescent="0.25">
      <c r="B17" s="417">
        <f t="shared" si="3"/>
        <v>1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5</v>
      </c>
    </row>
    <row r="18" spans="1:9" x14ac:dyDescent="0.25">
      <c r="B18" s="417">
        <f t="shared" si="3"/>
        <v>1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5</v>
      </c>
    </row>
    <row r="19" spans="1:9" x14ac:dyDescent="0.25">
      <c r="B19" s="417">
        <f t="shared" si="3"/>
        <v>1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5</v>
      </c>
    </row>
    <row r="20" spans="1:9" x14ac:dyDescent="0.25">
      <c r="B20" s="417">
        <f t="shared" si="3"/>
        <v>1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5</v>
      </c>
    </row>
    <row r="21" spans="1:9" x14ac:dyDescent="0.25">
      <c r="B21" s="417">
        <f t="shared" si="3"/>
        <v>1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5</v>
      </c>
    </row>
    <row r="22" spans="1:9" x14ac:dyDescent="0.25">
      <c r="B22" s="417">
        <f t="shared" si="3"/>
        <v>1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5</v>
      </c>
    </row>
    <row r="23" spans="1:9" x14ac:dyDescent="0.25">
      <c r="B23" s="417">
        <f t="shared" si="3"/>
        <v>1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5</v>
      </c>
    </row>
    <row r="24" spans="1:9" x14ac:dyDescent="0.25">
      <c r="B24" s="417">
        <f t="shared" si="3"/>
        <v>1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5</v>
      </c>
    </row>
    <row r="25" spans="1:9" x14ac:dyDescent="0.25">
      <c r="B25" s="417">
        <f t="shared" si="3"/>
        <v>1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5</v>
      </c>
    </row>
    <row r="26" spans="1:9" ht="15.75" thickBot="1" x14ac:dyDescent="0.3">
      <c r="A26" s="121"/>
      <c r="B26" s="417">
        <f t="shared" si="3"/>
        <v>1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5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4" t="s">
        <v>21</v>
      </c>
      <c r="E29" s="1195"/>
      <c r="F29" s="141">
        <f>E5+E6-F27+E7+E4</f>
        <v>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43">
        <f t="shared" si="1"/>
        <v>0</v>
      </c>
      <c r="G12" s="703"/>
      <c r="H12" s="704"/>
      <c r="I12" s="700">
        <f t="shared" si="2"/>
        <v>0</v>
      </c>
      <c r="J12" s="739">
        <f t="shared" si="0"/>
        <v>0</v>
      </c>
    </row>
    <row r="13" spans="1:10" x14ac:dyDescent="0.25">
      <c r="B13" s="89"/>
      <c r="C13" s="337"/>
      <c r="D13" s="338"/>
      <c r="E13" s="350"/>
      <c r="F13" s="743">
        <f t="shared" si="1"/>
        <v>0</v>
      </c>
      <c r="G13" s="703"/>
      <c r="H13" s="704"/>
      <c r="I13" s="700">
        <f t="shared" si="2"/>
        <v>0</v>
      </c>
      <c r="J13" s="739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43">
        <f t="shared" si="1"/>
        <v>0</v>
      </c>
      <c r="G14" s="703"/>
      <c r="H14" s="704"/>
      <c r="I14" s="700">
        <f t="shared" si="2"/>
        <v>0</v>
      </c>
      <c r="J14" s="739">
        <f t="shared" si="0"/>
        <v>0</v>
      </c>
    </row>
    <row r="15" spans="1:10" x14ac:dyDescent="0.25">
      <c r="B15" s="89"/>
      <c r="C15" s="337"/>
      <c r="D15" s="338"/>
      <c r="E15" s="350"/>
      <c r="F15" s="743">
        <f t="shared" si="1"/>
        <v>0</v>
      </c>
      <c r="G15" s="703"/>
      <c r="H15" s="704"/>
      <c r="I15" s="700">
        <f t="shared" si="2"/>
        <v>0</v>
      </c>
      <c r="J15" s="739">
        <f t="shared" si="0"/>
        <v>0</v>
      </c>
    </row>
    <row r="16" spans="1:10" x14ac:dyDescent="0.25">
      <c r="B16" s="89"/>
      <c r="C16" s="337"/>
      <c r="D16" s="338"/>
      <c r="E16" s="350"/>
      <c r="F16" s="743">
        <f t="shared" si="1"/>
        <v>0</v>
      </c>
      <c r="G16" s="703"/>
      <c r="H16" s="704"/>
      <c r="I16" s="700">
        <f t="shared" si="2"/>
        <v>0</v>
      </c>
      <c r="J16" s="739">
        <f t="shared" si="0"/>
        <v>0</v>
      </c>
    </row>
    <row r="17" spans="1:10" x14ac:dyDescent="0.25">
      <c r="B17" s="89"/>
      <c r="C17" s="337"/>
      <c r="D17" s="338"/>
      <c r="E17" s="350"/>
      <c r="F17" s="743">
        <f t="shared" si="1"/>
        <v>0</v>
      </c>
      <c r="G17" s="703"/>
      <c r="H17" s="704"/>
      <c r="I17" s="700">
        <f t="shared" si="2"/>
        <v>0</v>
      </c>
      <c r="J17" s="739">
        <f t="shared" si="0"/>
        <v>0</v>
      </c>
    </row>
    <row r="18" spans="1:10" x14ac:dyDescent="0.25">
      <c r="B18" s="89"/>
      <c r="C18" s="337"/>
      <c r="D18" s="338"/>
      <c r="E18" s="350"/>
      <c r="F18" s="743">
        <f t="shared" si="1"/>
        <v>0</v>
      </c>
      <c r="G18" s="703"/>
      <c r="H18" s="704"/>
      <c r="I18" s="700">
        <f t="shared" si="2"/>
        <v>0</v>
      </c>
      <c r="J18" s="739">
        <f t="shared" si="0"/>
        <v>0</v>
      </c>
    </row>
    <row r="19" spans="1:10" x14ac:dyDescent="0.25">
      <c r="B19" s="89"/>
      <c r="C19" s="337"/>
      <c r="D19" s="338"/>
      <c r="E19" s="350"/>
      <c r="F19" s="743">
        <f t="shared" si="1"/>
        <v>0</v>
      </c>
      <c r="G19" s="703"/>
      <c r="H19" s="704"/>
      <c r="I19" s="700">
        <f t="shared" si="2"/>
        <v>0</v>
      </c>
      <c r="J19" s="739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4" t="s">
        <v>21</v>
      </c>
      <c r="E32" s="119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9" t="s">
        <v>219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11" t="s">
        <v>97</v>
      </c>
      <c r="B5" s="1213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11"/>
      <c r="B6" s="1213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49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130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131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5">
        <f t="shared" si="0"/>
        <v>29.71</v>
      </c>
      <c r="G11" s="466" t="s">
        <v>139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32">
        <v>34.119999999999997</v>
      </c>
      <c r="E12" s="634">
        <v>44807</v>
      </c>
      <c r="F12" s="635">
        <f t="shared" si="0"/>
        <v>34.119999999999997</v>
      </c>
      <c r="G12" s="633" t="s">
        <v>152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32">
        <v>32.950000000000003</v>
      </c>
      <c r="E13" s="634">
        <v>44818</v>
      </c>
      <c r="F13" s="635">
        <f t="shared" si="0"/>
        <v>32.950000000000003</v>
      </c>
      <c r="G13" s="633" t="s">
        <v>159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32">
        <v>32.700000000000003</v>
      </c>
      <c r="E14" s="634">
        <v>44819</v>
      </c>
      <c r="F14" s="635">
        <f t="shared" si="0"/>
        <v>32.700000000000003</v>
      </c>
      <c r="G14" s="633" t="s">
        <v>160</v>
      </c>
      <c r="H14" s="380">
        <v>61</v>
      </c>
      <c r="I14" s="132">
        <f t="shared" si="1"/>
        <v>657.19999999999982</v>
      </c>
    </row>
    <row r="15" spans="1:9" x14ac:dyDescent="0.25">
      <c r="B15" s="829">
        <f>B14-C15</f>
        <v>20</v>
      </c>
      <c r="C15" s="73">
        <v>1</v>
      </c>
      <c r="D15" s="632">
        <v>32.630000000000003</v>
      </c>
      <c r="E15" s="634">
        <v>44819</v>
      </c>
      <c r="F15" s="635">
        <f t="shared" si="0"/>
        <v>32.630000000000003</v>
      </c>
      <c r="G15" s="633" t="s">
        <v>162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38">
        <v>88.2</v>
      </c>
      <c r="E16" s="744">
        <v>44837</v>
      </c>
      <c r="F16" s="745">
        <f t="shared" si="0"/>
        <v>88.2</v>
      </c>
      <c r="G16" s="330" t="s">
        <v>182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38">
        <v>32.49</v>
      </c>
      <c r="E17" s="744">
        <v>44844</v>
      </c>
      <c r="F17" s="745">
        <f t="shared" si="0"/>
        <v>32.49</v>
      </c>
      <c r="G17" s="330" t="s">
        <v>189</v>
      </c>
      <c r="H17" s="331">
        <v>61</v>
      </c>
      <c r="I17" s="132">
        <f t="shared" si="1"/>
        <v>503.87999999999977</v>
      </c>
    </row>
    <row r="18" spans="1:9" x14ac:dyDescent="0.25">
      <c r="B18" s="857">
        <f t="shared" si="3"/>
        <v>15</v>
      </c>
      <c r="C18" s="73">
        <v>1</v>
      </c>
      <c r="D18" s="538">
        <v>29.94</v>
      </c>
      <c r="E18" s="744">
        <v>44858</v>
      </c>
      <c r="F18" s="745">
        <f t="shared" si="0"/>
        <v>29.94</v>
      </c>
      <c r="G18" s="330" t="s">
        <v>209</v>
      </c>
      <c r="H18" s="331">
        <v>61</v>
      </c>
      <c r="I18" s="836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46">
        <v>31.74</v>
      </c>
      <c r="E19" s="855">
        <v>44870</v>
      </c>
      <c r="F19" s="856">
        <f t="shared" si="0"/>
        <v>31.74</v>
      </c>
      <c r="G19" s="848" t="s">
        <v>243</v>
      </c>
      <c r="H19" s="849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46">
        <v>31.36</v>
      </c>
      <c r="E20" s="855">
        <v>44877</v>
      </c>
      <c r="F20" s="856">
        <f t="shared" si="0"/>
        <v>31.36</v>
      </c>
      <c r="G20" s="848" t="s">
        <v>266</v>
      </c>
      <c r="H20" s="849">
        <v>61</v>
      </c>
      <c r="I20" s="132">
        <f t="shared" si="1"/>
        <v>410.83999999999975</v>
      </c>
    </row>
    <row r="21" spans="1:9" x14ac:dyDescent="0.25">
      <c r="B21" s="857">
        <f t="shared" si="3"/>
        <v>12</v>
      </c>
      <c r="C21" s="73">
        <v>1</v>
      </c>
      <c r="D21" s="846">
        <v>26.53</v>
      </c>
      <c r="E21" s="855">
        <v>44881</v>
      </c>
      <c r="F21" s="856">
        <f t="shared" si="0"/>
        <v>26.53</v>
      </c>
      <c r="G21" s="848" t="s">
        <v>280</v>
      </c>
      <c r="H21" s="849">
        <v>61</v>
      </c>
      <c r="I21" s="836">
        <f t="shared" si="1"/>
        <v>384.30999999999972</v>
      </c>
    </row>
    <row r="22" spans="1:9" x14ac:dyDescent="0.25">
      <c r="B22" s="417">
        <f t="shared" si="3"/>
        <v>12</v>
      </c>
      <c r="C22" s="73"/>
      <c r="D22" s="538">
        <v>0</v>
      </c>
      <c r="E22" s="744"/>
      <c r="F22" s="745">
        <f t="shared" si="0"/>
        <v>0</v>
      </c>
      <c r="G22" s="330"/>
      <c r="H22" s="331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538">
        <v>0</v>
      </c>
      <c r="E23" s="744"/>
      <c r="F23" s="745">
        <f t="shared" si="0"/>
        <v>0</v>
      </c>
      <c r="G23" s="330"/>
      <c r="H23" s="331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538">
        <v>0</v>
      </c>
      <c r="E24" s="744"/>
      <c r="F24" s="745">
        <f t="shared" si="0"/>
        <v>0</v>
      </c>
      <c r="G24" s="330"/>
      <c r="H24" s="331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538">
        <v>0</v>
      </c>
      <c r="E25" s="744"/>
      <c r="F25" s="745">
        <f t="shared" si="0"/>
        <v>0</v>
      </c>
      <c r="G25" s="330"/>
      <c r="H25" s="331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538">
        <v>0</v>
      </c>
      <c r="E26" s="1012"/>
      <c r="F26" s="745">
        <f t="shared" si="0"/>
        <v>0</v>
      </c>
      <c r="G26" s="1013"/>
      <c r="H26" s="1014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4" t="s">
        <v>21</v>
      </c>
      <c r="E29" s="1195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6"/>
    </row>
    <row r="6" spans="1:8" ht="15.75" customHeight="1" thickTop="1" x14ac:dyDescent="0.25">
      <c r="A6" s="1207"/>
      <c r="B6" s="122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07"/>
      <c r="B7" s="1224"/>
      <c r="C7" s="367"/>
      <c r="D7" s="118"/>
      <c r="E7" s="357"/>
      <c r="F7" s="73"/>
      <c r="G7" s="5">
        <f>D28</f>
        <v>320</v>
      </c>
      <c r="H7" s="507">
        <f>E7-G7</f>
        <v>-320</v>
      </c>
    </row>
    <row r="8" spans="1:8" ht="16.5" customHeight="1" thickBot="1" x14ac:dyDescent="0.3">
      <c r="A8" s="550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4"/>
      <c r="F10" s="465">
        <f>D10</f>
        <v>0</v>
      </c>
      <c r="G10" s="466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593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593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36"/>
      <c r="F16" s="105">
        <f t="shared" si="1"/>
        <v>20</v>
      </c>
      <c r="G16" s="633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36"/>
      <c r="F17" s="105">
        <f t="shared" si="1"/>
        <v>20</v>
      </c>
      <c r="G17" s="633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36"/>
      <c r="F18" s="105">
        <f t="shared" si="1"/>
        <v>20</v>
      </c>
      <c r="G18" s="633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36"/>
      <c r="F19" s="105">
        <f t="shared" si="1"/>
        <v>20</v>
      </c>
      <c r="G19" s="633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36"/>
      <c r="F20" s="105">
        <f t="shared" si="1"/>
        <v>20</v>
      </c>
      <c r="G20" s="633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36"/>
      <c r="F21" s="105">
        <f t="shared" si="1"/>
        <v>20</v>
      </c>
      <c r="G21" s="633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36"/>
      <c r="F22" s="105">
        <f t="shared" si="1"/>
        <v>20</v>
      </c>
      <c r="G22" s="633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36"/>
      <c r="F23" s="105">
        <f t="shared" si="1"/>
        <v>20</v>
      </c>
      <c r="G23" s="633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36"/>
      <c r="F24" s="105">
        <f t="shared" si="1"/>
        <v>20</v>
      </c>
      <c r="G24" s="633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36"/>
      <c r="F25" s="105">
        <f t="shared" si="1"/>
        <v>20</v>
      </c>
      <c r="G25" s="633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4" t="s">
        <v>21</v>
      </c>
      <c r="E30" s="119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W1" zoomScaleNormal="100" workbookViewId="0">
      <pane ySplit="8" topLeftCell="A9" activePane="bottomLeft" state="frozen"/>
      <selection pane="bottomLeft" activeCell="AD6" sqref="AD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25" t="s">
        <v>325</v>
      </c>
      <c r="B1" s="1225"/>
      <c r="C1" s="1225"/>
      <c r="D1" s="1225"/>
      <c r="E1" s="1225"/>
      <c r="F1" s="1225"/>
      <c r="G1" s="1225"/>
      <c r="H1" s="1225"/>
      <c r="I1" s="1225"/>
      <c r="J1" s="1225"/>
      <c r="K1" s="479">
        <v>1</v>
      </c>
      <c r="M1" s="1228" t="s">
        <v>340</v>
      </c>
      <c r="N1" s="1228"/>
      <c r="O1" s="1228"/>
      <c r="P1" s="1228"/>
      <c r="Q1" s="1228"/>
      <c r="R1" s="1228"/>
      <c r="S1" s="1228"/>
      <c r="T1" s="1228"/>
      <c r="U1" s="1228"/>
      <c r="V1" s="1228"/>
      <c r="W1" s="479">
        <v>2</v>
      </c>
      <c r="Y1" s="1228" t="s">
        <v>340</v>
      </c>
      <c r="Z1" s="1228"/>
      <c r="AA1" s="1228"/>
      <c r="AB1" s="1228"/>
      <c r="AC1" s="1228"/>
      <c r="AD1" s="1228"/>
      <c r="AE1" s="1228"/>
      <c r="AF1" s="1228"/>
      <c r="AG1" s="1228"/>
      <c r="AH1" s="1228"/>
      <c r="AI1" s="479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42"/>
      <c r="C4" s="415"/>
      <c r="D4" s="135"/>
      <c r="E4" s="132">
        <v>4.99</v>
      </c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</row>
    <row r="5" spans="1:35" ht="15.75" customHeight="1" thickTop="1" x14ac:dyDescent="0.25">
      <c r="A5" s="1226" t="s">
        <v>97</v>
      </c>
      <c r="B5" s="73" t="s">
        <v>48</v>
      </c>
      <c r="C5" s="888">
        <v>92</v>
      </c>
      <c r="D5" s="722">
        <v>44870</v>
      </c>
      <c r="E5" s="700">
        <v>5008.4799999999996</v>
      </c>
      <c r="F5" s="717">
        <v>184</v>
      </c>
      <c r="G5" s="47">
        <f>F115</f>
        <v>544.4</v>
      </c>
      <c r="H5" s="154">
        <f>E5+E6-G5+E4</f>
        <v>4469.07</v>
      </c>
      <c r="M5" s="1226" t="s">
        <v>97</v>
      </c>
      <c r="N5" s="73" t="s">
        <v>48</v>
      </c>
      <c r="O5" s="888">
        <v>88.5</v>
      </c>
      <c r="P5" s="722">
        <v>44898</v>
      </c>
      <c r="Q5" s="700">
        <v>5008.4799999999996</v>
      </c>
      <c r="R5" s="717">
        <v>184</v>
      </c>
      <c r="S5" s="47">
        <f>R115</f>
        <v>0</v>
      </c>
      <c r="T5" s="154">
        <f>Q5+Q6-S5+Q4</f>
        <v>5008.4799999999996</v>
      </c>
      <c r="Y5" s="1226" t="s">
        <v>52</v>
      </c>
      <c r="Z5" s="73" t="s">
        <v>48</v>
      </c>
      <c r="AA5" s="888">
        <v>86</v>
      </c>
      <c r="AB5" s="722">
        <v>44900</v>
      </c>
      <c r="AC5" s="700">
        <v>9016.44</v>
      </c>
      <c r="AD5" s="717">
        <v>331</v>
      </c>
      <c r="AE5" s="47">
        <f>AD115</f>
        <v>0</v>
      </c>
      <c r="AF5" s="154">
        <f>AC5+AC6-AE5+AC4</f>
        <v>9016.44</v>
      </c>
    </row>
    <row r="6" spans="1:35" ht="15.75" customHeight="1" x14ac:dyDescent="0.25">
      <c r="A6" s="1227"/>
      <c r="B6" s="671" t="s">
        <v>143</v>
      </c>
      <c r="C6" s="889"/>
      <c r="D6" s="722"/>
      <c r="E6" s="860"/>
      <c r="F6" s="890"/>
      <c r="M6" s="1227"/>
      <c r="N6" s="671" t="s">
        <v>143</v>
      </c>
      <c r="O6" s="889"/>
      <c r="P6" s="722"/>
      <c r="Q6" s="860"/>
      <c r="R6" s="890"/>
      <c r="Y6" s="1227"/>
      <c r="Z6" s="671" t="s">
        <v>143</v>
      </c>
      <c r="AA6" s="889"/>
      <c r="AB6" s="722"/>
      <c r="AC6" s="860"/>
      <c r="AD6" s="890"/>
    </row>
    <row r="7" spans="1:35" ht="15.75" customHeight="1" thickBot="1" x14ac:dyDescent="0.3">
      <c r="A7" s="553"/>
      <c r="B7" s="158"/>
      <c r="C7" s="520"/>
      <c r="D7" s="521"/>
      <c r="E7" s="522"/>
      <c r="F7" s="481"/>
      <c r="M7" s="553"/>
      <c r="N7" s="158"/>
      <c r="O7" s="520"/>
      <c r="P7" s="521"/>
      <c r="Q7" s="522"/>
      <c r="R7" s="481"/>
      <c r="Y7" s="553"/>
      <c r="Z7" s="158"/>
      <c r="AA7" s="520"/>
      <c r="AB7" s="521"/>
      <c r="AC7" s="522"/>
      <c r="AD7" s="48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868" t="s">
        <v>59</v>
      </c>
      <c r="J8" s="868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975" t="s">
        <v>59</v>
      </c>
      <c r="V8" s="975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75" t="s">
        <v>59</v>
      </c>
      <c r="AH8" s="975" t="s">
        <v>60</v>
      </c>
      <c r="AI8" s="219" t="s">
        <v>61</v>
      </c>
    </row>
    <row r="9" spans="1:35" ht="15.75" thickTop="1" x14ac:dyDescent="0.25">
      <c r="A9" s="55" t="s">
        <v>32</v>
      </c>
      <c r="B9">
        <v>27.22</v>
      </c>
      <c r="C9" s="15">
        <v>20</v>
      </c>
      <c r="D9" s="297">
        <f t="shared" ref="D9" si="0">C9*B9</f>
        <v>544.4</v>
      </c>
      <c r="E9" s="245">
        <v>44891</v>
      </c>
      <c r="F9" s="69">
        <f t="shared" ref="F9" si="1">D9</f>
        <v>544.4</v>
      </c>
      <c r="G9" s="70" t="s">
        <v>315</v>
      </c>
      <c r="H9" s="71">
        <v>97</v>
      </c>
      <c r="I9" s="999">
        <f>E5-F9+E4+E6+E7</f>
        <v>4469.07</v>
      </c>
      <c r="J9" s="1000">
        <f>F5-C9+F4+F6+F7</f>
        <v>164</v>
      </c>
      <c r="K9" s="435">
        <f>F9*H9</f>
        <v>52806.799999999996</v>
      </c>
      <c r="M9" s="55" t="s">
        <v>32</v>
      </c>
      <c r="N9">
        <v>27.22</v>
      </c>
      <c r="O9" s="15"/>
      <c r="P9" s="297">
        <f t="shared" ref="P9" si="2">O9*N9</f>
        <v>0</v>
      </c>
      <c r="Q9" s="245"/>
      <c r="R9" s="69">
        <f t="shared" ref="R9" si="3">P9</f>
        <v>0</v>
      </c>
      <c r="S9" s="70"/>
      <c r="T9" s="71"/>
      <c r="U9" s="1044">
        <f>Q5-R9+Q4+Q6+Q7</f>
        <v>5008.4799999999996</v>
      </c>
      <c r="V9" s="1045">
        <f>R5-O9+R4+R6+R7</f>
        <v>184</v>
      </c>
      <c r="W9" s="435">
        <f>R9*T9</f>
        <v>0</v>
      </c>
      <c r="Y9" s="55" t="s">
        <v>32</v>
      </c>
      <c r="Z9">
        <v>27.22</v>
      </c>
      <c r="AA9" s="15"/>
      <c r="AB9" s="297">
        <f t="shared" ref="AB9" si="4">AA9*Z9</f>
        <v>0</v>
      </c>
      <c r="AC9" s="245"/>
      <c r="AD9" s="69">
        <f t="shared" ref="AD9" si="5">AB9</f>
        <v>0</v>
      </c>
      <c r="AE9" s="70"/>
      <c r="AF9" s="71"/>
      <c r="AG9" s="1044">
        <f>AC5-AD9+AC4+AC6+AC7</f>
        <v>9016.44</v>
      </c>
      <c r="AH9" s="1045">
        <f>AD5-AA9+AD4+AD6+AD7</f>
        <v>331</v>
      </c>
      <c r="AI9" s="435">
        <f>AD9*AF9</f>
        <v>0</v>
      </c>
    </row>
    <row r="10" spans="1:35" x14ac:dyDescent="0.25">
      <c r="A10" s="554"/>
      <c r="B10">
        <v>27.22</v>
      </c>
      <c r="C10" s="15"/>
      <c r="D10" s="1015">
        <f>C10*B10</f>
        <v>0</v>
      </c>
      <c r="E10" s="574"/>
      <c r="F10" s="538">
        <f>D10</f>
        <v>0</v>
      </c>
      <c r="G10" s="330"/>
      <c r="H10" s="331"/>
      <c r="I10" s="436">
        <f>I9-F10</f>
        <v>4469.07</v>
      </c>
      <c r="J10" s="437">
        <f>J9-C10</f>
        <v>164</v>
      </c>
      <c r="K10" s="438">
        <f t="shared" ref="K10:K73" si="6">F10*H10</f>
        <v>0</v>
      </c>
      <c r="M10" s="554"/>
      <c r="N10">
        <v>27.22</v>
      </c>
      <c r="O10" s="15"/>
      <c r="P10" s="715">
        <f>O10*N10</f>
        <v>0</v>
      </c>
      <c r="Q10" s="246"/>
      <c r="R10" s="69">
        <f>P10</f>
        <v>0</v>
      </c>
      <c r="S10" s="70"/>
      <c r="T10" s="71"/>
      <c r="U10" s="436">
        <f>U9-R10</f>
        <v>5008.4799999999996</v>
      </c>
      <c r="V10" s="437">
        <f>V9-O10</f>
        <v>184</v>
      </c>
      <c r="W10" s="438">
        <f t="shared" ref="W10:W73" si="7">R10*T10</f>
        <v>0</v>
      </c>
      <c r="Y10" s="554"/>
      <c r="Z10">
        <v>27.22</v>
      </c>
      <c r="AA10" s="15"/>
      <c r="AB10" s="715">
        <f>AA10*Z10</f>
        <v>0</v>
      </c>
      <c r="AC10" s="246"/>
      <c r="AD10" s="69">
        <f>AB10</f>
        <v>0</v>
      </c>
      <c r="AE10" s="70"/>
      <c r="AF10" s="71"/>
      <c r="AG10" s="436">
        <f>AG9-AD10</f>
        <v>9016.44</v>
      </c>
      <c r="AH10" s="437">
        <f>AH9-AA10</f>
        <v>331</v>
      </c>
      <c r="AI10" s="438">
        <f t="shared" ref="AI10:AI73" si="8">AD10*AF10</f>
        <v>0</v>
      </c>
    </row>
    <row r="11" spans="1:35" x14ac:dyDescent="0.25">
      <c r="A11" s="555"/>
      <c r="B11">
        <v>27.22</v>
      </c>
      <c r="C11" s="15"/>
      <c r="D11" s="746">
        <f t="shared" ref="D11:D74" si="9">C11*B11</f>
        <v>0</v>
      </c>
      <c r="E11" s="744"/>
      <c r="F11" s="538">
        <f t="shared" ref="F11:F74" si="10">D11</f>
        <v>0</v>
      </c>
      <c r="G11" s="330"/>
      <c r="H11" s="331"/>
      <c r="I11" s="436">
        <f t="shared" ref="I11:I74" si="11">I10-F11</f>
        <v>4469.07</v>
      </c>
      <c r="J11" s="437">
        <f t="shared" ref="J11" si="12">J10-C11</f>
        <v>164</v>
      </c>
      <c r="K11" s="438">
        <f t="shared" si="6"/>
        <v>0</v>
      </c>
      <c r="M11" s="555"/>
      <c r="N11">
        <v>27.22</v>
      </c>
      <c r="O11" s="15"/>
      <c r="P11" s="297">
        <f t="shared" ref="P11:P74" si="13">O11*N11</f>
        <v>0</v>
      </c>
      <c r="Q11" s="245"/>
      <c r="R11" s="69">
        <f t="shared" ref="R11:R74" si="14">P11</f>
        <v>0</v>
      </c>
      <c r="S11" s="70"/>
      <c r="T11" s="71"/>
      <c r="U11" s="436">
        <f t="shared" ref="U11:U74" si="15">U10-R11</f>
        <v>5008.4799999999996</v>
      </c>
      <c r="V11" s="437">
        <f t="shared" ref="V11" si="16">V10-O11</f>
        <v>184</v>
      </c>
      <c r="W11" s="438">
        <f t="shared" si="7"/>
        <v>0</v>
      </c>
      <c r="Y11" s="555"/>
      <c r="Z11">
        <v>27.22</v>
      </c>
      <c r="AA11" s="15"/>
      <c r="AB11" s="297">
        <f t="shared" ref="AB11:AB74" si="17">AA11*Z11</f>
        <v>0</v>
      </c>
      <c r="AC11" s="245"/>
      <c r="AD11" s="69">
        <f t="shared" ref="AD11:AD74" si="18">AB11</f>
        <v>0</v>
      </c>
      <c r="AE11" s="70"/>
      <c r="AF11" s="71"/>
      <c r="AG11" s="436">
        <f t="shared" ref="AG11:AG74" si="19">AG10-AD11</f>
        <v>9016.44</v>
      </c>
      <c r="AH11" s="437">
        <f t="shared" ref="AH11" si="20">AH10-AA11</f>
        <v>331</v>
      </c>
      <c r="AI11" s="438">
        <f t="shared" si="8"/>
        <v>0</v>
      </c>
    </row>
    <row r="12" spans="1:35" x14ac:dyDescent="0.25">
      <c r="A12" s="55" t="s">
        <v>33</v>
      </c>
      <c r="B12">
        <v>27.22</v>
      </c>
      <c r="C12" s="15"/>
      <c r="D12" s="746">
        <f t="shared" si="9"/>
        <v>0</v>
      </c>
      <c r="E12" s="744"/>
      <c r="F12" s="538">
        <f t="shared" si="10"/>
        <v>0</v>
      </c>
      <c r="G12" s="330"/>
      <c r="H12" s="331"/>
      <c r="I12" s="436">
        <f t="shared" si="11"/>
        <v>4469.07</v>
      </c>
      <c r="J12" s="437">
        <f>J11-C12</f>
        <v>164</v>
      </c>
      <c r="K12" s="438">
        <f t="shared" si="6"/>
        <v>0</v>
      </c>
      <c r="M12" s="55" t="s">
        <v>33</v>
      </c>
      <c r="N12">
        <v>27.22</v>
      </c>
      <c r="O12" s="15"/>
      <c r="P12" s="297">
        <f t="shared" si="13"/>
        <v>0</v>
      </c>
      <c r="Q12" s="245"/>
      <c r="R12" s="69">
        <f t="shared" si="14"/>
        <v>0</v>
      </c>
      <c r="S12" s="70"/>
      <c r="T12" s="71"/>
      <c r="U12" s="436">
        <f t="shared" si="15"/>
        <v>5008.4799999999996</v>
      </c>
      <c r="V12" s="437">
        <f>V11-O12</f>
        <v>184</v>
      </c>
      <c r="W12" s="438">
        <f t="shared" si="7"/>
        <v>0</v>
      </c>
      <c r="Y12" s="55" t="s">
        <v>33</v>
      </c>
      <c r="Z12">
        <v>27.22</v>
      </c>
      <c r="AA12" s="15"/>
      <c r="AB12" s="297">
        <f t="shared" si="17"/>
        <v>0</v>
      </c>
      <c r="AC12" s="245"/>
      <c r="AD12" s="69">
        <f t="shared" si="18"/>
        <v>0</v>
      </c>
      <c r="AE12" s="70"/>
      <c r="AF12" s="71"/>
      <c r="AG12" s="436">
        <f t="shared" si="19"/>
        <v>9016.44</v>
      </c>
      <c r="AH12" s="437">
        <f>AH11-AA12</f>
        <v>331</v>
      </c>
      <c r="AI12" s="438">
        <f t="shared" si="8"/>
        <v>0</v>
      </c>
    </row>
    <row r="13" spans="1:35" ht="15" customHeight="1" x14ac:dyDescent="0.25">
      <c r="A13" s="414"/>
      <c r="B13">
        <v>27.22</v>
      </c>
      <c r="C13" s="15"/>
      <c r="D13" s="746">
        <f t="shared" si="9"/>
        <v>0</v>
      </c>
      <c r="E13" s="744"/>
      <c r="F13" s="538">
        <f t="shared" si="10"/>
        <v>0</v>
      </c>
      <c r="G13" s="330"/>
      <c r="H13" s="331"/>
      <c r="I13" s="436">
        <f t="shared" si="11"/>
        <v>4469.07</v>
      </c>
      <c r="J13" s="437">
        <f t="shared" ref="J13:J76" si="21">J12-C13</f>
        <v>164</v>
      </c>
      <c r="K13" s="438">
        <f t="shared" si="6"/>
        <v>0</v>
      </c>
      <c r="M13" s="414"/>
      <c r="N13">
        <v>27.22</v>
      </c>
      <c r="O13" s="15"/>
      <c r="P13" s="297">
        <f t="shared" si="13"/>
        <v>0</v>
      </c>
      <c r="Q13" s="245"/>
      <c r="R13" s="69">
        <f t="shared" si="14"/>
        <v>0</v>
      </c>
      <c r="S13" s="70"/>
      <c r="T13" s="71"/>
      <c r="U13" s="436">
        <f t="shared" si="15"/>
        <v>5008.4799999999996</v>
      </c>
      <c r="V13" s="437">
        <f t="shared" ref="V13:V76" si="22">V12-O13</f>
        <v>184</v>
      </c>
      <c r="W13" s="438">
        <f t="shared" si="7"/>
        <v>0</v>
      </c>
      <c r="Y13" s="414"/>
      <c r="Z13">
        <v>27.22</v>
      </c>
      <c r="AA13" s="15"/>
      <c r="AB13" s="297">
        <f t="shared" si="17"/>
        <v>0</v>
      </c>
      <c r="AC13" s="245"/>
      <c r="AD13" s="69">
        <f t="shared" si="18"/>
        <v>0</v>
      </c>
      <c r="AE13" s="70"/>
      <c r="AF13" s="71"/>
      <c r="AG13" s="436">
        <f t="shared" si="19"/>
        <v>9016.44</v>
      </c>
      <c r="AH13" s="437">
        <f t="shared" ref="AH13:AH76" si="23">AH12-AA13</f>
        <v>331</v>
      </c>
      <c r="AI13" s="438">
        <f t="shared" si="8"/>
        <v>0</v>
      </c>
    </row>
    <row r="14" spans="1:35" x14ac:dyDescent="0.25">
      <c r="A14" s="414"/>
      <c r="B14">
        <v>27.22</v>
      </c>
      <c r="C14" s="15"/>
      <c r="D14" s="746">
        <f t="shared" si="9"/>
        <v>0</v>
      </c>
      <c r="E14" s="744"/>
      <c r="F14" s="538">
        <f t="shared" si="10"/>
        <v>0</v>
      </c>
      <c r="G14" s="330"/>
      <c r="H14" s="331"/>
      <c r="I14" s="436">
        <f t="shared" si="11"/>
        <v>4469.07</v>
      </c>
      <c r="J14" s="437">
        <f t="shared" si="21"/>
        <v>164</v>
      </c>
      <c r="K14" s="438">
        <f t="shared" si="6"/>
        <v>0</v>
      </c>
      <c r="M14" s="414"/>
      <c r="N14">
        <v>27.22</v>
      </c>
      <c r="O14" s="15"/>
      <c r="P14" s="297">
        <f t="shared" si="13"/>
        <v>0</v>
      </c>
      <c r="Q14" s="245"/>
      <c r="R14" s="69">
        <f t="shared" si="14"/>
        <v>0</v>
      </c>
      <c r="S14" s="70"/>
      <c r="T14" s="71"/>
      <c r="U14" s="436">
        <f t="shared" si="15"/>
        <v>5008.4799999999996</v>
      </c>
      <c r="V14" s="437">
        <f t="shared" si="22"/>
        <v>184</v>
      </c>
      <c r="W14" s="438">
        <f t="shared" si="7"/>
        <v>0</v>
      </c>
      <c r="Y14" s="414"/>
      <c r="Z14">
        <v>27.22</v>
      </c>
      <c r="AA14" s="15"/>
      <c r="AB14" s="297">
        <f t="shared" si="17"/>
        <v>0</v>
      </c>
      <c r="AC14" s="245"/>
      <c r="AD14" s="69">
        <f t="shared" si="18"/>
        <v>0</v>
      </c>
      <c r="AE14" s="70"/>
      <c r="AF14" s="71"/>
      <c r="AG14" s="436">
        <f t="shared" si="19"/>
        <v>9016.44</v>
      </c>
      <c r="AH14" s="437">
        <f t="shared" si="23"/>
        <v>331</v>
      </c>
      <c r="AI14" s="438">
        <f t="shared" si="8"/>
        <v>0</v>
      </c>
    </row>
    <row r="15" spans="1:35" x14ac:dyDescent="0.25">
      <c r="A15" s="414"/>
      <c r="B15">
        <v>27.22</v>
      </c>
      <c r="C15" s="15"/>
      <c r="D15" s="746">
        <f t="shared" si="9"/>
        <v>0</v>
      </c>
      <c r="E15" s="744"/>
      <c r="F15" s="538">
        <f t="shared" si="10"/>
        <v>0</v>
      </c>
      <c r="G15" s="330"/>
      <c r="H15" s="331"/>
      <c r="I15" s="436">
        <f t="shared" si="11"/>
        <v>4469.07</v>
      </c>
      <c r="J15" s="437">
        <f t="shared" si="21"/>
        <v>164</v>
      </c>
      <c r="K15" s="438">
        <f t="shared" si="6"/>
        <v>0</v>
      </c>
      <c r="M15" s="414"/>
      <c r="N15">
        <v>27.22</v>
      </c>
      <c r="O15" s="15"/>
      <c r="P15" s="297">
        <f t="shared" si="13"/>
        <v>0</v>
      </c>
      <c r="Q15" s="245"/>
      <c r="R15" s="69">
        <f t="shared" si="14"/>
        <v>0</v>
      </c>
      <c r="S15" s="70"/>
      <c r="T15" s="71"/>
      <c r="U15" s="436">
        <f t="shared" si="15"/>
        <v>5008.4799999999996</v>
      </c>
      <c r="V15" s="437">
        <f t="shared" si="22"/>
        <v>184</v>
      </c>
      <c r="W15" s="438">
        <f t="shared" si="7"/>
        <v>0</v>
      </c>
      <c r="Y15" s="414"/>
      <c r="Z15">
        <v>27.22</v>
      </c>
      <c r="AA15" s="15"/>
      <c r="AB15" s="297">
        <f t="shared" si="17"/>
        <v>0</v>
      </c>
      <c r="AC15" s="245"/>
      <c r="AD15" s="69">
        <f t="shared" si="18"/>
        <v>0</v>
      </c>
      <c r="AE15" s="70"/>
      <c r="AF15" s="71"/>
      <c r="AG15" s="436">
        <f t="shared" si="19"/>
        <v>9016.44</v>
      </c>
      <c r="AH15" s="437">
        <f t="shared" si="23"/>
        <v>331</v>
      </c>
      <c r="AI15" s="438">
        <f t="shared" si="8"/>
        <v>0</v>
      </c>
    </row>
    <row r="16" spans="1:35" x14ac:dyDescent="0.25">
      <c r="A16" s="414"/>
      <c r="B16">
        <v>27.22</v>
      </c>
      <c r="C16" s="15"/>
      <c r="D16" s="746">
        <f t="shared" si="9"/>
        <v>0</v>
      </c>
      <c r="E16" s="744"/>
      <c r="F16" s="538">
        <f t="shared" si="10"/>
        <v>0</v>
      </c>
      <c r="G16" s="330"/>
      <c r="H16" s="331"/>
      <c r="I16" s="436">
        <f t="shared" si="11"/>
        <v>4469.07</v>
      </c>
      <c r="J16" s="437">
        <f t="shared" si="21"/>
        <v>164</v>
      </c>
      <c r="K16" s="438">
        <f t="shared" si="6"/>
        <v>0</v>
      </c>
      <c r="M16" s="414"/>
      <c r="N16">
        <v>27.22</v>
      </c>
      <c r="O16" s="15"/>
      <c r="P16" s="297">
        <f t="shared" si="13"/>
        <v>0</v>
      </c>
      <c r="Q16" s="245"/>
      <c r="R16" s="69">
        <f t="shared" si="14"/>
        <v>0</v>
      </c>
      <c r="S16" s="70"/>
      <c r="T16" s="71"/>
      <c r="U16" s="436">
        <f t="shared" si="15"/>
        <v>5008.4799999999996</v>
      </c>
      <c r="V16" s="437">
        <f t="shared" si="22"/>
        <v>184</v>
      </c>
      <c r="W16" s="438">
        <f t="shared" si="7"/>
        <v>0</v>
      </c>
      <c r="Y16" s="414"/>
      <c r="Z16">
        <v>27.22</v>
      </c>
      <c r="AA16" s="15"/>
      <c r="AB16" s="297">
        <f t="shared" si="17"/>
        <v>0</v>
      </c>
      <c r="AC16" s="245"/>
      <c r="AD16" s="69">
        <f t="shared" si="18"/>
        <v>0</v>
      </c>
      <c r="AE16" s="70"/>
      <c r="AF16" s="71"/>
      <c r="AG16" s="436">
        <f t="shared" si="19"/>
        <v>9016.44</v>
      </c>
      <c r="AH16" s="437">
        <f t="shared" si="23"/>
        <v>331</v>
      </c>
      <c r="AI16" s="438">
        <f t="shared" si="8"/>
        <v>0</v>
      </c>
    </row>
    <row r="17" spans="1:35" x14ac:dyDescent="0.25">
      <c r="A17" s="414"/>
      <c r="B17">
        <v>27.22</v>
      </c>
      <c r="C17" s="15"/>
      <c r="D17" s="746">
        <f t="shared" si="9"/>
        <v>0</v>
      </c>
      <c r="E17" s="744"/>
      <c r="F17" s="538">
        <f t="shared" si="10"/>
        <v>0</v>
      </c>
      <c r="G17" s="330"/>
      <c r="H17" s="331"/>
      <c r="I17" s="436">
        <f t="shared" si="11"/>
        <v>4469.07</v>
      </c>
      <c r="J17" s="437">
        <f t="shared" si="21"/>
        <v>164</v>
      </c>
      <c r="K17" s="438">
        <f t="shared" si="6"/>
        <v>0</v>
      </c>
      <c r="M17" s="414"/>
      <c r="N17">
        <v>27.22</v>
      </c>
      <c r="O17" s="15"/>
      <c r="P17" s="297">
        <f t="shared" si="13"/>
        <v>0</v>
      </c>
      <c r="Q17" s="245"/>
      <c r="R17" s="69">
        <f t="shared" si="14"/>
        <v>0</v>
      </c>
      <c r="S17" s="70"/>
      <c r="T17" s="71"/>
      <c r="U17" s="436">
        <f t="shared" si="15"/>
        <v>5008.4799999999996</v>
      </c>
      <c r="V17" s="437">
        <f t="shared" si="22"/>
        <v>184</v>
      </c>
      <c r="W17" s="438">
        <f t="shared" si="7"/>
        <v>0</v>
      </c>
      <c r="Y17" s="414"/>
      <c r="Z17">
        <v>27.22</v>
      </c>
      <c r="AA17" s="15"/>
      <c r="AB17" s="297">
        <f t="shared" si="17"/>
        <v>0</v>
      </c>
      <c r="AC17" s="245"/>
      <c r="AD17" s="69">
        <f t="shared" si="18"/>
        <v>0</v>
      </c>
      <c r="AE17" s="70"/>
      <c r="AF17" s="71"/>
      <c r="AG17" s="436">
        <f t="shared" si="19"/>
        <v>9016.44</v>
      </c>
      <c r="AH17" s="437">
        <f t="shared" si="23"/>
        <v>331</v>
      </c>
      <c r="AI17" s="438">
        <f t="shared" si="8"/>
        <v>0</v>
      </c>
    </row>
    <row r="18" spans="1:35" x14ac:dyDescent="0.25">
      <c r="B18">
        <v>27.22</v>
      </c>
      <c r="C18" s="15"/>
      <c r="D18" s="746">
        <f t="shared" si="9"/>
        <v>0</v>
      </c>
      <c r="E18" s="744"/>
      <c r="F18" s="538">
        <f t="shared" si="10"/>
        <v>0</v>
      </c>
      <c r="G18" s="330"/>
      <c r="H18" s="331"/>
      <c r="I18" s="436">
        <f t="shared" si="11"/>
        <v>4469.07</v>
      </c>
      <c r="J18" s="437">
        <f t="shared" si="21"/>
        <v>164</v>
      </c>
      <c r="K18" s="438">
        <f t="shared" si="6"/>
        <v>0</v>
      </c>
      <c r="N18">
        <v>27.22</v>
      </c>
      <c r="O18" s="15"/>
      <c r="P18" s="297">
        <f t="shared" si="13"/>
        <v>0</v>
      </c>
      <c r="Q18" s="245"/>
      <c r="R18" s="69">
        <f t="shared" si="14"/>
        <v>0</v>
      </c>
      <c r="S18" s="70"/>
      <c r="T18" s="71"/>
      <c r="U18" s="436">
        <f t="shared" si="15"/>
        <v>5008.4799999999996</v>
      </c>
      <c r="V18" s="437">
        <f t="shared" si="22"/>
        <v>184</v>
      </c>
      <c r="W18" s="438">
        <f t="shared" si="7"/>
        <v>0</v>
      </c>
      <c r="Z18">
        <v>27.22</v>
      </c>
      <c r="AA18" s="15"/>
      <c r="AB18" s="297">
        <f t="shared" si="17"/>
        <v>0</v>
      </c>
      <c r="AC18" s="245"/>
      <c r="AD18" s="69">
        <f t="shared" si="18"/>
        <v>0</v>
      </c>
      <c r="AE18" s="70"/>
      <c r="AF18" s="71"/>
      <c r="AG18" s="436">
        <f t="shared" si="19"/>
        <v>9016.44</v>
      </c>
      <c r="AH18" s="437">
        <f t="shared" si="23"/>
        <v>331</v>
      </c>
      <c r="AI18" s="438">
        <f t="shared" si="8"/>
        <v>0</v>
      </c>
    </row>
    <row r="19" spans="1:35" x14ac:dyDescent="0.25">
      <c r="B19">
        <v>27.22</v>
      </c>
      <c r="C19" s="15"/>
      <c r="D19" s="746">
        <f t="shared" si="9"/>
        <v>0</v>
      </c>
      <c r="E19" s="744"/>
      <c r="F19" s="538">
        <f t="shared" si="10"/>
        <v>0</v>
      </c>
      <c r="G19" s="330"/>
      <c r="H19" s="331"/>
      <c r="I19" s="436">
        <f t="shared" si="11"/>
        <v>4469.07</v>
      </c>
      <c r="J19" s="437">
        <f t="shared" si="21"/>
        <v>164</v>
      </c>
      <c r="K19" s="438">
        <f t="shared" si="6"/>
        <v>0</v>
      </c>
      <c r="N19">
        <v>27.22</v>
      </c>
      <c r="O19" s="15"/>
      <c r="P19" s="297">
        <f t="shared" si="13"/>
        <v>0</v>
      </c>
      <c r="Q19" s="245"/>
      <c r="R19" s="69">
        <f t="shared" si="14"/>
        <v>0</v>
      </c>
      <c r="S19" s="70"/>
      <c r="T19" s="71"/>
      <c r="U19" s="436">
        <f t="shared" si="15"/>
        <v>5008.4799999999996</v>
      </c>
      <c r="V19" s="437">
        <f t="shared" si="22"/>
        <v>184</v>
      </c>
      <c r="W19" s="438">
        <f t="shared" si="7"/>
        <v>0</v>
      </c>
      <c r="Z19">
        <v>27.22</v>
      </c>
      <c r="AA19" s="15"/>
      <c r="AB19" s="297">
        <f t="shared" si="17"/>
        <v>0</v>
      </c>
      <c r="AC19" s="245"/>
      <c r="AD19" s="69">
        <f t="shared" si="18"/>
        <v>0</v>
      </c>
      <c r="AE19" s="70"/>
      <c r="AF19" s="71"/>
      <c r="AG19" s="436">
        <f t="shared" si="19"/>
        <v>9016.44</v>
      </c>
      <c r="AH19" s="437">
        <f t="shared" si="23"/>
        <v>331</v>
      </c>
      <c r="AI19" s="438">
        <f t="shared" si="8"/>
        <v>0</v>
      </c>
    </row>
    <row r="20" spans="1:35" x14ac:dyDescent="0.25">
      <c r="B20">
        <v>27.22</v>
      </c>
      <c r="C20" s="15"/>
      <c r="D20" s="746">
        <f t="shared" si="9"/>
        <v>0</v>
      </c>
      <c r="E20" s="744"/>
      <c r="F20" s="538">
        <f t="shared" si="10"/>
        <v>0</v>
      </c>
      <c r="G20" s="330"/>
      <c r="H20" s="331"/>
      <c r="I20" s="436">
        <f t="shared" si="11"/>
        <v>4469.07</v>
      </c>
      <c r="J20" s="437">
        <f t="shared" si="21"/>
        <v>164</v>
      </c>
      <c r="K20" s="438">
        <f t="shared" si="6"/>
        <v>0</v>
      </c>
      <c r="N20">
        <v>27.22</v>
      </c>
      <c r="O20" s="15"/>
      <c r="P20" s="297">
        <f t="shared" si="13"/>
        <v>0</v>
      </c>
      <c r="Q20" s="245"/>
      <c r="R20" s="69">
        <f t="shared" si="14"/>
        <v>0</v>
      </c>
      <c r="S20" s="70"/>
      <c r="T20" s="71"/>
      <c r="U20" s="436">
        <f t="shared" si="15"/>
        <v>5008.4799999999996</v>
      </c>
      <c r="V20" s="437">
        <f t="shared" si="22"/>
        <v>184</v>
      </c>
      <c r="W20" s="438">
        <f t="shared" si="7"/>
        <v>0</v>
      </c>
      <c r="Z20">
        <v>27.22</v>
      </c>
      <c r="AA20" s="15"/>
      <c r="AB20" s="297">
        <f t="shared" si="17"/>
        <v>0</v>
      </c>
      <c r="AC20" s="245"/>
      <c r="AD20" s="69">
        <f t="shared" si="18"/>
        <v>0</v>
      </c>
      <c r="AE20" s="70"/>
      <c r="AF20" s="71"/>
      <c r="AG20" s="436">
        <f t="shared" si="19"/>
        <v>9016.44</v>
      </c>
      <c r="AH20" s="437">
        <f t="shared" si="23"/>
        <v>331</v>
      </c>
      <c r="AI20" s="438">
        <f t="shared" si="8"/>
        <v>0</v>
      </c>
    </row>
    <row r="21" spans="1:35" x14ac:dyDescent="0.25">
      <c r="B21">
        <v>27.22</v>
      </c>
      <c r="C21" s="15"/>
      <c r="D21" s="746">
        <f t="shared" si="9"/>
        <v>0</v>
      </c>
      <c r="E21" s="744"/>
      <c r="F21" s="538">
        <f t="shared" si="10"/>
        <v>0</v>
      </c>
      <c r="G21" s="330"/>
      <c r="H21" s="331"/>
      <c r="I21" s="436">
        <f t="shared" si="11"/>
        <v>4469.07</v>
      </c>
      <c r="J21" s="437">
        <f t="shared" si="21"/>
        <v>164</v>
      </c>
      <c r="K21" s="438">
        <f t="shared" si="6"/>
        <v>0</v>
      </c>
      <c r="N21">
        <v>27.22</v>
      </c>
      <c r="O21" s="15"/>
      <c r="P21" s="297">
        <f t="shared" si="13"/>
        <v>0</v>
      </c>
      <c r="Q21" s="245"/>
      <c r="R21" s="69">
        <f t="shared" si="14"/>
        <v>0</v>
      </c>
      <c r="S21" s="70"/>
      <c r="T21" s="71"/>
      <c r="U21" s="436">
        <f t="shared" si="15"/>
        <v>5008.4799999999996</v>
      </c>
      <c r="V21" s="437">
        <f t="shared" si="22"/>
        <v>184</v>
      </c>
      <c r="W21" s="438">
        <f t="shared" si="7"/>
        <v>0</v>
      </c>
      <c r="Z21">
        <v>27.22</v>
      </c>
      <c r="AA21" s="15"/>
      <c r="AB21" s="297">
        <f t="shared" si="17"/>
        <v>0</v>
      </c>
      <c r="AC21" s="245"/>
      <c r="AD21" s="69">
        <f t="shared" si="18"/>
        <v>0</v>
      </c>
      <c r="AE21" s="70"/>
      <c r="AF21" s="71"/>
      <c r="AG21" s="436">
        <f t="shared" si="19"/>
        <v>9016.44</v>
      </c>
      <c r="AH21" s="437">
        <f t="shared" si="23"/>
        <v>331</v>
      </c>
      <c r="AI21" s="438">
        <f t="shared" si="8"/>
        <v>0</v>
      </c>
    </row>
    <row r="22" spans="1:35" x14ac:dyDescent="0.25">
      <c r="A22" t="s">
        <v>22</v>
      </c>
      <c r="B22">
        <v>27.22</v>
      </c>
      <c r="C22" s="15"/>
      <c r="D22" s="746">
        <f t="shared" si="9"/>
        <v>0</v>
      </c>
      <c r="E22" s="744"/>
      <c r="F22" s="538">
        <f t="shared" si="10"/>
        <v>0</v>
      </c>
      <c r="G22" s="330"/>
      <c r="H22" s="331"/>
      <c r="I22" s="436">
        <f t="shared" si="11"/>
        <v>4469.07</v>
      </c>
      <c r="J22" s="437">
        <f t="shared" si="21"/>
        <v>164</v>
      </c>
      <c r="K22" s="438">
        <f t="shared" si="6"/>
        <v>0</v>
      </c>
      <c r="M22" t="s">
        <v>22</v>
      </c>
      <c r="N22">
        <v>27.22</v>
      </c>
      <c r="O22" s="15"/>
      <c r="P22" s="297">
        <f t="shared" si="13"/>
        <v>0</v>
      </c>
      <c r="Q22" s="245"/>
      <c r="R22" s="69">
        <f t="shared" si="14"/>
        <v>0</v>
      </c>
      <c r="S22" s="70"/>
      <c r="T22" s="71"/>
      <c r="U22" s="436">
        <f t="shared" si="15"/>
        <v>5008.4799999999996</v>
      </c>
      <c r="V22" s="437">
        <f t="shared" si="22"/>
        <v>184</v>
      </c>
      <c r="W22" s="438">
        <f t="shared" si="7"/>
        <v>0</v>
      </c>
      <c r="Y22" t="s">
        <v>22</v>
      </c>
      <c r="Z22">
        <v>27.22</v>
      </c>
      <c r="AA22" s="15"/>
      <c r="AB22" s="297">
        <f t="shared" si="17"/>
        <v>0</v>
      </c>
      <c r="AC22" s="245"/>
      <c r="AD22" s="69">
        <f t="shared" si="18"/>
        <v>0</v>
      </c>
      <c r="AE22" s="70"/>
      <c r="AF22" s="71"/>
      <c r="AG22" s="436">
        <f t="shared" si="19"/>
        <v>9016.44</v>
      </c>
      <c r="AH22" s="437">
        <f t="shared" si="23"/>
        <v>331</v>
      </c>
      <c r="AI22" s="438">
        <f t="shared" si="8"/>
        <v>0</v>
      </c>
    </row>
    <row r="23" spans="1:35" x14ac:dyDescent="0.25">
      <c r="B23">
        <v>27.22</v>
      </c>
      <c r="C23" s="15"/>
      <c r="D23" s="746">
        <f t="shared" si="9"/>
        <v>0</v>
      </c>
      <c r="E23" s="744"/>
      <c r="F23" s="538">
        <f t="shared" si="10"/>
        <v>0</v>
      </c>
      <c r="G23" s="330"/>
      <c r="H23" s="331"/>
      <c r="I23" s="436">
        <f t="shared" si="11"/>
        <v>4469.07</v>
      </c>
      <c r="J23" s="437">
        <f t="shared" si="21"/>
        <v>164</v>
      </c>
      <c r="K23" s="438">
        <f t="shared" si="6"/>
        <v>0</v>
      </c>
      <c r="N23">
        <v>27.22</v>
      </c>
      <c r="O23" s="15"/>
      <c r="P23" s="297">
        <f t="shared" si="13"/>
        <v>0</v>
      </c>
      <c r="Q23" s="245"/>
      <c r="R23" s="69">
        <f t="shared" si="14"/>
        <v>0</v>
      </c>
      <c r="S23" s="70"/>
      <c r="T23" s="71"/>
      <c r="U23" s="436">
        <f t="shared" si="15"/>
        <v>5008.4799999999996</v>
      </c>
      <c r="V23" s="437">
        <f t="shared" si="22"/>
        <v>184</v>
      </c>
      <c r="W23" s="438">
        <f t="shared" si="7"/>
        <v>0</v>
      </c>
      <c r="Z23">
        <v>27.22</v>
      </c>
      <c r="AA23" s="15"/>
      <c r="AB23" s="297">
        <f t="shared" si="17"/>
        <v>0</v>
      </c>
      <c r="AC23" s="245"/>
      <c r="AD23" s="69">
        <f t="shared" si="18"/>
        <v>0</v>
      </c>
      <c r="AE23" s="70"/>
      <c r="AF23" s="71"/>
      <c r="AG23" s="436">
        <f t="shared" si="19"/>
        <v>9016.44</v>
      </c>
      <c r="AH23" s="437">
        <f t="shared" si="23"/>
        <v>331</v>
      </c>
      <c r="AI23" s="438">
        <f t="shared" si="8"/>
        <v>0</v>
      </c>
    </row>
    <row r="24" spans="1:35" x14ac:dyDescent="0.25">
      <c r="B24">
        <v>27.22</v>
      </c>
      <c r="C24" s="15"/>
      <c r="D24" s="746">
        <f t="shared" si="9"/>
        <v>0</v>
      </c>
      <c r="E24" s="744"/>
      <c r="F24" s="538">
        <f t="shared" si="10"/>
        <v>0</v>
      </c>
      <c r="G24" s="330"/>
      <c r="H24" s="331"/>
      <c r="I24" s="436">
        <f t="shared" si="11"/>
        <v>4469.07</v>
      </c>
      <c r="J24" s="437">
        <f t="shared" si="21"/>
        <v>164</v>
      </c>
      <c r="K24" s="438">
        <f t="shared" si="6"/>
        <v>0</v>
      </c>
      <c r="N24">
        <v>27.22</v>
      </c>
      <c r="O24" s="15"/>
      <c r="P24" s="297">
        <f t="shared" si="13"/>
        <v>0</v>
      </c>
      <c r="Q24" s="245"/>
      <c r="R24" s="69">
        <f t="shared" si="14"/>
        <v>0</v>
      </c>
      <c r="S24" s="70"/>
      <c r="T24" s="71"/>
      <c r="U24" s="436">
        <f t="shared" si="15"/>
        <v>5008.4799999999996</v>
      </c>
      <c r="V24" s="437">
        <f t="shared" si="22"/>
        <v>184</v>
      </c>
      <c r="W24" s="438">
        <f t="shared" si="7"/>
        <v>0</v>
      </c>
      <c r="Z24">
        <v>27.22</v>
      </c>
      <c r="AA24" s="15"/>
      <c r="AB24" s="297">
        <f t="shared" si="17"/>
        <v>0</v>
      </c>
      <c r="AC24" s="245"/>
      <c r="AD24" s="69">
        <f t="shared" si="18"/>
        <v>0</v>
      </c>
      <c r="AE24" s="70"/>
      <c r="AF24" s="71"/>
      <c r="AG24" s="436">
        <f t="shared" si="19"/>
        <v>9016.44</v>
      </c>
      <c r="AH24" s="437">
        <f t="shared" si="23"/>
        <v>331</v>
      </c>
      <c r="AI24" s="438">
        <f t="shared" si="8"/>
        <v>0</v>
      </c>
    </row>
    <row r="25" spans="1:35" x14ac:dyDescent="0.25">
      <c r="B25">
        <v>27.22</v>
      </c>
      <c r="C25" s="15"/>
      <c r="D25" s="746">
        <f t="shared" si="9"/>
        <v>0</v>
      </c>
      <c r="E25" s="744"/>
      <c r="F25" s="538">
        <f t="shared" si="10"/>
        <v>0</v>
      </c>
      <c r="G25" s="330"/>
      <c r="H25" s="331"/>
      <c r="I25" s="436">
        <f t="shared" si="11"/>
        <v>4469.07</v>
      </c>
      <c r="J25" s="437">
        <f t="shared" si="21"/>
        <v>164</v>
      </c>
      <c r="K25" s="438">
        <f t="shared" si="6"/>
        <v>0</v>
      </c>
      <c r="N25">
        <v>27.22</v>
      </c>
      <c r="O25" s="15"/>
      <c r="P25" s="297">
        <f t="shared" si="13"/>
        <v>0</v>
      </c>
      <c r="Q25" s="245"/>
      <c r="R25" s="69">
        <f t="shared" si="14"/>
        <v>0</v>
      </c>
      <c r="S25" s="70"/>
      <c r="T25" s="71"/>
      <c r="U25" s="436">
        <f t="shared" si="15"/>
        <v>5008.4799999999996</v>
      </c>
      <c r="V25" s="437">
        <f t="shared" si="22"/>
        <v>184</v>
      </c>
      <c r="W25" s="438">
        <f t="shared" si="7"/>
        <v>0</v>
      </c>
      <c r="Z25">
        <v>27.22</v>
      </c>
      <c r="AA25" s="15"/>
      <c r="AB25" s="297">
        <f t="shared" si="17"/>
        <v>0</v>
      </c>
      <c r="AC25" s="245"/>
      <c r="AD25" s="69">
        <f t="shared" si="18"/>
        <v>0</v>
      </c>
      <c r="AE25" s="70"/>
      <c r="AF25" s="71"/>
      <c r="AG25" s="436">
        <f t="shared" si="19"/>
        <v>9016.44</v>
      </c>
      <c r="AH25" s="437">
        <f t="shared" si="23"/>
        <v>331</v>
      </c>
      <c r="AI25" s="438">
        <f t="shared" si="8"/>
        <v>0</v>
      </c>
    </row>
    <row r="26" spans="1:35" x14ac:dyDescent="0.25">
      <c r="B26">
        <v>27.22</v>
      </c>
      <c r="C26" s="15"/>
      <c r="D26" s="746">
        <f t="shared" si="9"/>
        <v>0</v>
      </c>
      <c r="E26" s="744"/>
      <c r="F26" s="538">
        <f t="shared" si="10"/>
        <v>0</v>
      </c>
      <c r="G26" s="330"/>
      <c r="H26" s="331"/>
      <c r="I26" s="436">
        <f t="shared" si="11"/>
        <v>4469.07</v>
      </c>
      <c r="J26" s="437">
        <f t="shared" si="21"/>
        <v>164</v>
      </c>
      <c r="K26" s="438">
        <f t="shared" si="6"/>
        <v>0</v>
      </c>
      <c r="N26">
        <v>27.22</v>
      </c>
      <c r="O26" s="15"/>
      <c r="P26" s="297">
        <f t="shared" si="13"/>
        <v>0</v>
      </c>
      <c r="Q26" s="245"/>
      <c r="R26" s="69">
        <f t="shared" si="14"/>
        <v>0</v>
      </c>
      <c r="S26" s="70"/>
      <c r="T26" s="71"/>
      <c r="U26" s="436">
        <f t="shared" si="15"/>
        <v>5008.4799999999996</v>
      </c>
      <c r="V26" s="437">
        <f t="shared" si="22"/>
        <v>184</v>
      </c>
      <c r="W26" s="438">
        <f t="shared" si="7"/>
        <v>0</v>
      </c>
      <c r="Z26">
        <v>27.22</v>
      </c>
      <c r="AA26" s="15"/>
      <c r="AB26" s="297">
        <f t="shared" si="17"/>
        <v>0</v>
      </c>
      <c r="AC26" s="245"/>
      <c r="AD26" s="69">
        <f t="shared" si="18"/>
        <v>0</v>
      </c>
      <c r="AE26" s="70"/>
      <c r="AF26" s="71"/>
      <c r="AG26" s="436">
        <f t="shared" si="19"/>
        <v>9016.44</v>
      </c>
      <c r="AH26" s="437">
        <f t="shared" si="23"/>
        <v>331</v>
      </c>
      <c r="AI26" s="438">
        <f t="shared" si="8"/>
        <v>0</v>
      </c>
    </row>
    <row r="27" spans="1:35" x14ac:dyDescent="0.25">
      <c r="B27">
        <v>27.22</v>
      </c>
      <c r="C27" s="15"/>
      <c r="D27" s="746">
        <f t="shared" si="9"/>
        <v>0</v>
      </c>
      <c r="E27" s="744"/>
      <c r="F27" s="538">
        <f t="shared" si="10"/>
        <v>0</v>
      </c>
      <c r="G27" s="330"/>
      <c r="H27" s="331"/>
      <c r="I27" s="436">
        <f t="shared" si="11"/>
        <v>4469.07</v>
      </c>
      <c r="J27" s="437">
        <f t="shared" si="21"/>
        <v>164</v>
      </c>
      <c r="K27" s="438">
        <f t="shared" si="6"/>
        <v>0</v>
      </c>
      <c r="N27">
        <v>27.22</v>
      </c>
      <c r="O27" s="15"/>
      <c r="P27" s="297">
        <f t="shared" si="13"/>
        <v>0</v>
      </c>
      <c r="Q27" s="245"/>
      <c r="R27" s="69">
        <f t="shared" si="14"/>
        <v>0</v>
      </c>
      <c r="S27" s="70"/>
      <c r="T27" s="71"/>
      <c r="U27" s="436">
        <f t="shared" si="15"/>
        <v>5008.4799999999996</v>
      </c>
      <c r="V27" s="437">
        <f t="shared" si="22"/>
        <v>184</v>
      </c>
      <c r="W27" s="438">
        <f t="shared" si="7"/>
        <v>0</v>
      </c>
      <c r="Z27">
        <v>27.22</v>
      </c>
      <c r="AA27" s="15"/>
      <c r="AB27" s="297">
        <f t="shared" si="17"/>
        <v>0</v>
      </c>
      <c r="AC27" s="245"/>
      <c r="AD27" s="69">
        <f t="shared" si="18"/>
        <v>0</v>
      </c>
      <c r="AE27" s="70"/>
      <c r="AF27" s="71"/>
      <c r="AG27" s="436">
        <f t="shared" si="19"/>
        <v>9016.44</v>
      </c>
      <c r="AH27" s="437">
        <f t="shared" si="23"/>
        <v>331</v>
      </c>
      <c r="AI27" s="438">
        <f t="shared" si="8"/>
        <v>0</v>
      </c>
    </row>
    <row r="28" spans="1:35" x14ac:dyDescent="0.25">
      <c r="B28">
        <v>27.22</v>
      </c>
      <c r="C28" s="15"/>
      <c r="D28" s="746">
        <f t="shared" si="9"/>
        <v>0</v>
      </c>
      <c r="E28" s="744"/>
      <c r="F28" s="538">
        <f t="shared" si="10"/>
        <v>0</v>
      </c>
      <c r="G28" s="330"/>
      <c r="H28" s="331"/>
      <c r="I28" s="436">
        <f t="shared" si="11"/>
        <v>4469.07</v>
      </c>
      <c r="J28" s="437">
        <f t="shared" si="21"/>
        <v>164</v>
      </c>
      <c r="K28" s="438">
        <f t="shared" si="6"/>
        <v>0</v>
      </c>
      <c r="N28">
        <v>27.22</v>
      </c>
      <c r="O28" s="15"/>
      <c r="P28" s="297">
        <f t="shared" si="13"/>
        <v>0</v>
      </c>
      <c r="Q28" s="245"/>
      <c r="R28" s="69">
        <f t="shared" si="14"/>
        <v>0</v>
      </c>
      <c r="S28" s="70"/>
      <c r="T28" s="71"/>
      <c r="U28" s="436">
        <f t="shared" si="15"/>
        <v>5008.4799999999996</v>
      </c>
      <c r="V28" s="437">
        <f t="shared" si="22"/>
        <v>184</v>
      </c>
      <c r="W28" s="438">
        <f t="shared" si="7"/>
        <v>0</v>
      </c>
      <c r="Z28">
        <v>27.22</v>
      </c>
      <c r="AA28" s="15"/>
      <c r="AB28" s="297">
        <f t="shared" si="17"/>
        <v>0</v>
      </c>
      <c r="AC28" s="245"/>
      <c r="AD28" s="69">
        <f t="shared" si="18"/>
        <v>0</v>
      </c>
      <c r="AE28" s="70"/>
      <c r="AF28" s="71"/>
      <c r="AG28" s="436">
        <f t="shared" si="19"/>
        <v>9016.44</v>
      </c>
      <c r="AH28" s="437">
        <f t="shared" si="23"/>
        <v>331</v>
      </c>
      <c r="AI28" s="438">
        <f t="shared" si="8"/>
        <v>0</v>
      </c>
    </row>
    <row r="29" spans="1:35" x14ac:dyDescent="0.25">
      <c r="B29">
        <v>27.22</v>
      </c>
      <c r="C29" s="15"/>
      <c r="D29" s="746">
        <f t="shared" si="9"/>
        <v>0</v>
      </c>
      <c r="E29" s="744"/>
      <c r="F29" s="538">
        <f t="shared" si="10"/>
        <v>0</v>
      </c>
      <c r="G29" s="330"/>
      <c r="H29" s="331"/>
      <c r="I29" s="436">
        <f t="shared" si="11"/>
        <v>4469.07</v>
      </c>
      <c r="J29" s="437">
        <f t="shared" si="21"/>
        <v>164</v>
      </c>
      <c r="K29" s="438">
        <f t="shared" si="6"/>
        <v>0</v>
      </c>
      <c r="N29">
        <v>27.22</v>
      </c>
      <c r="O29" s="15"/>
      <c r="P29" s="297">
        <f t="shared" si="13"/>
        <v>0</v>
      </c>
      <c r="Q29" s="245"/>
      <c r="R29" s="69">
        <f t="shared" si="14"/>
        <v>0</v>
      </c>
      <c r="S29" s="70"/>
      <c r="T29" s="71"/>
      <c r="U29" s="436">
        <f t="shared" si="15"/>
        <v>5008.4799999999996</v>
      </c>
      <c r="V29" s="437">
        <f t="shared" si="22"/>
        <v>184</v>
      </c>
      <c r="W29" s="438">
        <f t="shared" si="7"/>
        <v>0</v>
      </c>
      <c r="Z29">
        <v>27.22</v>
      </c>
      <c r="AA29" s="15"/>
      <c r="AB29" s="297">
        <f t="shared" si="17"/>
        <v>0</v>
      </c>
      <c r="AC29" s="245"/>
      <c r="AD29" s="69">
        <f t="shared" si="18"/>
        <v>0</v>
      </c>
      <c r="AE29" s="70"/>
      <c r="AF29" s="71"/>
      <c r="AG29" s="436">
        <f t="shared" si="19"/>
        <v>9016.44</v>
      </c>
      <c r="AH29" s="437">
        <f t="shared" si="23"/>
        <v>331</v>
      </c>
      <c r="AI29" s="438">
        <f t="shared" si="8"/>
        <v>0</v>
      </c>
    </row>
    <row r="30" spans="1:35" x14ac:dyDescent="0.25">
      <c r="B30">
        <v>27.22</v>
      </c>
      <c r="C30" s="15"/>
      <c r="D30" s="746">
        <f t="shared" si="9"/>
        <v>0</v>
      </c>
      <c r="E30" s="744"/>
      <c r="F30" s="538">
        <f t="shared" si="10"/>
        <v>0</v>
      </c>
      <c r="G30" s="330"/>
      <c r="H30" s="331"/>
      <c r="I30" s="436">
        <f t="shared" si="11"/>
        <v>4469.07</v>
      </c>
      <c r="J30" s="437">
        <f t="shared" si="21"/>
        <v>164</v>
      </c>
      <c r="K30" s="438">
        <f t="shared" si="6"/>
        <v>0</v>
      </c>
      <c r="N30">
        <v>27.22</v>
      </c>
      <c r="O30" s="15"/>
      <c r="P30" s="297">
        <f t="shared" si="13"/>
        <v>0</v>
      </c>
      <c r="Q30" s="245"/>
      <c r="R30" s="69">
        <f t="shared" si="14"/>
        <v>0</v>
      </c>
      <c r="S30" s="70"/>
      <c r="T30" s="71"/>
      <c r="U30" s="436">
        <f t="shared" si="15"/>
        <v>5008.4799999999996</v>
      </c>
      <c r="V30" s="437">
        <f t="shared" si="22"/>
        <v>184</v>
      </c>
      <c r="W30" s="438">
        <f t="shared" si="7"/>
        <v>0</v>
      </c>
      <c r="Z30">
        <v>27.22</v>
      </c>
      <c r="AA30" s="15"/>
      <c r="AB30" s="297">
        <f t="shared" si="17"/>
        <v>0</v>
      </c>
      <c r="AC30" s="245"/>
      <c r="AD30" s="69">
        <f t="shared" si="18"/>
        <v>0</v>
      </c>
      <c r="AE30" s="70"/>
      <c r="AF30" s="71"/>
      <c r="AG30" s="436">
        <f t="shared" si="19"/>
        <v>9016.44</v>
      </c>
      <c r="AH30" s="437">
        <f t="shared" si="23"/>
        <v>331</v>
      </c>
      <c r="AI30" s="438">
        <f t="shared" si="8"/>
        <v>0</v>
      </c>
    </row>
    <row r="31" spans="1:35" x14ac:dyDescent="0.25">
      <c r="B31">
        <v>27.22</v>
      </c>
      <c r="C31" s="15"/>
      <c r="D31" s="746">
        <f t="shared" si="9"/>
        <v>0</v>
      </c>
      <c r="E31" s="744"/>
      <c r="F31" s="538">
        <f t="shared" si="10"/>
        <v>0</v>
      </c>
      <c r="G31" s="330"/>
      <c r="H31" s="331"/>
      <c r="I31" s="436">
        <f t="shared" si="11"/>
        <v>4469.07</v>
      </c>
      <c r="J31" s="437">
        <f t="shared" si="21"/>
        <v>164</v>
      </c>
      <c r="K31" s="438">
        <f t="shared" si="6"/>
        <v>0</v>
      </c>
      <c r="N31">
        <v>27.22</v>
      </c>
      <c r="O31" s="15"/>
      <c r="P31" s="297">
        <f t="shared" si="13"/>
        <v>0</v>
      </c>
      <c r="Q31" s="245"/>
      <c r="R31" s="69">
        <f t="shared" si="14"/>
        <v>0</v>
      </c>
      <c r="S31" s="70"/>
      <c r="T31" s="71"/>
      <c r="U31" s="436">
        <f t="shared" si="15"/>
        <v>5008.4799999999996</v>
      </c>
      <c r="V31" s="437">
        <f t="shared" si="22"/>
        <v>184</v>
      </c>
      <c r="W31" s="438">
        <f t="shared" si="7"/>
        <v>0</v>
      </c>
      <c r="Z31">
        <v>27.22</v>
      </c>
      <c r="AA31" s="15"/>
      <c r="AB31" s="297">
        <f t="shared" si="17"/>
        <v>0</v>
      </c>
      <c r="AC31" s="245"/>
      <c r="AD31" s="69">
        <f t="shared" si="18"/>
        <v>0</v>
      </c>
      <c r="AE31" s="70"/>
      <c r="AF31" s="71"/>
      <c r="AG31" s="436">
        <f t="shared" si="19"/>
        <v>9016.44</v>
      </c>
      <c r="AH31" s="437">
        <f t="shared" si="23"/>
        <v>331</v>
      </c>
      <c r="AI31" s="438">
        <f t="shared" si="8"/>
        <v>0</v>
      </c>
    </row>
    <row r="32" spans="1:35" x14ac:dyDescent="0.25">
      <c r="B32">
        <v>27.22</v>
      </c>
      <c r="C32" s="15"/>
      <c r="D32" s="746">
        <f t="shared" si="9"/>
        <v>0</v>
      </c>
      <c r="E32" s="744"/>
      <c r="F32" s="538">
        <f t="shared" si="10"/>
        <v>0</v>
      </c>
      <c r="G32" s="330"/>
      <c r="H32" s="331"/>
      <c r="I32" s="436">
        <f t="shared" si="11"/>
        <v>4469.07</v>
      </c>
      <c r="J32" s="437">
        <f t="shared" si="21"/>
        <v>164</v>
      </c>
      <c r="K32" s="438">
        <f t="shared" si="6"/>
        <v>0</v>
      </c>
      <c r="N32">
        <v>27.22</v>
      </c>
      <c r="O32" s="15"/>
      <c r="P32" s="297">
        <f t="shared" si="13"/>
        <v>0</v>
      </c>
      <c r="Q32" s="245"/>
      <c r="R32" s="69">
        <f t="shared" si="14"/>
        <v>0</v>
      </c>
      <c r="S32" s="70"/>
      <c r="T32" s="71"/>
      <c r="U32" s="436">
        <f t="shared" si="15"/>
        <v>5008.4799999999996</v>
      </c>
      <c r="V32" s="437">
        <f t="shared" si="22"/>
        <v>184</v>
      </c>
      <c r="W32" s="438">
        <f t="shared" si="7"/>
        <v>0</v>
      </c>
      <c r="Z32">
        <v>27.22</v>
      </c>
      <c r="AA32" s="15"/>
      <c r="AB32" s="297">
        <f t="shared" si="17"/>
        <v>0</v>
      </c>
      <c r="AC32" s="245"/>
      <c r="AD32" s="69">
        <f t="shared" si="18"/>
        <v>0</v>
      </c>
      <c r="AE32" s="70"/>
      <c r="AF32" s="71"/>
      <c r="AG32" s="436">
        <f t="shared" si="19"/>
        <v>9016.44</v>
      </c>
      <c r="AH32" s="437">
        <f t="shared" si="23"/>
        <v>331</v>
      </c>
      <c r="AI32" s="438">
        <f t="shared" si="8"/>
        <v>0</v>
      </c>
    </row>
    <row r="33" spans="2:35" x14ac:dyDescent="0.25">
      <c r="B33">
        <v>27.22</v>
      </c>
      <c r="C33" s="15"/>
      <c r="D33" s="746">
        <f t="shared" si="9"/>
        <v>0</v>
      </c>
      <c r="E33" s="744"/>
      <c r="F33" s="538">
        <f t="shared" si="10"/>
        <v>0</v>
      </c>
      <c r="G33" s="330"/>
      <c r="H33" s="331"/>
      <c r="I33" s="436">
        <f t="shared" si="11"/>
        <v>4469.07</v>
      </c>
      <c r="J33" s="437">
        <f t="shared" si="21"/>
        <v>164</v>
      </c>
      <c r="K33" s="438">
        <f t="shared" si="6"/>
        <v>0</v>
      </c>
      <c r="N33">
        <v>27.22</v>
      </c>
      <c r="O33" s="15"/>
      <c r="P33" s="297">
        <f t="shared" si="13"/>
        <v>0</v>
      </c>
      <c r="Q33" s="245"/>
      <c r="R33" s="69">
        <f t="shared" si="14"/>
        <v>0</v>
      </c>
      <c r="S33" s="70"/>
      <c r="T33" s="71"/>
      <c r="U33" s="436">
        <f t="shared" si="15"/>
        <v>5008.4799999999996</v>
      </c>
      <c r="V33" s="437">
        <f t="shared" si="22"/>
        <v>184</v>
      </c>
      <c r="W33" s="438">
        <f t="shared" si="7"/>
        <v>0</v>
      </c>
      <c r="Z33">
        <v>27.22</v>
      </c>
      <c r="AA33" s="15"/>
      <c r="AB33" s="297">
        <f t="shared" si="17"/>
        <v>0</v>
      </c>
      <c r="AC33" s="245"/>
      <c r="AD33" s="69">
        <f t="shared" si="18"/>
        <v>0</v>
      </c>
      <c r="AE33" s="70"/>
      <c r="AF33" s="71"/>
      <c r="AG33" s="436">
        <f t="shared" si="19"/>
        <v>9016.44</v>
      </c>
      <c r="AH33" s="437">
        <f t="shared" si="23"/>
        <v>331</v>
      </c>
      <c r="AI33" s="438">
        <f t="shared" si="8"/>
        <v>0</v>
      </c>
    </row>
    <row r="34" spans="2:35" x14ac:dyDescent="0.25">
      <c r="B34">
        <v>27.22</v>
      </c>
      <c r="C34" s="15"/>
      <c r="D34" s="297">
        <f t="shared" si="9"/>
        <v>0</v>
      </c>
      <c r="E34" s="245"/>
      <c r="F34" s="69">
        <f t="shared" si="10"/>
        <v>0</v>
      </c>
      <c r="G34" s="70"/>
      <c r="H34" s="71"/>
      <c r="I34" s="436">
        <f t="shared" si="11"/>
        <v>4469.07</v>
      </c>
      <c r="J34" s="437">
        <f t="shared" si="21"/>
        <v>164</v>
      </c>
      <c r="K34" s="438">
        <f t="shared" si="6"/>
        <v>0</v>
      </c>
      <c r="N34">
        <v>27.22</v>
      </c>
      <c r="O34" s="15"/>
      <c r="P34" s="297">
        <f t="shared" si="13"/>
        <v>0</v>
      </c>
      <c r="Q34" s="245"/>
      <c r="R34" s="69">
        <f t="shared" si="14"/>
        <v>0</v>
      </c>
      <c r="S34" s="70"/>
      <c r="T34" s="71"/>
      <c r="U34" s="436">
        <f t="shared" si="15"/>
        <v>5008.4799999999996</v>
      </c>
      <c r="V34" s="437">
        <f t="shared" si="22"/>
        <v>184</v>
      </c>
      <c r="W34" s="438">
        <f t="shared" si="7"/>
        <v>0</v>
      </c>
      <c r="Z34">
        <v>27.22</v>
      </c>
      <c r="AA34" s="15"/>
      <c r="AB34" s="297">
        <f t="shared" si="17"/>
        <v>0</v>
      </c>
      <c r="AC34" s="245"/>
      <c r="AD34" s="69">
        <f t="shared" si="18"/>
        <v>0</v>
      </c>
      <c r="AE34" s="70"/>
      <c r="AF34" s="71"/>
      <c r="AG34" s="436">
        <f t="shared" si="19"/>
        <v>9016.44</v>
      </c>
      <c r="AH34" s="437">
        <f t="shared" si="23"/>
        <v>331</v>
      </c>
      <c r="AI34" s="438">
        <f t="shared" si="8"/>
        <v>0</v>
      </c>
    </row>
    <row r="35" spans="2:35" x14ac:dyDescent="0.25">
      <c r="B35">
        <v>27.22</v>
      </c>
      <c r="C35" s="15"/>
      <c r="D35" s="297">
        <f t="shared" si="9"/>
        <v>0</v>
      </c>
      <c r="E35" s="245"/>
      <c r="F35" s="69">
        <f t="shared" si="10"/>
        <v>0</v>
      </c>
      <c r="G35" s="70"/>
      <c r="H35" s="71"/>
      <c r="I35" s="436">
        <f t="shared" si="11"/>
        <v>4469.07</v>
      </c>
      <c r="J35" s="437">
        <f t="shared" si="21"/>
        <v>164</v>
      </c>
      <c r="K35" s="438">
        <f t="shared" si="6"/>
        <v>0</v>
      </c>
      <c r="N35">
        <v>27.22</v>
      </c>
      <c r="O35" s="15"/>
      <c r="P35" s="297">
        <f t="shared" si="13"/>
        <v>0</v>
      </c>
      <c r="Q35" s="245"/>
      <c r="R35" s="69">
        <f t="shared" si="14"/>
        <v>0</v>
      </c>
      <c r="S35" s="70"/>
      <c r="T35" s="71"/>
      <c r="U35" s="436">
        <f t="shared" si="15"/>
        <v>5008.4799999999996</v>
      </c>
      <c r="V35" s="437">
        <f t="shared" si="22"/>
        <v>184</v>
      </c>
      <c r="W35" s="438">
        <f t="shared" si="7"/>
        <v>0</v>
      </c>
      <c r="Z35">
        <v>27.22</v>
      </c>
      <c r="AA35" s="15"/>
      <c r="AB35" s="297">
        <f t="shared" si="17"/>
        <v>0</v>
      </c>
      <c r="AC35" s="245"/>
      <c r="AD35" s="69">
        <f t="shared" si="18"/>
        <v>0</v>
      </c>
      <c r="AE35" s="70"/>
      <c r="AF35" s="71"/>
      <c r="AG35" s="436">
        <f t="shared" si="19"/>
        <v>9016.44</v>
      </c>
      <c r="AH35" s="437">
        <f t="shared" si="23"/>
        <v>331</v>
      </c>
      <c r="AI35" s="438">
        <f t="shared" si="8"/>
        <v>0</v>
      </c>
    </row>
    <row r="36" spans="2:35" x14ac:dyDescent="0.25">
      <c r="B36">
        <v>27.22</v>
      </c>
      <c r="C36" s="15"/>
      <c r="D36" s="297">
        <f t="shared" si="9"/>
        <v>0</v>
      </c>
      <c r="E36" s="245"/>
      <c r="F36" s="69">
        <f t="shared" si="10"/>
        <v>0</v>
      </c>
      <c r="G36" s="70"/>
      <c r="H36" s="71"/>
      <c r="I36" s="436">
        <f t="shared" si="11"/>
        <v>4469.07</v>
      </c>
      <c r="J36" s="437">
        <f t="shared" si="21"/>
        <v>164</v>
      </c>
      <c r="K36" s="438">
        <f t="shared" si="6"/>
        <v>0</v>
      </c>
      <c r="N36">
        <v>27.22</v>
      </c>
      <c r="O36" s="15"/>
      <c r="P36" s="297">
        <f t="shared" si="13"/>
        <v>0</v>
      </c>
      <c r="Q36" s="245"/>
      <c r="R36" s="69">
        <f t="shared" si="14"/>
        <v>0</v>
      </c>
      <c r="S36" s="70"/>
      <c r="T36" s="71"/>
      <c r="U36" s="436">
        <f t="shared" si="15"/>
        <v>5008.4799999999996</v>
      </c>
      <c r="V36" s="437">
        <f t="shared" si="22"/>
        <v>184</v>
      </c>
      <c r="W36" s="438">
        <f t="shared" si="7"/>
        <v>0</v>
      </c>
      <c r="Z36">
        <v>27.22</v>
      </c>
      <c r="AA36" s="15"/>
      <c r="AB36" s="297">
        <f t="shared" si="17"/>
        <v>0</v>
      </c>
      <c r="AC36" s="245"/>
      <c r="AD36" s="69">
        <f t="shared" si="18"/>
        <v>0</v>
      </c>
      <c r="AE36" s="70"/>
      <c r="AF36" s="71"/>
      <c r="AG36" s="436">
        <f t="shared" si="19"/>
        <v>9016.44</v>
      </c>
      <c r="AH36" s="437">
        <f t="shared" si="23"/>
        <v>331</v>
      </c>
      <c r="AI36" s="438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6"/>
      <c r="F37" s="69">
        <f t="shared" si="10"/>
        <v>0</v>
      </c>
      <c r="G37" s="70"/>
      <c r="H37" s="71"/>
      <c r="I37" s="436">
        <f t="shared" si="11"/>
        <v>4469.07</v>
      </c>
      <c r="J37" s="437">
        <f t="shared" si="21"/>
        <v>164</v>
      </c>
      <c r="K37" s="438">
        <f t="shared" si="6"/>
        <v>0</v>
      </c>
      <c r="N37">
        <v>27.22</v>
      </c>
      <c r="O37" s="15"/>
      <c r="P37" s="69">
        <f t="shared" si="13"/>
        <v>0</v>
      </c>
      <c r="Q37" s="246"/>
      <c r="R37" s="69">
        <f t="shared" si="14"/>
        <v>0</v>
      </c>
      <c r="S37" s="70"/>
      <c r="T37" s="71"/>
      <c r="U37" s="436">
        <f t="shared" si="15"/>
        <v>5008.4799999999996</v>
      </c>
      <c r="V37" s="437">
        <f t="shared" si="22"/>
        <v>184</v>
      </c>
      <c r="W37" s="438">
        <f t="shared" si="7"/>
        <v>0</v>
      </c>
      <c r="Z37">
        <v>27.22</v>
      </c>
      <c r="AA37" s="15"/>
      <c r="AB37" s="69">
        <f t="shared" si="17"/>
        <v>0</v>
      </c>
      <c r="AC37" s="246"/>
      <c r="AD37" s="69">
        <f t="shared" si="18"/>
        <v>0</v>
      </c>
      <c r="AE37" s="70"/>
      <c r="AF37" s="71"/>
      <c r="AG37" s="436">
        <f t="shared" si="19"/>
        <v>9016.44</v>
      </c>
      <c r="AH37" s="437">
        <f t="shared" si="23"/>
        <v>331</v>
      </c>
      <c r="AI37" s="438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6"/>
      <c r="F38" s="69">
        <f t="shared" si="10"/>
        <v>0</v>
      </c>
      <c r="G38" s="70"/>
      <c r="H38" s="71"/>
      <c r="I38" s="436">
        <f t="shared" si="11"/>
        <v>4469.07</v>
      </c>
      <c r="J38" s="437">
        <f t="shared" si="21"/>
        <v>164</v>
      </c>
      <c r="K38" s="438">
        <f t="shared" si="6"/>
        <v>0</v>
      </c>
      <c r="N38">
        <v>27.22</v>
      </c>
      <c r="O38" s="15"/>
      <c r="P38" s="69">
        <f t="shared" si="13"/>
        <v>0</v>
      </c>
      <c r="Q38" s="246"/>
      <c r="R38" s="69">
        <f t="shared" si="14"/>
        <v>0</v>
      </c>
      <c r="S38" s="70"/>
      <c r="T38" s="71"/>
      <c r="U38" s="436">
        <f t="shared" si="15"/>
        <v>5008.4799999999996</v>
      </c>
      <c r="V38" s="437">
        <f t="shared" si="22"/>
        <v>184</v>
      </c>
      <c r="W38" s="438">
        <f t="shared" si="7"/>
        <v>0</v>
      </c>
      <c r="Z38">
        <v>27.22</v>
      </c>
      <c r="AA38" s="15"/>
      <c r="AB38" s="69">
        <f t="shared" si="17"/>
        <v>0</v>
      </c>
      <c r="AC38" s="246"/>
      <c r="AD38" s="69">
        <f t="shared" si="18"/>
        <v>0</v>
      </c>
      <c r="AE38" s="70"/>
      <c r="AF38" s="71"/>
      <c r="AG38" s="436">
        <f t="shared" si="19"/>
        <v>9016.44</v>
      </c>
      <c r="AH38" s="437">
        <f t="shared" si="23"/>
        <v>331</v>
      </c>
      <c r="AI38" s="438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6"/>
      <c r="F39" s="69">
        <f t="shared" si="10"/>
        <v>0</v>
      </c>
      <c r="G39" s="70"/>
      <c r="H39" s="71"/>
      <c r="I39" s="436">
        <f t="shared" si="11"/>
        <v>4469.07</v>
      </c>
      <c r="J39" s="437">
        <f t="shared" si="21"/>
        <v>164</v>
      </c>
      <c r="K39" s="438">
        <f t="shared" si="6"/>
        <v>0</v>
      </c>
      <c r="N39">
        <v>27.22</v>
      </c>
      <c r="O39" s="15"/>
      <c r="P39" s="69">
        <f t="shared" si="13"/>
        <v>0</v>
      </c>
      <c r="Q39" s="246"/>
      <c r="R39" s="69">
        <f t="shared" si="14"/>
        <v>0</v>
      </c>
      <c r="S39" s="70"/>
      <c r="T39" s="71"/>
      <c r="U39" s="436">
        <f t="shared" si="15"/>
        <v>5008.4799999999996</v>
      </c>
      <c r="V39" s="437">
        <f t="shared" si="22"/>
        <v>184</v>
      </c>
      <c r="W39" s="438">
        <f t="shared" si="7"/>
        <v>0</v>
      </c>
      <c r="Z39">
        <v>27.22</v>
      </c>
      <c r="AA39" s="15"/>
      <c r="AB39" s="69">
        <f t="shared" si="17"/>
        <v>0</v>
      </c>
      <c r="AC39" s="246"/>
      <c r="AD39" s="69">
        <f t="shared" si="18"/>
        <v>0</v>
      </c>
      <c r="AE39" s="70"/>
      <c r="AF39" s="71"/>
      <c r="AG39" s="436">
        <f t="shared" si="19"/>
        <v>9016.44</v>
      </c>
      <c r="AH39" s="437">
        <f t="shared" si="23"/>
        <v>331</v>
      </c>
      <c r="AI39" s="438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6"/>
      <c r="F40" s="69">
        <f t="shared" si="10"/>
        <v>0</v>
      </c>
      <c r="G40" s="70"/>
      <c r="H40" s="71"/>
      <c r="I40" s="436">
        <f t="shared" si="11"/>
        <v>4469.07</v>
      </c>
      <c r="J40" s="437">
        <f t="shared" si="21"/>
        <v>164</v>
      </c>
      <c r="K40" s="438">
        <f t="shared" si="6"/>
        <v>0</v>
      </c>
      <c r="N40">
        <v>27.22</v>
      </c>
      <c r="O40" s="15"/>
      <c r="P40" s="69">
        <f t="shared" si="13"/>
        <v>0</v>
      </c>
      <c r="Q40" s="246"/>
      <c r="R40" s="69">
        <f t="shared" si="14"/>
        <v>0</v>
      </c>
      <c r="S40" s="70"/>
      <c r="T40" s="71"/>
      <c r="U40" s="436">
        <f t="shared" si="15"/>
        <v>5008.4799999999996</v>
      </c>
      <c r="V40" s="437">
        <f t="shared" si="22"/>
        <v>184</v>
      </c>
      <c r="W40" s="438">
        <f t="shared" si="7"/>
        <v>0</v>
      </c>
      <c r="Z40">
        <v>27.22</v>
      </c>
      <c r="AA40" s="15"/>
      <c r="AB40" s="69">
        <f t="shared" si="17"/>
        <v>0</v>
      </c>
      <c r="AC40" s="246"/>
      <c r="AD40" s="69">
        <f t="shared" si="18"/>
        <v>0</v>
      </c>
      <c r="AE40" s="70"/>
      <c r="AF40" s="71"/>
      <c r="AG40" s="436">
        <f t="shared" si="19"/>
        <v>9016.44</v>
      </c>
      <c r="AH40" s="437">
        <f t="shared" si="23"/>
        <v>331</v>
      </c>
      <c r="AI40" s="438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6"/>
      <c r="F41" s="69">
        <f t="shared" si="10"/>
        <v>0</v>
      </c>
      <c r="G41" s="70"/>
      <c r="H41" s="71"/>
      <c r="I41" s="436">
        <f t="shared" si="11"/>
        <v>4469.07</v>
      </c>
      <c r="J41" s="437">
        <f t="shared" si="21"/>
        <v>164</v>
      </c>
      <c r="K41" s="438">
        <f t="shared" si="6"/>
        <v>0</v>
      </c>
      <c r="N41">
        <v>27.22</v>
      </c>
      <c r="O41" s="15"/>
      <c r="P41" s="69">
        <f t="shared" si="13"/>
        <v>0</v>
      </c>
      <c r="Q41" s="246"/>
      <c r="R41" s="69">
        <f t="shared" si="14"/>
        <v>0</v>
      </c>
      <c r="S41" s="70"/>
      <c r="T41" s="71"/>
      <c r="U41" s="436">
        <f t="shared" si="15"/>
        <v>5008.4799999999996</v>
      </c>
      <c r="V41" s="437">
        <f t="shared" si="22"/>
        <v>184</v>
      </c>
      <c r="W41" s="438">
        <f t="shared" si="7"/>
        <v>0</v>
      </c>
      <c r="Z41">
        <v>27.22</v>
      </c>
      <c r="AA41" s="15"/>
      <c r="AB41" s="69">
        <f t="shared" si="17"/>
        <v>0</v>
      </c>
      <c r="AC41" s="246"/>
      <c r="AD41" s="69">
        <f t="shared" si="18"/>
        <v>0</v>
      </c>
      <c r="AE41" s="70"/>
      <c r="AF41" s="71"/>
      <c r="AG41" s="436">
        <f t="shared" si="19"/>
        <v>9016.44</v>
      </c>
      <c r="AH41" s="437">
        <f t="shared" si="23"/>
        <v>331</v>
      </c>
      <c r="AI41" s="438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6"/>
      <c r="F42" s="69">
        <f t="shared" si="10"/>
        <v>0</v>
      </c>
      <c r="G42" s="70"/>
      <c r="H42" s="71"/>
      <c r="I42" s="436">
        <f t="shared" si="11"/>
        <v>4469.07</v>
      </c>
      <c r="J42" s="437">
        <f t="shared" si="21"/>
        <v>164</v>
      </c>
      <c r="K42" s="438">
        <f t="shared" si="6"/>
        <v>0</v>
      </c>
      <c r="N42">
        <v>27.22</v>
      </c>
      <c r="O42" s="15"/>
      <c r="P42" s="69">
        <f t="shared" si="13"/>
        <v>0</v>
      </c>
      <c r="Q42" s="246"/>
      <c r="R42" s="69">
        <f t="shared" si="14"/>
        <v>0</v>
      </c>
      <c r="S42" s="70"/>
      <c r="T42" s="71"/>
      <c r="U42" s="436">
        <f t="shared" si="15"/>
        <v>5008.4799999999996</v>
      </c>
      <c r="V42" s="437">
        <f t="shared" si="22"/>
        <v>184</v>
      </c>
      <c r="W42" s="438">
        <f t="shared" si="7"/>
        <v>0</v>
      </c>
      <c r="Z42">
        <v>27.22</v>
      </c>
      <c r="AA42" s="15"/>
      <c r="AB42" s="69">
        <f t="shared" si="17"/>
        <v>0</v>
      </c>
      <c r="AC42" s="246"/>
      <c r="AD42" s="69">
        <f t="shared" si="18"/>
        <v>0</v>
      </c>
      <c r="AE42" s="70"/>
      <c r="AF42" s="71"/>
      <c r="AG42" s="436">
        <f t="shared" si="19"/>
        <v>9016.44</v>
      </c>
      <c r="AH42" s="437">
        <f t="shared" si="23"/>
        <v>331</v>
      </c>
      <c r="AI42" s="438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6"/>
      <c r="F43" s="69">
        <f t="shared" si="10"/>
        <v>0</v>
      </c>
      <c r="G43" s="70"/>
      <c r="H43" s="71"/>
      <c r="I43" s="436">
        <f t="shared" si="11"/>
        <v>4469.07</v>
      </c>
      <c r="J43" s="437">
        <f t="shared" si="21"/>
        <v>164</v>
      </c>
      <c r="K43" s="438">
        <f t="shared" si="6"/>
        <v>0</v>
      </c>
      <c r="N43">
        <v>27.22</v>
      </c>
      <c r="O43" s="15"/>
      <c r="P43" s="69">
        <f t="shared" si="13"/>
        <v>0</v>
      </c>
      <c r="Q43" s="246"/>
      <c r="R43" s="69">
        <f t="shared" si="14"/>
        <v>0</v>
      </c>
      <c r="S43" s="70"/>
      <c r="T43" s="71"/>
      <c r="U43" s="436">
        <f t="shared" si="15"/>
        <v>5008.4799999999996</v>
      </c>
      <c r="V43" s="437">
        <f t="shared" si="22"/>
        <v>184</v>
      </c>
      <c r="W43" s="438">
        <f t="shared" si="7"/>
        <v>0</v>
      </c>
      <c r="Z43">
        <v>27.22</v>
      </c>
      <c r="AA43" s="15"/>
      <c r="AB43" s="69">
        <f t="shared" si="17"/>
        <v>0</v>
      </c>
      <c r="AC43" s="246"/>
      <c r="AD43" s="69">
        <f t="shared" si="18"/>
        <v>0</v>
      </c>
      <c r="AE43" s="70"/>
      <c r="AF43" s="71"/>
      <c r="AG43" s="436">
        <f t="shared" si="19"/>
        <v>9016.44</v>
      </c>
      <c r="AH43" s="437">
        <f t="shared" si="23"/>
        <v>331</v>
      </c>
      <c r="AI43" s="438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6"/>
      <c r="F44" s="69">
        <f t="shared" si="10"/>
        <v>0</v>
      </c>
      <c r="G44" s="70"/>
      <c r="H44" s="71"/>
      <c r="I44" s="436">
        <f t="shared" si="11"/>
        <v>4469.07</v>
      </c>
      <c r="J44" s="437">
        <f t="shared" si="21"/>
        <v>164</v>
      </c>
      <c r="K44" s="438">
        <f t="shared" si="6"/>
        <v>0</v>
      </c>
      <c r="N44">
        <v>27.22</v>
      </c>
      <c r="O44" s="15"/>
      <c r="P44" s="69">
        <f t="shared" si="13"/>
        <v>0</v>
      </c>
      <c r="Q44" s="246"/>
      <c r="R44" s="69">
        <f t="shared" si="14"/>
        <v>0</v>
      </c>
      <c r="S44" s="70"/>
      <c r="T44" s="71"/>
      <c r="U44" s="436">
        <f t="shared" si="15"/>
        <v>5008.4799999999996</v>
      </c>
      <c r="V44" s="437">
        <f t="shared" si="22"/>
        <v>184</v>
      </c>
      <c r="W44" s="438">
        <f t="shared" si="7"/>
        <v>0</v>
      </c>
      <c r="Z44">
        <v>27.22</v>
      </c>
      <c r="AA44" s="15"/>
      <c r="AB44" s="69">
        <f t="shared" si="17"/>
        <v>0</v>
      </c>
      <c r="AC44" s="246"/>
      <c r="AD44" s="69">
        <f t="shared" si="18"/>
        <v>0</v>
      </c>
      <c r="AE44" s="70"/>
      <c r="AF44" s="71"/>
      <c r="AG44" s="436">
        <f t="shared" si="19"/>
        <v>9016.44</v>
      </c>
      <c r="AH44" s="437">
        <f t="shared" si="23"/>
        <v>331</v>
      </c>
      <c r="AI44" s="438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6"/>
      <c r="F45" s="69">
        <f t="shared" si="10"/>
        <v>0</v>
      </c>
      <c r="G45" s="70"/>
      <c r="H45" s="71"/>
      <c r="I45" s="436">
        <f t="shared" si="11"/>
        <v>4469.07</v>
      </c>
      <c r="J45" s="437">
        <f t="shared" si="21"/>
        <v>164</v>
      </c>
      <c r="K45" s="438">
        <f t="shared" si="6"/>
        <v>0</v>
      </c>
      <c r="N45">
        <v>27.22</v>
      </c>
      <c r="O45" s="15"/>
      <c r="P45" s="69">
        <f t="shared" si="13"/>
        <v>0</v>
      </c>
      <c r="Q45" s="246"/>
      <c r="R45" s="69">
        <f t="shared" si="14"/>
        <v>0</v>
      </c>
      <c r="S45" s="70"/>
      <c r="T45" s="71"/>
      <c r="U45" s="436">
        <f t="shared" si="15"/>
        <v>5008.4799999999996</v>
      </c>
      <c r="V45" s="437">
        <f t="shared" si="22"/>
        <v>184</v>
      </c>
      <c r="W45" s="438">
        <f t="shared" si="7"/>
        <v>0</v>
      </c>
      <c r="Z45">
        <v>27.22</v>
      </c>
      <c r="AA45" s="15"/>
      <c r="AB45" s="69">
        <f t="shared" si="17"/>
        <v>0</v>
      </c>
      <c r="AC45" s="246"/>
      <c r="AD45" s="69">
        <f t="shared" si="18"/>
        <v>0</v>
      </c>
      <c r="AE45" s="70"/>
      <c r="AF45" s="71"/>
      <c r="AG45" s="436">
        <f t="shared" si="19"/>
        <v>9016.44</v>
      </c>
      <c r="AH45" s="437">
        <f t="shared" si="23"/>
        <v>331</v>
      </c>
      <c r="AI45" s="438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6"/>
      <c r="F46" s="69">
        <f t="shared" si="10"/>
        <v>0</v>
      </c>
      <c r="G46" s="70"/>
      <c r="H46" s="71"/>
      <c r="I46" s="436">
        <f t="shared" si="11"/>
        <v>4469.07</v>
      </c>
      <c r="J46" s="437">
        <f t="shared" si="21"/>
        <v>164</v>
      </c>
      <c r="K46" s="438">
        <f t="shared" si="6"/>
        <v>0</v>
      </c>
      <c r="N46">
        <v>27.22</v>
      </c>
      <c r="O46" s="15"/>
      <c r="P46" s="69">
        <f t="shared" si="13"/>
        <v>0</v>
      </c>
      <c r="Q46" s="246"/>
      <c r="R46" s="69">
        <f t="shared" si="14"/>
        <v>0</v>
      </c>
      <c r="S46" s="70"/>
      <c r="T46" s="71"/>
      <c r="U46" s="436">
        <f t="shared" si="15"/>
        <v>5008.4799999999996</v>
      </c>
      <c r="V46" s="437">
        <f t="shared" si="22"/>
        <v>184</v>
      </c>
      <c r="W46" s="438">
        <f t="shared" si="7"/>
        <v>0</v>
      </c>
      <c r="Z46">
        <v>27.22</v>
      </c>
      <c r="AA46" s="15"/>
      <c r="AB46" s="69">
        <f t="shared" si="17"/>
        <v>0</v>
      </c>
      <c r="AC46" s="246"/>
      <c r="AD46" s="69">
        <f t="shared" si="18"/>
        <v>0</v>
      </c>
      <c r="AE46" s="70"/>
      <c r="AF46" s="71"/>
      <c r="AG46" s="436">
        <f t="shared" si="19"/>
        <v>9016.44</v>
      </c>
      <c r="AH46" s="437">
        <f t="shared" si="23"/>
        <v>331</v>
      </c>
      <c r="AI46" s="438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6"/>
      <c r="F47" s="69">
        <f t="shared" si="10"/>
        <v>0</v>
      </c>
      <c r="G47" s="70"/>
      <c r="H47" s="71"/>
      <c r="I47" s="436">
        <f t="shared" si="11"/>
        <v>4469.07</v>
      </c>
      <c r="J47" s="437">
        <f t="shared" si="21"/>
        <v>164</v>
      </c>
      <c r="K47" s="438">
        <f t="shared" si="6"/>
        <v>0</v>
      </c>
      <c r="N47">
        <v>27.22</v>
      </c>
      <c r="O47" s="15"/>
      <c r="P47" s="69">
        <f t="shared" si="13"/>
        <v>0</v>
      </c>
      <c r="Q47" s="246"/>
      <c r="R47" s="69">
        <f t="shared" si="14"/>
        <v>0</v>
      </c>
      <c r="S47" s="70"/>
      <c r="T47" s="71"/>
      <c r="U47" s="436">
        <f t="shared" si="15"/>
        <v>5008.4799999999996</v>
      </c>
      <c r="V47" s="437">
        <f t="shared" si="22"/>
        <v>184</v>
      </c>
      <c r="W47" s="438">
        <f t="shared" si="7"/>
        <v>0</v>
      </c>
      <c r="Z47">
        <v>27.22</v>
      </c>
      <c r="AA47" s="15"/>
      <c r="AB47" s="69">
        <f t="shared" si="17"/>
        <v>0</v>
      </c>
      <c r="AC47" s="246"/>
      <c r="AD47" s="69">
        <f t="shared" si="18"/>
        <v>0</v>
      </c>
      <c r="AE47" s="70"/>
      <c r="AF47" s="71"/>
      <c r="AG47" s="436">
        <f t="shared" si="19"/>
        <v>9016.44</v>
      </c>
      <c r="AH47" s="437">
        <f t="shared" si="23"/>
        <v>331</v>
      </c>
      <c r="AI47" s="438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6"/>
      <c r="F48" s="69">
        <f t="shared" si="10"/>
        <v>0</v>
      </c>
      <c r="G48" s="70"/>
      <c r="H48" s="71"/>
      <c r="I48" s="436">
        <f t="shared" si="11"/>
        <v>4469.07</v>
      </c>
      <c r="J48" s="437">
        <f t="shared" si="21"/>
        <v>164</v>
      </c>
      <c r="K48" s="438">
        <f t="shared" si="6"/>
        <v>0</v>
      </c>
      <c r="N48">
        <v>27.22</v>
      </c>
      <c r="O48" s="15"/>
      <c r="P48" s="69">
        <f t="shared" si="13"/>
        <v>0</v>
      </c>
      <c r="Q48" s="246"/>
      <c r="R48" s="69">
        <f t="shared" si="14"/>
        <v>0</v>
      </c>
      <c r="S48" s="70"/>
      <c r="T48" s="71"/>
      <c r="U48" s="436">
        <f t="shared" si="15"/>
        <v>5008.4799999999996</v>
      </c>
      <c r="V48" s="437">
        <f t="shared" si="22"/>
        <v>184</v>
      </c>
      <c r="W48" s="438">
        <f t="shared" si="7"/>
        <v>0</v>
      </c>
      <c r="Z48">
        <v>27.22</v>
      </c>
      <c r="AA48" s="15"/>
      <c r="AB48" s="69">
        <f t="shared" si="17"/>
        <v>0</v>
      </c>
      <c r="AC48" s="246"/>
      <c r="AD48" s="69">
        <f t="shared" si="18"/>
        <v>0</v>
      </c>
      <c r="AE48" s="70"/>
      <c r="AF48" s="71"/>
      <c r="AG48" s="436">
        <f t="shared" si="19"/>
        <v>9016.44</v>
      </c>
      <c r="AH48" s="437">
        <f t="shared" si="23"/>
        <v>331</v>
      </c>
      <c r="AI48" s="438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6"/>
      <c r="F49" s="69">
        <f t="shared" si="10"/>
        <v>0</v>
      </c>
      <c r="G49" s="70"/>
      <c r="H49" s="71"/>
      <c r="I49" s="436">
        <f t="shared" si="11"/>
        <v>4469.07</v>
      </c>
      <c r="J49" s="437">
        <f t="shared" si="21"/>
        <v>164</v>
      </c>
      <c r="K49" s="438">
        <f t="shared" si="6"/>
        <v>0</v>
      </c>
      <c r="N49">
        <v>27.22</v>
      </c>
      <c r="O49" s="15"/>
      <c r="P49" s="69">
        <f t="shared" si="13"/>
        <v>0</v>
      </c>
      <c r="Q49" s="246"/>
      <c r="R49" s="69">
        <f t="shared" si="14"/>
        <v>0</v>
      </c>
      <c r="S49" s="70"/>
      <c r="T49" s="71"/>
      <c r="U49" s="436">
        <f t="shared" si="15"/>
        <v>5008.4799999999996</v>
      </c>
      <c r="V49" s="437">
        <f t="shared" si="22"/>
        <v>184</v>
      </c>
      <c r="W49" s="438">
        <f t="shared" si="7"/>
        <v>0</v>
      </c>
      <c r="Z49">
        <v>27.22</v>
      </c>
      <c r="AA49" s="15"/>
      <c r="AB49" s="69">
        <f t="shared" si="17"/>
        <v>0</v>
      </c>
      <c r="AC49" s="246"/>
      <c r="AD49" s="69">
        <f t="shared" si="18"/>
        <v>0</v>
      </c>
      <c r="AE49" s="70"/>
      <c r="AF49" s="71"/>
      <c r="AG49" s="436">
        <f t="shared" si="19"/>
        <v>9016.44</v>
      </c>
      <c r="AH49" s="437">
        <f t="shared" si="23"/>
        <v>331</v>
      </c>
      <c r="AI49" s="438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6"/>
      <c r="F50" s="69">
        <f t="shared" si="10"/>
        <v>0</v>
      </c>
      <c r="G50" s="70"/>
      <c r="H50" s="71"/>
      <c r="I50" s="436">
        <f t="shared" si="11"/>
        <v>4469.07</v>
      </c>
      <c r="J50" s="437">
        <f t="shared" si="21"/>
        <v>164</v>
      </c>
      <c r="K50" s="438">
        <f t="shared" si="6"/>
        <v>0</v>
      </c>
      <c r="N50">
        <v>27.22</v>
      </c>
      <c r="O50" s="15"/>
      <c r="P50" s="69">
        <f t="shared" si="13"/>
        <v>0</v>
      </c>
      <c r="Q50" s="246"/>
      <c r="R50" s="69">
        <f t="shared" si="14"/>
        <v>0</v>
      </c>
      <c r="S50" s="70"/>
      <c r="T50" s="71"/>
      <c r="U50" s="436">
        <f t="shared" si="15"/>
        <v>5008.4799999999996</v>
      </c>
      <c r="V50" s="437">
        <f t="shared" si="22"/>
        <v>184</v>
      </c>
      <c r="W50" s="438">
        <f t="shared" si="7"/>
        <v>0</v>
      </c>
      <c r="Z50">
        <v>27.22</v>
      </c>
      <c r="AA50" s="15"/>
      <c r="AB50" s="69">
        <f t="shared" si="17"/>
        <v>0</v>
      </c>
      <c r="AC50" s="246"/>
      <c r="AD50" s="69">
        <f t="shared" si="18"/>
        <v>0</v>
      </c>
      <c r="AE50" s="70"/>
      <c r="AF50" s="71"/>
      <c r="AG50" s="436">
        <f t="shared" si="19"/>
        <v>9016.44</v>
      </c>
      <c r="AH50" s="437">
        <f t="shared" si="23"/>
        <v>331</v>
      </c>
      <c r="AI50" s="438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6"/>
      <c r="F51" s="69">
        <f t="shared" si="10"/>
        <v>0</v>
      </c>
      <c r="G51" s="70"/>
      <c r="H51" s="71"/>
      <c r="I51" s="436">
        <f t="shared" si="11"/>
        <v>4469.07</v>
      </c>
      <c r="J51" s="437">
        <f t="shared" si="21"/>
        <v>164</v>
      </c>
      <c r="K51" s="438">
        <f t="shared" si="6"/>
        <v>0</v>
      </c>
      <c r="N51">
        <v>27.22</v>
      </c>
      <c r="O51" s="15"/>
      <c r="P51" s="69">
        <f t="shared" si="13"/>
        <v>0</v>
      </c>
      <c r="Q51" s="246"/>
      <c r="R51" s="69">
        <f t="shared" si="14"/>
        <v>0</v>
      </c>
      <c r="S51" s="70"/>
      <c r="T51" s="71"/>
      <c r="U51" s="436">
        <f t="shared" si="15"/>
        <v>5008.4799999999996</v>
      </c>
      <c r="V51" s="437">
        <f t="shared" si="22"/>
        <v>184</v>
      </c>
      <c r="W51" s="438">
        <f t="shared" si="7"/>
        <v>0</v>
      </c>
      <c r="Z51">
        <v>27.22</v>
      </c>
      <c r="AA51" s="15"/>
      <c r="AB51" s="69">
        <f t="shared" si="17"/>
        <v>0</v>
      </c>
      <c r="AC51" s="246"/>
      <c r="AD51" s="69">
        <f t="shared" si="18"/>
        <v>0</v>
      </c>
      <c r="AE51" s="70"/>
      <c r="AF51" s="71"/>
      <c r="AG51" s="436">
        <f t="shared" si="19"/>
        <v>9016.44</v>
      </c>
      <c r="AH51" s="437">
        <f t="shared" si="23"/>
        <v>331</v>
      </c>
      <c r="AI51" s="438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6"/>
      <c r="F52" s="69">
        <f t="shared" si="10"/>
        <v>0</v>
      </c>
      <c r="G52" s="70"/>
      <c r="H52" s="71"/>
      <c r="I52" s="436">
        <f t="shared" si="11"/>
        <v>4469.07</v>
      </c>
      <c r="J52" s="437">
        <f t="shared" si="21"/>
        <v>164</v>
      </c>
      <c r="K52" s="438">
        <f t="shared" si="6"/>
        <v>0</v>
      </c>
      <c r="N52">
        <v>27.22</v>
      </c>
      <c r="O52" s="15"/>
      <c r="P52" s="69">
        <f t="shared" si="13"/>
        <v>0</v>
      </c>
      <c r="Q52" s="246"/>
      <c r="R52" s="69">
        <f t="shared" si="14"/>
        <v>0</v>
      </c>
      <c r="S52" s="70"/>
      <c r="T52" s="71"/>
      <c r="U52" s="436">
        <f t="shared" si="15"/>
        <v>5008.4799999999996</v>
      </c>
      <c r="V52" s="437">
        <f t="shared" si="22"/>
        <v>184</v>
      </c>
      <c r="W52" s="438">
        <f t="shared" si="7"/>
        <v>0</v>
      </c>
      <c r="Z52">
        <v>27.22</v>
      </c>
      <c r="AA52" s="15"/>
      <c r="AB52" s="69">
        <f t="shared" si="17"/>
        <v>0</v>
      </c>
      <c r="AC52" s="246"/>
      <c r="AD52" s="69">
        <f t="shared" si="18"/>
        <v>0</v>
      </c>
      <c r="AE52" s="70"/>
      <c r="AF52" s="71"/>
      <c r="AG52" s="436">
        <f t="shared" si="19"/>
        <v>9016.44</v>
      </c>
      <c r="AH52" s="437">
        <f t="shared" si="23"/>
        <v>331</v>
      </c>
      <c r="AI52" s="438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6"/>
      <c r="F53" s="69">
        <f t="shared" si="10"/>
        <v>0</v>
      </c>
      <c r="G53" s="70"/>
      <c r="H53" s="71"/>
      <c r="I53" s="436">
        <f t="shared" si="11"/>
        <v>4469.07</v>
      </c>
      <c r="J53" s="437">
        <f t="shared" si="21"/>
        <v>164</v>
      </c>
      <c r="K53" s="438">
        <f t="shared" si="6"/>
        <v>0</v>
      </c>
      <c r="N53">
        <v>27.22</v>
      </c>
      <c r="O53" s="15"/>
      <c r="P53" s="69">
        <f t="shared" si="13"/>
        <v>0</v>
      </c>
      <c r="Q53" s="246"/>
      <c r="R53" s="69">
        <f t="shared" si="14"/>
        <v>0</v>
      </c>
      <c r="S53" s="70"/>
      <c r="T53" s="71"/>
      <c r="U53" s="436">
        <f t="shared" si="15"/>
        <v>5008.4799999999996</v>
      </c>
      <c r="V53" s="437">
        <f t="shared" si="22"/>
        <v>184</v>
      </c>
      <c r="W53" s="438">
        <f t="shared" si="7"/>
        <v>0</v>
      </c>
      <c r="Z53">
        <v>27.22</v>
      </c>
      <c r="AA53" s="15"/>
      <c r="AB53" s="69">
        <f t="shared" si="17"/>
        <v>0</v>
      </c>
      <c r="AC53" s="246"/>
      <c r="AD53" s="69">
        <f t="shared" si="18"/>
        <v>0</v>
      </c>
      <c r="AE53" s="70"/>
      <c r="AF53" s="71"/>
      <c r="AG53" s="436">
        <f t="shared" si="19"/>
        <v>9016.44</v>
      </c>
      <c r="AH53" s="437">
        <f t="shared" si="23"/>
        <v>331</v>
      </c>
      <c r="AI53" s="438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6"/>
      <c r="F54" s="69">
        <f t="shared" si="10"/>
        <v>0</v>
      </c>
      <c r="G54" s="70"/>
      <c r="H54" s="71"/>
      <c r="I54" s="436">
        <f t="shared" si="11"/>
        <v>4469.07</v>
      </c>
      <c r="J54" s="437">
        <f t="shared" si="21"/>
        <v>164</v>
      </c>
      <c r="K54" s="438">
        <f t="shared" si="6"/>
        <v>0</v>
      </c>
      <c r="N54">
        <v>27.22</v>
      </c>
      <c r="O54" s="15"/>
      <c r="P54" s="69">
        <f t="shared" si="13"/>
        <v>0</v>
      </c>
      <c r="Q54" s="246"/>
      <c r="R54" s="69">
        <f t="shared" si="14"/>
        <v>0</v>
      </c>
      <c r="S54" s="70"/>
      <c r="T54" s="71"/>
      <c r="U54" s="436">
        <f t="shared" si="15"/>
        <v>5008.4799999999996</v>
      </c>
      <c r="V54" s="437">
        <f t="shared" si="22"/>
        <v>184</v>
      </c>
      <c r="W54" s="438">
        <f t="shared" si="7"/>
        <v>0</v>
      </c>
      <c r="Z54">
        <v>27.22</v>
      </c>
      <c r="AA54" s="15"/>
      <c r="AB54" s="69">
        <f t="shared" si="17"/>
        <v>0</v>
      </c>
      <c r="AC54" s="246"/>
      <c r="AD54" s="69">
        <f t="shared" si="18"/>
        <v>0</v>
      </c>
      <c r="AE54" s="70"/>
      <c r="AF54" s="71"/>
      <c r="AG54" s="436">
        <f t="shared" si="19"/>
        <v>9016.44</v>
      </c>
      <c r="AH54" s="437">
        <f t="shared" si="23"/>
        <v>331</v>
      </c>
      <c r="AI54" s="438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6"/>
      <c r="F55" s="69">
        <f t="shared" si="10"/>
        <v>0</v>
      </c>
      <c r="G55" s="70"/>
      <c r="H55" s="71"/>
      <c r="I55" s="436">
        <f t="shared" si="11"/>
        <v>4469.07</v>
      </c>
      <c r="J55" s="437">
        <f t="shared" si="21"/>
        <v>164</v>
      </c>
      <c r="K55" s="438">
        <f t="shared" si="6"/>
        <v>0</v>
      </c>
      <c r="N55">
        <v>27.22</v>
      </c>
      <c r="O55" s="15"/>
      <c r="P55" s="69">
        <f t="shared" si="13"/>
        <v>0</v>
      </c>
      <c r="Q55" s="246"/>
      <c r="R55" s="69">
        <f t="shared" si="14"/>
        <v>0</v>
      </c>
      <c r="S55" s="70"/>
      <c r="T55" s="71"/>
      <c r="U55" s="436">
        <f t="shared" si="15"/>
        <v>5008.4799999999996</v>
      </c>
      <c r="V55" s="437">
        <f t="shared" si="22"/>
        <v>184</v>
      </c>
      <c r="W55" s="438">
        <f t="shared" si="7"/>
        <v>0</v>
      </c>
      <c r="Z55">
        <v>27.22</v>
      </c>
      <c r="AA55" s="15"/>
      <c r="AB55" s="69">
        <f t="shared" si="17"/>
        <v>0</v>
      </c>
      <c r="AC55" s="246"/>
      <c r="AD55" s="69">
        <f t="shared" si="18"/>
        <v>0</v>
      </c>
      <c r="AE55" s="70"/>
      <c r="AF55" s="71"/>
      <c r="AG55" s="436">
        <f t="shared" si="19"/>
        <v>9016.44</v>
      </c>
      <c r="AH55" s="437">
        <f t="shared" si="23"/>
        <v>331</v>
      </c>
      <c r="AI55" s="438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6"/>
      <c r="F56" s="69">
        <f t="shared" si="10"/>
        <v>0</v>
      </c>
      <c r="G56" s="70"/>
      <c r="H56" s="71"/>
      <c r="I56" s="436">
        <f t="shared" si="11"/>
        <v>4469.07</v>
      </c>
      <c r="J56" s="437">
        <f t="shared" si="21"/>
        <v>164</v>
      </c>
      <c r="K56" s="438">
        <f t="shared" si="6"/>
        <v>0</v>
      </c>
      <c r="N56">
        <v>27.22</v>
      </c>
      <c r="O56" s="15"/>
      <c r="P56" s="69">
        <f t="shared" si="13"/>
        <v>0</v>
      </c>
      <c r="Q56" s="246"/>
      <c r="R56" s="69">
        <f t="shared" si="14"/>
        <v>0</v>
      </c>
      <c r="S56" s="70"/>
      <c r="T56" s="71"/>
      <c r="U56" s="436">
        <f t="shared" si="15"/>
        <v>5008.4799999999996</v>
      </c>
      <c r="V56" s="437">
        <f t="shared" si="22"/>
        <v>184</v>
      </c>
      <c r="W56" s="438">
        <f t="shared" si="7"/>
        <v>0</v>
      </c>
      <c r="Z56">
        <v>27.22</v>
      </c>
      <c r="AA56" s="15"/>
      <c r="AB56" s="69">
        <f t="shared" si="17"/>
        <v>0</v>
      </c>
      <c r="AC56" s="246"/>
      <c r="AD56" s="69">
        <f t="shared" si="18"/>
        <v>0</v>
      </c>
      <c r="AE56" s="70"/>
      <c r="AF56" s="71"/>
      <c r="AG56" s="436">
        <f t="shared" si="19"/>
        <v>9016.44</v>
      </c>
      <c r="AH56" s="437">
        <f t="shared" si="23"/>
        <v>331</v>
      </c>
      <c r="AI56" s="438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6"/>
      <c r="F57" s="69">
        <f t="shared" si="10"/>
        <v>0</v>
      </c>
      <c r="G57" s="70"/>
      <c r="H57" s="71"/>
      <c r="I57" s="436">
        <f t="shared" si="11"/>
        <v>4469.07</v>
      </c>
      <c r="J57" s="437">
        <f t="shared" si="21"/>
        <v>164</v>
      </c>
      <c r="K57" s="438">
        <f t="shared" si="6"/>
        <v>0</v>
      </c>
      <c r="N57">
        <v>27.22</v>
      </c>
      <c r="O57" s="15"/>
      <c r="P57" s="69">
        <f t="shared" si="13"/>
        <v>0</v>
      </c>
      <c r="Q57" s="246"/>
      <c r="R57" s="69">
        <f t="shared" si="14"/>
        <v>0</v>
      </c>
      <c r="S57" s="70"/>
      <c r="T57" s="71"/>
      <c r="U57" s="436">
        <f t="shared" si="15"/>
        <v>5008.4799999999996</v>
      </c>
      <c r="V57" s="437">
        <f t="shared" si="22"/>
        <v>184</v>
      </c>
      <c r="W57" s="438">
        <f t="shared" si="7"/>
        <v>0</v>
      </c>
      <c r="Z57">
        <v>27.22</v>
      </c>
      <c r="AA57" s="15"/>
      <c r="AB57" s="69">
        <f t="shared" si="17"/>
        <v>0</v>
      </c>
      <c r="AC57" s="246"/>
      <c r="AD57" s="69">
        <f t="shared" si="18"/>
        <v>0</v>
      </c>
      <c r="AE57" s="70"/>
      <c r="AF57" s="71"/>
      <c r="AG57" s="436">
        <f t="shared" si="19"/>
        <v>9016.44</v>
      </c>
      <c r="AH57" s="437">
        <f t="shared" si="23"/>
        <v>331</v>
      </c>
      <c r="AI57" s="438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6"/>
      <c r="F58" s="69">
        <f t="shared" si="10"/>
        <v>0</v>
      </c>
      <c r="G58" s="70"/>
      <c r="H58" s="71"/>
      <c r="I58" s="436">
        <f t="shared" si="11"/>
        <v>4469.07</v>
      </c>
      <c r="J58" s="437">
        <f t="shared" si="21"/>
        <v>164</v>
      </c>
      <c r="K58" s="438">
        <f t="shared" si="6"/>
        <v>0</v>
      </c>
      <c r="N58">
        <v>27.22</v>
      </c>
      <c r="O58" s="15"/>
      <c r="P58" s="69">
        <f t="shared" si="13"/>
        <v>0</v>
      </c>
      <c r="Q58" s="246"/>
      <c r="R58" s="69">
        <f t="shared" si="14"/>
        <v>0</v>
      </c>
      <c r="S58" s="70"/>
      <c r="T58" s="71"/>
      <c r="U58" s="436">
        <f t="shared" si="15"/>
        <v>5008.4799999999996</v>
      </c>
      <c r="V58" s="437">
        <f t="shared" si="22"/>
        <v>184</v>
      </c>
      <c r="W58" s="438">
        <f t="shared" si="7"/>
        <v>0</v>
      </c>
      <c r="Z58">
        <v>27.22</v>
      </c>
      <c r="AA58" s="15"/>
      <c r="AB58" s="69">
        <f t="shared" si="17"/>
        <v>0</v>
      </c>
      <c r="AC58" s="246"/>
      <c r="AD58" s="69">
        <f t="shared" si="18"/>
        <v>0</v>
      </c>
      <c r="AE58" s="70"/>
      <c r="AF58" s="71"/>
      <c r="AG58" s="436">
        <f t="shared" si="19"/>
        <v>9016.44</v>
      </c>
      <c r="AH58" s="437">
        <f t="shared" si="23"/>
        <v>331</v>
      </c>
      <c r="AI58" s="438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6"/>
      <c r="F59" s="69">
        <f t="shared" si="10"/>
        <v>0</v>
      </c>
      <c r="G59" s="70"/>
      <c r="H59" s="71"/>
      <c r="I59" s="436">
        <f t="shared" si="11"/>
        <v>4469.07</v>
      </c>
      <c r="J59" s="437">
        <f t="shared" si="21"/>
        <v>164</v>
      </c>
      <c r="K59" s="438">
        <f t="shared" si="6"/>
        <v>0</v>
      </c>
      <c r="N59">
        <v>27.22</v>
      </c>
      <c r="O59" s="15"/>
      <c r="P59" s="69">
        <f t="shared" si="13"/>
        <v>0</v>
      </c>
      <c r="Q59" s="246"/>
      <c r="R59" s="69">
        <f t="shared" si="14"/>
        <v>0</v>
      </c>
      <c r="S59" s="70"/>
      <c r="T59" s="71"/>
      <c r="U59" s="436">
        <f t="shared" si="15"/>
        <v>5008.4799999999996</v>
      </c>
      <c r="V59" s="437">
        <f t="shared" si="22"/>
        <v>184</v>
      </c>
      <c r="W59" s="438">
        <f t="shared" si="7"/>
        <v>0</v>
      </c>
      <c r="Z59">
        <v>27.22</v>
      </c>
      <c r="AA59" s="15"/>
      <c r="AB59" s="69">
        <f t="shared" si="17"/>
        <v>0</v>
      </c>
      <c r="AC59" s="246"/>
      <c r="AD59" s="69">
        <f t="shared" si="18"/>
        <v>0</v>
      </c>
      <c r="AE59" s="70"/>
      <c r="AF59" s="71"/>
      <c r="AG59" s="436">
        <f t="shared" si="19"/>
        <v>9016.44</v>
      </c>
      <c r="AH59" s="437">
        <f t="shared" si="23"/>
        <v>331</v>
      </c>
      <c r="AI59" s="438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6"/>
      <c r="F60" s="69">
        <f t="shared" si="10"/>
        <v>0</v>
      </c>
      <c r="G60" s="70"/>
      <c r="H60" s="71"/>
      <c r="I60" s="436">
        <f t="shared" si="11"/>
        <v>4469.07</v>
      </c>
      <c r="J60" s="437">
        <f t="shared" si="21"/>
        <v>164</v>
      </c>
      <c r="K60" s="438">
        <f t="shared" si="6"/>
        <v>0</v>
      </c>
      <c r="M60" s="120"/>
      <c r="N60">
        <v>27.22</v>
      </c>
      <c r="O60" s="15"/>
      <c r="P60" s="69">
        <f t="shared" si="13"/>
        <v>0</v>
      </c>
      <c r="Q60" s="246"/>
      <c r="R60" s="69">
        <f t="shared" si="14"/>
        <v>0</v>
      </c>
      <c r="S60" s="70"/>
      <c r="T60" s="71"/>
      <c r="U60" s="436">
        <f t="shared" si="15"/>
        <v>5008.4799999999996</v>
      </c>
      <c r="V60" s="437">
        <f t="shared" si="22"/>
        <v>184</v>
      </c>
      <c r="W60" s="438">
        <f t="shared" si="7"/>
        <v>0</v>
      </c>
      <c r="Y60" s="120"/>
      <c r="Z60">
        <v>27.22</v>
      </c>
      <c r="AA60" s="15"/>
      <c r="AB60" s="69">
        <f t="shared" si="17"/>
        <v>0</v>
      </c>
      <c r="AC60" s="246"/>
      <c r="AD60" s="69">
        <f t="shared" si="18"/>
        <v>0</v>
      </c>
      <c r="AE60" s="70"/>
      <c r="AF60" s="71"/>
      <c r="AG60" s="436">
        <f t="shared" si="19"/>
        <v>9016.44</v>
      </c>
      <c r="AH60" s="437">
        <f t="shared" si="23"/>
        <v>331</v>
      </c>
      <c r="AI60" s="438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6"/>
      <c r="F61" s="69">
        <f t="shared" si="10"/>
        <v>0</v>
      </c>
      <c r="G61" s="70"/>
      <c r="H61" s="71"/>
      <c r="I61" s="436">
        <f t="shared" si="11"/>
        <v>4469.07</v>
      </c>
      <c r="J61" s="437">
        <f t="shared" si="21"/>
        <v>164</v>
      </c>
      <c r="K61" s="438">
        <f t="shared" si="6"/>
        <v>0</v>
      </c>
      <c r="N61">
        <v>27.22</v>
      </c>
      <c r="O61" s="15"/>
      <c r="P61" s="69">
        <f t="shared" si="13"/>
        <v>0</v>
      </c>
      <c r="Q61" s="246"/>
      <c r="R61" s="69">
        <f t="shared" si="14"/>
        <v>0</v>
      </c>
      <c r="S61" s="70"/>
      <c r="T61" s="71"/>
      <c r="U61" s="436">
        <f t="shared" si="15"/>
        <v>5008.4799999999996</v>
      </c>
      <c r="V61" s="437">
        <f t="shared" si="22"/>
        <v>184</v>
      </c>
      <c r="W61" s="438">
        <f t="shared" si="7"/>
        <v>0</v>
      </c>
      <c r="Z61">
        <v>27.22</v>
      </c>
      <c r="AA61" s="15"/>
      <c r="AB61" s="69">
        <f t="shared" si="17"/>
        <v>0</v>
      </c>
      <c r="AC61" s="246"/>
      <c r="AD61" s="69">
        <f t="shared" si="18"/>
        <v>0</v>
      </c>
      <c r="AE61" s="70"/>
      <c r="AF61" s="71"/>
      <c r="AG61" s="436">
        <f t="shared" si="19"/>
        <v>9016.44</v>
      </c>
      <c r="AH61" s="437">
        <f t="shared" si="23"/>
        <v>331</v>
      </c>
      <c r="AI61" s="438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6"/>
      <c r="F62" s="69">
        <f t="shared" si="10"/>
        <v>0</v>
      </c>
      <c r="G62" s="70"/>
      <c r="H62" s="71"/>
      <c r="I62" s="436">
        <f t="shared" si="11"/>
        <v>4469.07</v>
      </c>
      <c r="J62" s="437">
        <f t="shared" si="21"/>
        <v>164</v>
      </c>
      <c r="K62" s="438">
        <f t="shared" si="6"/>
        <v>0</v>
      </c>
      <c r="N62">
        <v>27.22</v>
      </c>
      <c r="O62" s="15"/>
      <c r="P62" s="69">
        <f t="shared" si="13"/>
        <v>0</v>
      </c>
      <c r="Q62" s="246"/>
      <c r="R62" s="69">
        <f t="shared" si="14"/>
        <v>0</v>
      </c>
      <c r="S62" s="70"/>
      <c r="T62" s="71"/>
      <c r="U62" s="436">
        <f t="shared" si="15"/>
        <v>5008.4799999999996</v>
      </c>
      <c r="V62" s="437">
        <f t="shared" si="22"/>
        <v>184</v>
      </c>
      <c r="W62" s="438">
        <f t="shared" si="7"/>
        <v>0</v>
      </c>
      <c r="Z62">
        <v>27.22</v>
      </c>
      <c r="AA62" s="15"/>
      <c r="AB62" s="69">
        <f t="shared" si="17"/>
        <v>0</v>
      </c>
      <c r="AC62" s="246"/>
      <c r="AD62" s="69">
        <f t="shared" si="18"/>
        <v>0</v>
      </c>
      <c r="AE62" s="70"/>
      <c r="AF62" s="71"/>
      <c r="AG62" s="436">
        <f t="shared" si="19"/>
        <v>9016.44</v>
      </c>
      <c r="AH62" s="437">
        <f t="shared" si="23"/>
        <v>331</v>
      </c>
      <c r="AI62" s="438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6"/>
      <c r="F63" s="69">
        <f t="shared" si="10"/>
        <v>0</v>
      </c>
      <c r="G63" s="70"/>
      <c r="H63" s="71"/>
      <c r="I63" s="436">
        <f t="shared" si="11"/>
        <v>4469.07</v>
      </c>
      <c r="J63" s="437">
        <f t="shared" si="21"/>
        <v>164</v>
      </c>
      <c r="K63" s="438">
        <f t="shared" si="6"/>
        <v>0</v>
      </c>
      <c r="N63">
        <v>27.22</v>
      </c>
      <c r="O63" s="15"/>
      <c r="P63" s="69">
        <f t="shared" si="13"/>
        <v>0</v>
      </c>
      <c r="Q63" s="246"/>
      <c r="R63" s="69">
        <f t="shared" si="14"/>
        <v>0</v>
      </c>
      <c r="S63" s="70"/>
      <c r="T63" s="71"/>
      <c r="U63" s="436">
        <f t="shared" si="15"/>
        <v>5008.4799999999996</v>
      </c>
      <c r="V63" s="437">
        <f t="shared" si="22"/>
        <v>184</v>
      </c>
      <c r="W63" s="438">
        <f t="shared" si="7"/>
        <v>0</v>
      </c>
      <c r="Z63">
        <v>27.22</v>
      </c>
      <c r="AA63" s="15"/>
      <c r="AB63" s="69">
        <f t="shared" si="17"/>
        <v>0</v>
      </c>
      <c r="AC63" s="246"/>
      <c r="AD63" s="69">
        <f t="shared" si="18"/>
        <v>0</v>
      </c>
      <c r="AE63" s="70"/>
      <c r="AF63" s="71"/>
      <c r="AG63" s="436">
        <f t="shared" si="19"/>
        <v>9016.44</v>
      </c>
      <c r="AH63" s="437">
        <f t="shared" si="23"/>
        <v>331</v>
      </c>
      <c r="AI63" s="438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6"/>
      <c r="F64" s="69">
        <f t="shared" si="10"/>
        <v>0</v>
      </c>
      <c r="G64" s="70"/>
      <c r="H64" s="71"/>
      <c r="I64" s="436">
        <f t="shared" si="11"/>
        <v>4469.07</v>
      </c>
      <c r="J64" s="437">
        <f t="shared" si="21"/>
        <v>164</v>
      </c>
      <c r="K64" s="438">
        <f t="shared" si="6"/>
        <v>0</v>
      </c>
      <c r="N64">
        <v>27.22</v>
      </c>
      <c r="O64" s="15"/>
      <c r="P64" s="69">
        <f t="shared" si="13"/>
        <v>0</v>
      </c>
      <c r="Q64" s="246"/>
      <c r="R64" s="69">
        <f t="shared" si="14"/>
        <v>0</v>
      </c>
      <c r="S64" s="70"/>
      <c r="T64" s="71"/>
      <c r="U64" s="436">
        <f t="shared" si="15"/>
        <v>5008.4799999999996</v>
      </c>
      <c r="V64" s="437">
        <f t="shared" si="22"/>
        <v>184</v>
      </c>
      <c r="W64" s="438">
        <f t="shared" si="7"/>
        <v>0</v>
      </c>
      <c r="Z64">
        <v>27.22</v>
      </c>
      <c r="AA64" s="15"/>
      <c r="AB64" s="69">
        <f t="shared" si="17"/>
        <v>0</v>
      </c>
      <c r="AC64" s="246"/>
      <c r="AD64" s="69">
        <f t="shared" si="18"/>
        <v>0</v>
      </c>
      <c r="AE64" s="70"/>
      <c r="AF64" s="71"/>
      <c r="AG64" s="436">
        <f t="shared" si="19"/>
        <v>9016.44</v>
      </c>
      <c r="AH64" s="437">
        <f t="shared" si="23"/>
        <v>331</v>
      </c>
      <c r="AI64" s="438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6"/>
      <c r="F65" s="69">
        <f t="shared" si="10"/>
        <v>0</v>
      </c>
      <c r="G65" s="70"/>
      <c r="H65" s="71"/>
      <c r="I65" s="436">
        <f t="shared" si="11"/>
        <v>4469.07</v>
      </c>
      <c r="J65" s="437">
        <f t="shared" si="21"/>
        <v>164</v>
      </c>
      <c r="K65" s="438">
        <f t="shared" si="6"/>
        <v>0</v>
      </c>
      <c r="N65">
        <v>27.22</v>
      </c>
      <c r="O65" s="15"/>
      <c r="P65" s="69">
        <f t="shared" si="13"/>
        <v>0</v>
      </c>
      <c r="Q65" s="246"/>
      <c r="R65" s="69">
        <f t="shared" si="14"/>
        <v>0</v>
      </c>
      <c r="S65" s="70"/>
      <c r="T65" s="71"/>
      <c r="U65" s="436">
        <f t="shared" si="15"/>
        <v>5008.4799999999996</v>
      </c>
      <c r="V65" s="437">
        <f t="shared" si="22"/>
        <v>184</v>
      </c>
      <c r="W65" s="438">
        <f t="shared" si="7"/>
        <v>0</v>
      </c>
      <c r="Z65">
        <v>27.22</v>
      </c>
      <c r="AA65" s="15"/>
      <c r="AB65" s="69">
        <f t="shared" si="17"/>
        <v>0</v>
      </c>
      <c r="AC65" s="246"/>
      <c r="AD65" s="69">
        <f t="shared" si="18"/>
        <v>0</v>
      </c>
      <c r="AE65" s="70"/>
      <c r="AF65" s="71"/>
      <c r="AG65" s="436">
        <f t="shared" si="19"/>
        <v>9016.44</v>
      </c>
      <c r="AH65" s="437">
        <f t="shared" si="23"/>
        <v>331</v>
      </c>
      <c r="AI65" s="438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6"/>
      <c r="F66" s="69">
        <f t="shared" si="10"/>
        <v>0</v>
      </c>
      <c r="G66" s="70"/>
      <c r="H66" s="71"/>
      <c r="I66" s="436">
        <f t="shared" si="11"/>
        <v>4469.07</v>
      </c>
      <c r="J66" s="437">
        <f t="shared" si="21"/>
        <v>164</v>
      </c>
      <c r="K66" s="438">
        <f t="shared" si="6"/>
        <v>0</v>
      </c>
      <c r="N66">
        <v>27.22</v>
      </c>
      <c r="O66" s="15"/>
      <c r="P66" s="69">
        <f t="shared" si="13"/>
        <v>0</v>
      </c>
      <c r="Q66" s="246"/>
      <c r="R66" s="69">
        <f t="shared" si="14"/>
        <v>0</v>
      </c>
      <c r="S66" s="70"/>
      <c r="T66" s="71"/>
      <c r="U66" s="436">
        <f t="shared" si="15"/>
        <v>5008.4799999999996</v>
      </c>
      <c r="V66" s="437">
        <f t="shared" si="22"/>
        <v>184</v>
      </c>
      <c r="W66" s="438">
        <f t="shared" si="7"/>
        <v>0</v>
      </c>
      <c r="Z66">
        <v>27.22</v>
      </c>
      <c r="AA66" s="15"/>
      <c r="AB66" s="69">
        <f t="shared" si="17"/>
        <v>0</v>
      </c>
      <c r="AC66" s="246"/>
      <c r="AD66" s="69">
        <f t="shared" si="18"/>
        <v>0</v>
      </c>
      <c r="AE66" s="70"/>
      <c r="AF66" s="71"/>
      <c r="AG66" s="436">
        <f t="shared" si="19"/>
        <v>9016.44</v>
      </c>
      <c r="AH66" s="437">
        <f t="shared" si="23"/>
        <v>331</v>
      </c>
      <c r="AI66" s="438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6"/>
      <c r="F67" s="69">
        <f t="shared" si="10"/>
        <v>0</v>
      </c>
      <c r="G67" s="70"/>
      <c r="H67" s="71"/>
      <c r="I67" s="436">
        <f t="shared" si="11"/>
        <v>4469.07</v>
      </c>
      <c r="J67" s="437">
        <f t="shared" si="21"/>
        <v>164</v>
      </c>
      <c r="K67" s="438">
        <f t="shared" si="6"/>
        <v>0</v>
      </c>
      <c r="N67">
        <v>27.22</v>
      </c>
      <c r="O67" s="15"/>
      <c r="P67" s="69">
        <f t="shared" si="13"/>
        <v>0</v>
      </c>
      <c r="Q67" s="246"/>
      <c r="R67" s="69">
        <f t="shared" si="14"/>
        <v>0</v>
      </c>
      <c r="S67" s="70"/>
      <c r="T67" s="71"/>
      <c r="U67" s="436">
        <f t="shared" si="15"/>
        <v>5008.4799999999996</v>
      </c>
      <c r="V67" s="437">
        <f t="shared" si="22"/>
        <v>184</v>
      </c>
      <c r="W67" s="438">
        <f t="shared" si="7"/>
        <v>0</v>
      </c>
      <c r="Z67">
        <v>27.22</v>
      </c>
      <c r="AA67" s="15"/>
      <c r="AB67" s="69">
        <f t="shared" si="17"/>
        <v>0</v>
      </c>
      <c r="AC67" s="246"/>
      <c r="AD67" s="69">
        <f t="shared" si="18"/>
        <v>0</v>
      </c>
      <c r="AE67" s="70"/>
      <c r="AF67" s="71"/>
      <c r="AG67" s="436">
        <f t="shared" si="19"/>
        <v>9016.44</v>
      </c>
      <c r="AH67" s="437">
        <f t="shared" si="23"/>
        <v>331</v>
      </c>
      <c r="AI67" s="438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6"/>
      <c r="F68" s="69">
        <f t="shared" si="10"/>
        <v>0</v>
      </c>
      <c r="G68" s="70"/>
      <c r="H68" s="71"/>
      <c r="I68" s="436">
        <f t="shared" si="11"/>
        <v>4469.07</v>
      </c>
      <c r="J68" s="437">
        <f t="shared" si="21"/>
        <v>164</v>
      </c>
      <c r="K68" s="438">
        <f t="shared" si="6"/>
        <v>0</v>
      </c>
      <c r="N68">
        <v>27.22</v>
      </c>
      <c r="O68" s="15"/>
      <c r="P68" s="69">
        <f t="shared" si="13"/>
        <v>0</v>
      </c>
      <c r="Q68" s="246"/>
      <c r="R68" s="69">
        <f t="shared" si="14"/>
        <v>0</v>
      </c>
      <c r="S68" s="70"/>
      <c r="T68" s="71"/>
      <c r="U68" s="436">
        <f t="shared" si="15"/>
        <v>5008.4799999999996</v>
      </c>
      <c r="V68" s="437">
        <f t="shared" si="22"/>
        <v>184</v>
      </c>
      <c r="W68" s="438">
        <f t="shared" si="7"/>
        <v>0</v>
      </c>
      <c r="Z68">
        <v>27.22</v>
      </c>
      <c r="AA68" s="15"/>
      <c r="AB68" s="69">
        <f t="shared" si="17"/>
        <v>0</v>
      </c>
      <c r="AC68" s="246"/>
      <c r="AD68" s="69">
        <f t="shared" si="18"/>
        <v>0</v>
      </c>
      <c r="AE68" s="70"/>
      <c r="AF68" s="71"/>
      <c r="AG68" s="436">
        <f t="shared" si="19"/>
        <v>9016.44</v>
      </c>
      <c r="AH68" s="437">
        <f t="shared" si="23"/>
        <v>331</v>
      </c>
      <c r="AI68" s="438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6"/>
      <c r="F69" s="69">
        <f t="shared" si="10"/>
        <v>0</v>
      </c>
      <c r="G69" s="70"/>
      <c r="H69" s="71"/>
      <c r="I69" s="436">
        <f t="shared" si="11"/>
        <v>4469.07</v>
      </c>
      <c r="J69" s="437">
        <f t="shared" si="21"/>
        <v>164</v>
      </c>
      <c r="K69" s="438">
        <f t="shared" si="6"/>
        <v>0</v>
      </c>
      <c r="N69">
        <v>27.22</v>
      </c>
      <c r="O69" s="15"/>
      <c r="P69" s="69">
        <f t="shared" si="13"/>
        <v>0</v>
      </c>
      <c r="Q69" s="246"/>
      <c r="R69" s="69">
        <f t="shared" si="14"/>
        <v>0</v>
      </c>
      <c r="S69" s="70"/>
      <c r="T69" s="71"/>
      <c r="U69" s="436">
        <f t="shared" si="15"/>
        <v>5008.4799999999996</v>
      </c>
      <c r="V69" s="437">
        <f t="shared" si="22"/>
        <v>184</v>
      </c>
      <c r="W69" s="438">
        <f t="shared" si="7"/>
        <v>0</v>
      </c>
      <c r="Z69">
        <v>27.22</v>
      </c>
      <c r="AA69" s="15"/>
      <c r="AB69" s="69">
        <f t="shared" si="17"/>
        <v>0</v>
      </c>
      <c r="AC69" s="246"/>
      <c r="AD69" s="69">
        <f t="shared" si="18"/>
        <v>0</v>
      </c>
      <c r="AE69" s="70"/>
      <c r="AF69" s="71"/>
      <c r="AG69" s="436">
        <f t="shared" si="19"/>
        <v>9016.44</v>
      </c>
      <c r="AH69" s="437">
        <f t="shared" si="23"/>
        <v>331</v>
      </c>
      <c r="AI69" s="438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6"/>
      <c r="F70" s="69">
        <f t="shared" si="10"/>
        <v>0</v>
      </c>
      <c r="G70" s="70"/>
      <c r="H70" s="71"/>
      <c r="I70" s="436">
        <f t="shared" si="11"/>
        <v>4469.07</v>
      </c>
      <c r="J70" s="437">
        <f t="shared" si="21"/>
        <v>164</v>
      </c>
      <c r="K70" s="438">
        <f t="shared" si="6"/>
        <v>0</v>
      </c>
      <c r="N70">
        <v>27.22</v>
      </c>
      <c r="O70" s="15"/>
      <c r="P70" s="69">
        <f t="shared" si="13"/>
        <v>0</v>
      </c>
      <c r="Q70" s="246"/>
      <c r="R70" s="69">
        <f t="shared" si="14"/>
        <v>0</v>
      </c>
      <c r="S70" s="70"/>
      <c r="T70" s="71"/>
      <c r="U70" s="436">
        <f t="shared" si="15"/>
        <v>5008.4799999999996</v>
      </c>
      <c r="V70" s="437">
        <f t="shared" si="22"/>
        <v>184</v>
      </c>
      <c r="W70" s="438">
        <f t="shared" si="7"/>
        <v>0</v>
      </c>
      <c r="Z70">
        <v>27.22</v>
      </c>
      <c r="AA70" s="15"/>
      <c r="AB70" s="69">
        <f t="shared" si="17"/>
        <v>0</v>
      </c>
      <c r="AC70" s="246"/>
      <c r="AD70" s="69">
        <f t="shared" si="18"/>
        <v>0</v>
      </c>
      <c r="AE70" s="70"/>
      <c r="AF70" s="71"/>
      <c r="AG70" s="436">
        <f t="shared" si="19"/>
        <v>9016.44</v>
      </c>
      <c r="AH70" s="437">
        <f t="shared" si="23"/>
        <v>331</v>
      </c>
      <c r="AI70" s="438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6"/>
      <c r="F71" s="69">
        <f t="shared" si="10"/>
        <v>0</v>
      </c>
      <c r="G71" s="70"/>
      <c r="H71" s="71"/>
      <c r="I71" s="436">
        <f t="shared" si="11"/>
        <v>4469.07</v>
      </c>
      <c r="J71" s="437">
        <f t="shared" si="21"/>
        <v>164</v>
      </c>
      <c r="K71" s="438">
        <f t="shared" si="6"/>
        <v>0</v>
      </c>
      <c r="N71">
        <v>27.22</v>
      </c>
      <c r="O71" s="15"/>
      <c r="P71" s="69">
        <f t="shared" si="13"/>
        <v>0</v>
      </c>
      <c r="Q71" s="246"/>
      <c r="R71" s="69">
        <f t="shared" si="14"/>
        <v>0</v>
      </c>
      <c r="S71" s="70"/>
      <c r="T71" s="71"/>
      <c r="U71" s="436">
        <f t="shared" si="15"/>
        <v>5008.4799999999996</v>
      </c>
      <c r="V71" s="437">
        <f t="shared" si="22"/>
        <v>184</v>
      </c>
      <c r="W71" s="438">
        <f t="shared" si="7"/>
        <v>0</v>
      </c>
      <c r="Z71">
        <v>27.22</v>
      </c>
      <c r="AA71" s="15"/>
      <c r="AB71" s="69">
        <f t="shared" si="17"/>
        <v>0</v>
      </c>
      <c r="AC71" s="246"/>
      <c r="AD71" s="69">
        <f t="shared" si="18"/>
        <v>0</v>
      </c>
      <c r="AE71" s="70"/>
      <c r="AF71" s="71"/>
      <c r="AG71" s="436">
        <f t="shared" si="19"/>
        <v>9016.44</v>
      </c>
      <c r="AH71" s="437">
        <f t="shared" si="23"/>
        <v>331</v>
      </c>
      <c r="AI71" s="438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6"/>
      <c r="F72" s="69">
        <f t="shared" si="10"/>
        <v>0</v>
      </c>
      <c r="G72" s="70"/>
      <c r="H72" s="71"/>
      <c r="I72" s="436">
        <f t="shared" si="11"/>
        <v>4469.07</v>
      </c>
      <c r="J72" s="437">
        <f t="shared" si="21"/>
        <v>164</v>
      </c>
      <c r="K72" s="438">
        <f t="shared" si="6"/>
        <v>0</v>
      </c>
      <c r="N72">
        <v>27.22</v>
      </c>
      <c r="O72" s="15"/>
      <c r="P72" s="69">
        <f t="shared" si="13"/>
        <v>0</v>
      </c>
      <c r="Q72" s="246"/>
      <c r="R72" s="69">
        <f t="shared" si="14"/>
        <v>0</v>
      </c>
      <c r="S72" s="70"/>
      <c r="T72" s="71"/>
      <c r="U72" s="436">
        <f t="shared" si="15"/>
        <v>5008.4799999999996</v>
      </c>
      <c r="V72" s="437">
        <f t="shared" si="22"/>
        <v>184</v>
      </c>
      <c r="W72" s="438">
        <f t="shared" si="7"/>
        <v>0</v>
      </c>
      <c r="Z72">
        <v>27.22</v>
      </c>
      <c r="AA72" s="15"/>
      <c r="AB72" s="69">
        <f t="shared" si="17"/>
        <v>0</v>
      </c>
      <c r="AC72" s="246"/>
      <c r="AD72" s="69">
        <f t="shared" si="18"/>
        <v>0</v>
      </c>
      <c r="AE72" s="70"/>
      <c r="AF72" s="71"/>
      <c r="AG72" s="436">
        <f t="shared" si="19"/>
        <v>9016.44</v>
      </c>
      <c r="AH72" s="437">
        <f t="shared" si="23"/>
        <v>331</v>
      </c>
      <c r="AI72" s="438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6"/>
      <c r="F73" s="69">
        <f t="shared" si="10"/>
        <v>0</v>
      </c>
      <c r="G73" s="70"/>
      <c r="H73" s="71"/>
      <c r="I73" s="436">
        <f t="shared" si="11"/>
        <v>4469.07</v>
      </c>
      <c r="J73" s="437">
        <f t="shared" si="21"/>
        <v>164</v>
      </c>
      <c r="K73" s="438">
        <f t="shared" si="6"/>
        <v>0</v>
      </c>
      <c r="N73">
        <v>27.22</v>
      </c>
      <c r="O73" s="15"/>
      <c r="P73" s="69">
        <f t="shared" si="13"/>
        <v>0</v>
      </c>
      <c r="Q73" s="246"/>
      <c r="R73" s="69">
        <f t="shared" si="14"/>
        <v>0</v>
      </c>
      <c r="S73" s="70"/>
      <c r="T73" s="71"/>
      <c r="U73" s="436">
        <f t="shared" si="15"/>
        <v>5008.4799999999996</v>
      </c>
      <c r="V73" s="437">
        <f t="shared" si="22"/>
        <v>184</v>
      </c>
      <c r="W73" s="438">
        <f t="shared" si="7"/>
        <v>0</v>
      </c>
      <c r="Z73">
        <v>27.22</v>
      </c>
      <c r="AA73" s="15"/>
      <c r="AB73" s="69">
        <f t="shared" si="17"/>
        <v>0</v>
      </c>
      <c r="AC73" s="246"/>
      <c r="AD73" s="69">
        <f t="shared" si="18"/>
        <v>0</v>
      </c>
      <c r="AE73" s="70"/>
      <c r="AF73" s="71"/>
      <c r="AG73" s="436">
        <f t="shared" si="19"/>
        <v>9016.44</v>
      </c>
      <c r="AH73" s="437">
        <f t="shared" si="23"/>
        <v>331</v>
      </c>
      <c r="AI73" s="438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6"/>
      <c r="F74" s="69">
        <f t="shared" si="10"/>
        <v>0</v>
      </c>
      <c r="G74" s="70"/>
      <c r="H74" s="71"/>
      <c r="I74" s="436">
        <f t="shared" si="11"/>
        <v>4469.07</v>
      </c>
      <c r="J74" s="437">
        <f t="shared" si="21"/>
        <v>164</v>
      </c>
      <c r="K74" s="438">
        <f t="shared" ref="K74:K114" si="24">F74*H74</f>
        <v>0</v>
      </c>
      <c r="N74">
        <v>27.22</v>
      </c>
      <c r="O74" s="15"/>
      <c r="P74" s="69">
        <f t="shared" si="13"/>
        <v>0</v>
      </c>
      <c r="Q74" s="246"/>
      <c r="R74" s="69">
        <f t="shared" si="14"/>
        <v>0</v>
      </c>
      <c r="S74" s="70"/>
      <c r="T74" s="71"/>
      <c r="U74" s="436">
        <f t="shared" si="15"/>
        <v>5008.4799999999996</v>
      </c>
      <c r="V74" s="437">
        <f t="shared" si="22"/>
        <v>184</v>
      </c>
      <c r="W74" s="438">
        <f t="shared" ref="W74:W114" si="25">R74*T74</f>
        <v>0</v>
      </c>
      <c r="Z74">
        <v>27.22</v>
      </c>
      <c r="AA74" s="15"/>
      <c r="AB74" s="69">
        <f t="shared" si="17"/>
        <v>0</v>
      </c>
      <c r="AC74" s="246"/>
      <c r="AD74" s="69">
        <f t="shared" si="18"/>
        <v>0</v>
      </c>
      <c r="AE74" s="70"/>
      <c r="AF74" s="71"/>
      <c r="AG74" s="436">
        <f t="shared" si="19"/>
        <v>9016.44</v>
      </c>
      <c r="AH74" s="437">
        <f t="shared" si="23"/>
        <v>331</v>
      </c>
      <c r="AI74" s="438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6"/>
      <c r="F75" s="69">
        <f t="shared" ref="F75:F114" si="28">D75</f>
        <v>0</v>
      </c>
      <c r="G75" s="70"/>
      <c r="H75" s="71"/>
      <c r="I75" s="436">
        <f t="shared" ref="I75:I113" si="29">I74-F75</f>
        <v>4469.07</v>
      </c>
      <c r="J75" s="437">
        <f t="shared" si="21"/>
        <v>164</v>
      </c>
      <c r="K75" s="438">
        <f t="shared" si="24"/>
        <v>0</v>
      </c>
      <c r="N75">
        <v>27.22</v>
      </c>
      <c r="O75" s="15"/>
      <c r="P75" s="69">
        <f t="shared" ref="P75:P114" si="30">O75*N75</f>
        <v>0</v>
      </c>
      <c r="Q75" s="246"/>
      <c r="R75" s="69">
        <f t="shared" ref="R75:R114" si="31">P75</f>
        <v>0</v>
      </c>
      <c r="S75" s="70"/>
      <c r="T75" s="71"/>
      <c r="U75" s="436">
        <f t="shared" ref="U75:U113" si="32">U74-R75</f>
        <v>5008.4799999999996</v>
      </c>
      <c r="V75" s="437">
        <f t="shared" si="22"/>
        <v>184</v>
      </c>
      <c r="W75" s="438">
        <f t="shared" si="25"/>
        <v>0</v>
      </c>
      <c r="Z75">
        <v>27.22</v>
      </c>
      <c r="AA75" s="15"/>
      <c r="AB75" s="69">
        <f t="shared" ref="AB75:AB114" si="33">AA75*Z75</f>
        <v>0</v>
      </c>
      <c r="AC75" s="246"/>
      <c r="AD75" s="69">
        <f t="shared" ref="AD75:AD114" si="34">AB75</f>
        <v>0</v>
      </c>
      <c r="AE75" s="70"/>
      <c r="AF75" s="71"/>
      <c r="AG75" s="436">
        <f t="shared" ref="AG75:AG113" si="35">AG74-AD75</f>
        <v>9016.44</v>
      </c>
      <c r="AH75" s="437">
        <f t="shared" si="23"/>
        <v>331</v>
      </c>
      <c r="AI75" s="438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6"/>
      <c r="F76" s="69">
        <f t="shared" si="28"/>
        <v>0</v>
      </c>
      <c r="G76" s="70"/>
      <c r="H76" s="71"/>
      <c r="I76" s="436">
        <f t="shared" si="29"/>
        <v>4469.07</v>
      </c>
      <c r="J76" s="437">
        <f t="shared" si="21"/>
        <v>164</v>
      </c>
      <c r="K76" s="438">
        <f t="shared" si="24"/>
        <v>0</v>
      </c>
      <c r="N76">
        <v>27.22</v>
      </c>
      <c r="O76" s="15"/>
      <c r="P76" s="69">
        <f t="shared" si="30"/>
        <v>0</v>
      </c>
      <c r="Q76" s="246"/>
      <c r="R76" s="69">
        <f t="shared" si="31"/>
        <v>0</v>
      </c>
      <c r="S76" s="70"/>
      <c r="T76" s="71"/>
      <c r="U76" s="436">
        <f t="shared" si="32"/>
        <v>5008.4799999999996</v>
      </c>
      <c r="V76" s="437">
        <f t="shared" si="22"/>
        <v>184</v>
      </c>
      <c r="W76" s="438">
        <f t="shared" si="25"/>
        <v>0</v>
      </c>
      <c r="Z76">
        <v>27.22</v>
      </c>
      <c r="AA76" s="15"/>
      <c r="AB76" s="69">
        <f t="shared" si="33"/>
        <v>0</v>
      </c>
      <c r="AC76" s="246"/>
      <c r="AD76" s="69">
        <f t="shared" si="34"/>
        <v>0</v>
      </c>
      <c r="AE76" s="70"/>
      <c r="AF76" s="71"/>
      <c r="AG76" s="436">
        <f t="shared" si="35"/>
        <v>9016.44</v>
      </c>
      <c r="AH76" s="437">
        <f t="shared" si="23"/>
        <v>331</v>
      </c>
      <c r="AI76" s="438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6"/>
      <c r="F77" s="69">
        <f t="shared" si="28"/>
        <v>0</v>
      </c>
      <c r="G77" s="70"/>
      <c r="H77" s="71"/>
      <c r="I77" s="436">
        <f t="shared" si="29"/>
        <v>4469.07</v>
      </c>
      <c r="J77" s="437">
        <f t="shared" ref="J77:J113" si="36">J76-C77</f>
        <v>164</v>
      </c>
      <c r="K77" s="438">
        <f t="shared" si="24"/>
        <v>0</v>
      </c>
      <c r="N77">
        <v>27.22</v>
      </c>
      <c r="O77" s="15"/>
      <c r="P77" s="69">
        <f t="shared" si="30"/>
        <v>0</v>
      </c>
      <c r="Q77" s="246"/>
      <c r="R77" s="69">
        <f t="shared" si="31"/>
        <v>0</v>
      </c>
      <c r="S77" s="70"/>
      <c r="T77" s="71"/>
      <c r="U77" s="436">
        <f t="shared" si="32"/>
        <v>5008.4799999999996</v>
      </c>
      <c r="V77" s="437">
        <f t="shared" ref="V77:V113" si="37">V76-O77</f>
        <v>184</v>
      </c>
      <c r="W77" s="438">
        <f t="shared" si="25"/>
        <v>0</v>
      </c>
      <c r="Z77">
        <v>27.22</v>
      </c>
      <c r="AA77" s="15"/>
      <c r="AB77" s="69">
        <f t="shared" si="33"/>
        <v>0</v>
      </c>
      <c r="AC77" s="246"/>
      <c r="AD77" s="69">
        <f t="shared" si="34"/>
        <v>0</v>
      </c>
      <c r="AE77" s="70"/>
      <c r="AF77" s="71"/>
      <c r="AG77" s="436">
        <f t="shared" si="35"/>
        <v>9016.44</v>
      </c>
      <c r="AH77" s="437">
        <f t="shared" ref="AH77:AH113" si="38">AH76-AA77</f>
        <v>331</v>
      </c>
      <c r="AI77" s="438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6"/>
      <c r="F78" s="69">
        <f t="shared" si="28"/>
        <v>0</v>
      </c>
      <c r="G78" s="70"/>
      <c r="H78" s="71"/>
      <c r="I78" s="436">
        <f t="shared" si="29"/>
        <v>4469.07</v>
      </c>
      <c r="J78" s="437">
        <f t="shared" si="36"/>
        <v>164</v>
      </c>
      <c r="K78" s="438">
        <f t="shared" si="24"/>
        <v>0</v>
      </c>
      <c r="N78">
        <v>27.22</v>
      </c>
      <c r="O78" s="15"/>
      <c r="P78" s="69">
        <f t="shared" si="30"/>
        <v>0</v>
      </c>
      <c r="Q78" s="246"/>
      <c r="R78" s="69">
        <f t="shared" si="31"/>
        <v>0</v>
      </c>
      <c r="S78" s="70"/>
      <c r="T78" s="71"/>
      <c r="U78" s="436">
        <f t="shared" si="32"/>
        <v>5008.4799999999996</v>
      </c>
      <c r="V78" s="437">
        <f t="shared" si="37"/>
        <v>184</v>
      </c>
      <c r="W78" s="438">
        <f t="shared" si="25"/>
        <v>0</v>
      </c>
      <c r="Z78">
        <v>27.22</v>
      </c>
      <c r="AA78" s="15"/>
      <c r="AB78" s="69">
        <f t="shared" si="33"/>
        <v>0</v>
      </c>
      <c r="AC78" s="246"/>
      <c r="AD78" s="69">
        <f t="shared" si="34"/>
        <v>0</v>
      </c>
      <c r="AE78" s="70"/>
      <c r="AF78" s="71"/>
      <c r="AG78" s="436">
        <f t="shared" si="35"/>
        <v>9016.44</v>
      </c>
      <c r="AH78" s="437">
        <f t="shared" si="38"/>
        <v>331</v>
      </c>
      <c r="AI78" s="438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6"/>
      <c r="F79" s="69">
        <f t="shared" si="28"/>
        <v>0</v>
      </c>
      <c r="G79" s="70"/>
      <c r="H79" s="71"/>
      <c r="I79" s="436">
        <f t="shared" si="29"/>
        <v>4469.07</v>
      </c>
      <c r="J79" s="437">
        <f t="shared" si="36"/>
        <v>164</v>
      </c>
      <c r="K79" s="438">
        <f t="shared" si="24"/>
        <v>0</v>
      </c>
      <c r="N79">
        <v>27.22</v>
      </c>
      <c r="O79" s="15"/>
      <c r="P79" s="69">
        <f t="shared" si="30"/>
        <v>0</v>
      </c>
      <c r="Q79" s="246"/>
      <c r="R79" s="69">
        <f t="shared" si="31"/>
        <v>0</v>
      </c>
      <c r="S79" s="70"/>
      <c r="T79" s="71"/>
      <c r="U79" s="436">
        <f t="shared" si="32"/>
        <v>5008.4799999999996</v>
      </c>
      <c r="V79" s="437">
        <f t="shared" si="37"/>
        <v>184</v>
      </c>
      <c r="W79" s="438">
        <f t="shared" si="25"/>
        <v>0</v>
      </c>
      <c r="Z79">
        <v>27.22</v>
      </c>
      <c r="AA79" s="15"/>
      <c r="AB79" s="69">
        <f t="shared" si="33"/>
        <v>0</v>
      </c>
      <c r="AC79" s="246"/>
      <c r="AD79" s="69">
        <f t="shared" si="34"/>
        <v>0</v>
      </c>
      <c r="AE79" s="70"/>
      <c r="AF79" s="71"/>
      <c r="AG79" s="436">
        <f t="shared" si="35"/>
        <v>9016.44</v>
      </c>
      <c r="AH79" s="437">
        <f t="shared" si="38"/>
        <v>331</v>
      </c>
      <c r="AI79" s="438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6"/>
      <c r="F80" s="69">
        <f t="shared" si="28"/>
        <v>0</v>
      </c>
      <c r="G80" s="70"/>
      <c r="H80" s="71"/>
      <c r="I80" s="436">
        <f t="shared" si="29"/>
        <v>4469.07</v>
      </c>
      <c r="J80" s="437">
        <f t="shared" si="36"/>
        <v>164</v>
      </c>
      <c r="K80" s="438">
        <f t="shared" si="24"/>
        <v>0</v>
      </c>
      <c r="N80">
        <v>27.22</v>
      </c>
      <c r="O80" s="15"/>
      <c r="P80" s="69">
        <f t="shared" si="30"/>
        <v>0</v>
      </c>
      <c r="Q80" s="246"/>
      <c r="R80" s="69">
        <f t="shared" si="31"/>
        <v>0</v>
      </c>
      <c r="S80" s="70"/>
      <c r="T80" s="71"/>
      <c r="U80" s="436">
        <f t="shared" si="32"/>
        <v>5008.4799999999996</v>
      </c>
      <c r="V80" s="437">
        <f t="shared" si="37"/>
        <v>184</v>
      </c>
      <c r="W80" s="438">
        <f t="shared" si="25"/>
        <v>0</v>
      </c>
      <c r="Z80">
        <v>27.22</v>
      </c>
      <c r="AA80" s="15"/>
      <c r="AB80" s="69">
        <f t="shared" si="33"/>
        <v>0</v>
      </c>
      <c r="AC80" s="246"/>
      <c r="AD80" s="69">
        <f t="shared" si="34"/>
        <v>0</v>
      </c>
      <c r="AE80" s="70"/>
      <c r="AF80" s="71"/>
      <c r="AG80" s="436">
        <f t="shared" si="35"/>
        <v>9016.44</v>
      </c>
      <c r="AH80" s="437">
        <f t="shared" si="38"/>
        <v>331</v>
      </c>
      <c r="AI80" s="438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6"/>
      <c r="F81" s="69">
        <f t="shared" si="28"/>
        <v>0</v>
      </c>
      <c r="G81" s="70"/>
      <c r="H81" s="71"/>
      <c r="I81" s="436">
        <f t="shared" si="29"/>
        <v>4469.07</v>
      </c>
      <c r="J81" s="437">
        <f t="shared" si="36"/>
        <v>164</v>
      </c>
      <c r="K81" s="438">
        <f t="shared" si="24"/>
        <v>0</v>
      </c>
      <c r="N81">
        <v>27.22</v>
      </c>
      <c r="O81" s="15"/>
      <c r="P81" s="69">
        <f t="shared" si="30"/>
        <v>0</v>
      </c>
      <c r="Q81" s="246"/>
      <c r="R81" s="69">
        <f t="shared" si="31"/>
        <v>0</v>
      </c>
      <c r="S81" s="70"/>
      <c r="T81" s="71"/>
      <c r="U81" s="436">
        <f t="shared" si="32"/>
        <v>5008.4799999999996</v>
      </c>
      <c r="V81" s="437">
        <f t="shared" si="37"/>
        <v>184</v>
      </c>
      <c r="W81" s="438">
        <f t="shared" si="25"/>
        <v>0</v>
      </c>
      <c r="Z81">
        <v>27.22</v>
      </c>
      <c r="AA81" s="15"/>
      <c r="AB81" s="69">
        <f t="shared" si="33"/>
        <v>0</v>
      </c>
      <c r="AC81" s="246"/>
      <c r="AD81" s="69">
        <f t="shared" si="34"/>
        <v>0</v>
      </c>
      <c r="AE81" s="70"/>
      <c r="AF81" s="71"/>
      <c r="AG81" s="436">
        <f t="shared" si="35"/>
        <v>9016.44</v>
      </c>
      <c r="AH81" s="437">
        <f t="shared" si="38"/>
        <v>331</v>
      </c>
      <c r="AI81" s="438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6"/>
      <c r="F82" s="69">
        <f t="shared" si="28"/>
        <v>0</v>
      </c>
      <c r="G82" s="70"/>
      <c r="H82" s="71"/>
      <c r="I82" s="436">
        <f t="shared" si="29"/>
        <v>4469.07</v>
      </c>
      <c r="J82" s="437">
        <f t="shared" si="36"/>
        <v>164</v>
      </c>
      <c r="K82" s="438">
        <f t="shared" si="24"/>
        <v>0</v>
      </c>
      <c r="N82">
        <v>27.22</v>
      </c>
      <c r="O82" s="15"/>
      <c r="P82" s="69">
        <f t="shared" si="30"/>
        <v>0</v>
      </c>
      <c r="Q82" s="246"/>
      <c r="R82" s="69">
        <f t="shared" si="31"/>
        <v>0</v>
      </c>
      <c r="S82" s="70"/>
      <c r="T82" s="71"/>
      <c r="U82" s="436">
        <f t="shared" si="32"/>
        <v>5008.4799999999996</v>
      </c>
      <c r="V82" s="437">
        <f t="shared" si="37"/>
        <v>184</v>
      </c>
      <c r="W82" s="438">
        <f t="shared" si="25"/>
        <v>0</v>
      </c>
      <c r="Z82">
        <v>27.22</v>
      </c>
      <c r="AA82" s="15"/>
      <c r="AB82" s="69">
        <f t="shared" si="33"/>
        <v>0</v>
      </c>
      <c r="AC82" s="246"/>
      <c r="AD82" s="69">
        <f t="shared" si="34"/>
        <v>0</v>
      </c>
      <c r="AE82" s="70"/>
      <c r="AF82" s="71"/>
      <c r="AG82" s="436">
        <f t="shared" si="35"/>
        <v>9016.44</v>
      </c>
      <c r="AH82" s="437">
        <f t="shared" si="38"/>
        <v>331</v>
      </c>
      <c r="AI82" s="438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6"/>
      <c r="F83" s="69">
        <f t="shared" si="28"/>
        <v>0</v>
      </c>
      <c r="G83" s="70"/>
      <c r="H83" s="71"/>
      <c r="I83" s="436">
        <f t="shared" si="29"/>
        <v>4469.07</v>
      </c>
      <c r="J83" s="437">
        <f t="shared" si="36"/>
        <v>164</v>
      </c>
      <c r="K83" s="438">
        <f t="shared" si="24"/>
        <v>0</v>
      </c>
      <c r="N83">
        <v>27.22</v>
      </c>
      <c r="O83" s="15"/>
      <c r="P83" s="69">
        <f t="shared" si="30"/>
        <v>0</v>
      </c>
      <c r="Q83" s="246"/>
      <c r="R83" s="69">
        <f t="shared" si="31"/>
        <v>0</v>
      </c>
      <c r="S83" s="70"/>
      <c r="T83" s="71"/>
      <c r="U83" s="436">
        <f t="shared" si="32"/>
        <v>5008.4799999999996</v>
      </c>
      <c r="V83" s="437">
        <f t="shared" si="37"/>
        <v>184</v>
      </c>
      <c r="W83" s="438">
        <f t="shared" si="25"/>
        <v>0</v>
      </c>
      <c r="Z83">
        <v>27.22</v>
      </c>
      <c r="AA83" s="15"/>
      <c r="AB83" s="69">
        <f t="shared" si="33"/>
        <v>0</v>
      </c>
      <c r="AC83" s="246"/>
      <c r="AD83" s="69">
        <f t="shared" si="34"/>
        <v>0</v>
      </c>
      <c r="AE83" s="70"/>
      <c r="AF83" s="71"/>
      <c r="AG83" s="436">
        <f t="shared" si="35"/>
        <v>9016.44</v>
      </c>
      <c r="AH83" s="437">
        <f t="shared" si="38"/>
        <v>331</v>
      </c>
      <c r="AI83" s="438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6"/>
      <c r="F84" s="69">
        <f t="shared" si="28"/>
        <v>0</v>
      </c>
      <c r="G84" s="70"/>
      <c r="H84" s="71"/>
      <c r="I84" s="436">
        <f t="shared" si="29"/>
        <v>4469.07</v>
      </c>
      <c r="J84" s="437">
        <f t="shared" si="36"/>
        <v>164</v>
      </c>
      <c r="K84" s="438">
        <f t="shared" si="24"/>
        <v>0</v>
      </c>
      <c r="N84">
        <v>27.22</v>
      </c>
      <c r="O84" s="15"/>
      <c r="P84" s="69">
        <f t="shared" si="30"/>
        <v>0</v>
      </c>
      <c r="Q84" s="246"/>
      <c r="R84" s="69">
        <f t="shared" si="31"/>
        <v>0</v>
      </c>
      <c r="S84" s="70"/>
      <c r="T84" s="71"/>
      <c r="U84" s="436">
        <f t="shared" si="32"/>
        <v>5008.4799999999996</v>
      </c>
      <c r="V84" s="437">
        <f t="shared" si="37"/>
        <v>184</v>
      </c>
      <c r="W84" s="438">
        <f t="shared" si="25"/>
        <v>0</v>
      </c>
      <c r="Z84">
        <v>27.22</v>
      </c>
      <c r="AA84" s="15"/>
      <c r="AB84" s="69">
        <f t="shared" si="33"/>
        <v>0</v>
      </c>
      <c r="AC84" s="246"/>
      <c r="AD84" s="69">
        <f t="shared" si="34"/>
        <v>0</v>
      </c>
      <c r="AE84" s="70"/>
      <c r="AF84" s="71"/>
      <c r="AG84" s="436">
        <f t="shared" si="35"/>
        <v>9016.44</v>
      </c>
      <c r="AH84" s="437">
        <f t="shared" si="38"/>
        <v>331</v>
      </c>
      <c r="AI84" s="438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6"/>
      <c r="F85" s="69">
        <f t="shared" si="28"/>
        <v>0</v>
      </c>
      <c r="G85" s="70"/>
      <c r="H85" s="71"/>
      <c r="I85" s="436">
        <f t="shared" si="29"/>
        <v>4469.07</v>
      </c>
      <c r="J85" s="437">
        <f t="shared" si="36"/>
        <v>164</v>
      </c>
      <c r="K85" s="438">
        <f t="shared" si="24"/>
        <v>0</v>
      </c>
      <c r="N85">
        <v>27.22</v>
      </c>
      <c r="O85" s="15"/>
      <c r="P85" s="69">
        <f t="shared" si="30"/>
        <v>0</v>
      </c>
      <c r="Q85" s="246"/>
      <c r="R85" s="69">
        <f t="shared" si="31"/>
        <v>0</v>
      </c>
      <c r="S85" s="70"/>
      <c r="T85" s="71"/>
      <c r="U85" s="436">
        <f t="shared" si="32"/>
        <v>5008.4799999999996</v>
      </c>
      <c r="V85" s="437">
        <f t="shared" si="37"/>
        <v>184</v>
      </c>
      <c r="W85" s="438">
        <f t="shared" si="25"/>
        <v>0</v>
      </c>
      <c r="Z85">
        <v>27.22</v>
      </c>
      <c r="AA85" s="15"/>
      <c r="AB85" s="69">
        <f t="shared" si="33"/>
        <v>0</v>
      </c>
      <c r="AC85" s="246"/>
      <c r="AD85" s="69">
        <f t="shared" si="34"/>
        <v>0</v>
      </c>
      <c r="AE85" s="70"/>
      <c r="AF85" s="71"/>
      <c r="AG85" s="436">
        <f t="shared" si="35"/>
        <v>9016.44</v>
      </c>
      <c r="AH85" s="437">
        <f t="shared" si="38"/>
        <v>331</v>
      </c>
      <c r="AI85" s="438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6"/>
      <c r="F86" s="69">
        <f t="shared" si="28"/>
        <v>0</v>
      </c>
      <c r="G86" s="70"/>
      <c r="H86" s="71"/>
      <c r="I86" s="436">
        <f t="shared" si="29"/>
        <v>4469.07</v>
      </c>
      <c r="J86" s="437">
        <f t="shared" si="36"/>
        <v>164</v>
      </c>
      <c r="K86" s="438">
        <f t="shared" si="24"/>
        <v>0</v>
      </c>
      <c r="N86">
        <v>27.22</v>
      </c>
      <c r="O86" s="15"/>
      <c r="P86" s="69">
        <f t="shared" si="30"/>
        <v>0</v>
      </c>
      <c r="Q86" s="246"/>
      <c r="R86" s="69">
        <f t="shared" si="31"/>
        <v>0</v>
      </c>
      <c r="S86" s="70"/>
      <c r="T86" s="71"/>
      <c r="U86" s="436">
        <f t="shared" si="32"/>
        <v>5008.4799999999996</v>
      </c>
      <c r="V86" s="437">
        <f t="shared" si="37"/>
        <v>184</v>
      </c>
      <c r="W86" s="438">
        <f t="shared" si="25"/>
        <v>0</v>
      </c>
      <c r="Z86">
        <v>27.22</v>
      </c>
      <c r="AA86" s="15"/>
      <c r="AB86" s="69">
        <f t="shared" si="33"/>
        <v>0</v>
      </c>
      <c r="AC86" s="246"/>
      <c r="AD86" s="69">
        <f t="shared" si="34"/>
        <v>0</v>
      </c>
      <c r="AE86" s="70"/>
      <c r="AF86" s="71"/>
      <c r="AG86" s="436">
        <f t="shared" si="35"/>
        <v>9016.44</v>
      </c>
      <c r="AH86" s="437">
        <f t="shared" si="38"/>
        <v>331</v>
      </c>
      <c r="AI86" s="438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6"/>
      <c r="F87" s="69">
        <f t="shared" si="28"/>
        <v>0</v>
      </c>
      <c r="G87" s="70"/>
      <c r="H87" s="71"/>
      <c r="I87" s="436">
        <f t="shared" si="29"/>
        <v>4469.07</v>
      </c>
      <c r="J87" s="437">
        <f t="shared" si="36"/>
        <v>164</v>
      </c>
      <c r="K87" s="438">
        <f t="shared" si="24"/>
        <v>0</v>
      </c>
      <c r="N87">
        <v>27.22</v>
      </c>
      <c r="O87" s="15"/>
      <c r="P87" s="69">
        <f t="shared" si="30"/>
        <v>0</v>
      </c>
      <c r="Q87" s="246"/>
      <c r="R87" s="69">
        <f t="shared" si="31"/>
        <v>0</v>
      </c>
      <c r="S87" s="70"/>
      <c r="T87" s="71"/>
      <c r="U87" s="436">
        <f t="shared" si="32"/>
        <v>5008.4799999999996</v>
      </c>
      <c r="V87" s="437">
        <f t="shared" si="37"/>
        <v>184</v>
      </c>
      <c r="W87" s="438">
        <f t="shared" si="25"/>
        <v>0</v>
      </c>
      <c r="Z87">
        <v>27.22</v>
      </c>
      <c r="AA87" s="15"/>
      <c r="AB87" s="69">
        <f t="shared" si="33"/>
        <v>0</v>
      </c>
      <c r="AC87" s="246"/>
      <c r="AD87" s="69">
        <f t="shared" si="34"/>
        <v>0</v>
      </c>
      <c r="AE87" s="70"/>
      <c r="AF87" s="71"/>
      <c r="AG87" s="436">
        <f t="shared" si="35"/>
        <v>9016.44</v>
      </c>
      <c r="AH87" s="437">
        <f t="shared" si="38"/>
        <v>331</v>
      </c>
      <c r="AI87" s="438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6"/>
      <c r="F88" s="69">
        <f t="shared" si="28"/>
        <v>0</v>
      </c>
      <c r="G88" s="70"/>
      <c r="H88" s="71"/>
      <c r="I88" s="436">
        <f t="shared" si="29"/>
        <v>4469.07</v>
      </c>
      <c r="J88" s="437">
        <f t="shared" si="36"/>
        <v>164</v>
      </c>
      <c r="K88" s="438">
        <f t="shared" si="24"/>
        <v>0</v>
      </c>
      <c r="N88">
        <v>27.22</v>
      </c>
      <c r="O88" s="15"/>
      <c r="P88" s="69">
        <f t="shared" si="30"/>
        <v>0</v>
      </c>
      <c r="Q88" s="246"/>
      <c r="R88" s="69">
        <f t="shared" si="31"/>
        <v>0</v>
      </c>
      <c r="S88" s="70"/>
      <c r="T88" s="71"/>
      <c r="U88" s="436">
        <f t="shared" si="32"/>
        <v>5008.4799999999996</v>
      </c>
      <c r="V88" s="437">
        <f t="shared" si="37"/>
        <v>184</v>
      </c>
      <c r="W88" s="438">
        <f t="shared" si="25"/>
        <v>0</v>
      </c>
      <c r="Z88">
        <v>27.22</v>
      </c>
      <c r="AA88" s="15"/>
      <c r="AB88" s="69">
        <f t="shared" si="33"/>
        <v>0</v>
      </c>
      <c r="AC88" s="246"/>
      <c r="AD88" s="69">
        <f t="shared" si="34"/>
        <v>0</v>
      </c>
      <c r="AE88" s="70"/>
      <c r="AF88" s="71"/>
      <c r="AG88" s="436">
        <f t="shared" si="35"/>
        <v>9016.44</v>
      </c>
      <c r="AH88" s="437">
        <f t="shared" si="38"/>
        <v>331</v>
      </c>
      <c r="AI88" s="438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6"/>
      <c r="F89" s="69">
        <f t="shared" si="28"/>
        <v>0</v>
      </c>
      <c r="G89" s="70"/>
      <c r="H89" s="71"/>
      <c r="I89" s="436">
        <f t="shared" si="29"/>
        <v>4469.07</v>
      </c>
      <c r="J89" s="437">
        <f t="shared" si="36"/>
        <v>164</v>
      </c>
      <c r="K89" s="438">
        <f t="shared" si="24"/>
        <v>0</v>
      </c>
      <c r="N89">
        <v>27.22</v>
      </c>
      <c r="O89" s="15"/>
      <c r="P89" s="69">
        <f t="shared" si="30"/>
        <v>0</v>
      </c>
      <c r="Q89" s="246"/>
      <c r="R89" s="69">
        <f t="shared" si="31"/>
        <v>0</v>
      </c>
      <c r="S89" s="70"/>
      <c r="T89" s="71"/>
      <c r="U89" s="436">
        <f t="shared" si="32"/>
        <v>5008.4799999999996</v>
      </c>
      <c r="V89" s="437">
        <f t="shared" si="37"/>
        <v>184</v>
      </c>
      <c r="W89" s="438">
        <f t="shared" si="25"/>
        <v>0</v>
      </c>
      <c r="Z89">
        <v>27.22</v>
      </c>
      <c r="AA89" s="15"/>
      <c r="AB89" s="69">
        <f t="shared" si="33"/>
        <v>0</v>
      </c>
      <c r="AC89" s="246"/>
      <c r="AD89" s="69">
        <f t="shared" si="34"/>
        <v>0</v>
      </c>
      <c r="AE89" s="70"/>
      <c r="AF89" s="71"/>
      <c r="AG89" s="436">
        <f t="shared" si="35"/>
        <v>9016.44</v>
      </c>
      <c r="AH89" s="437">
        <f t="shared" si="38"/>
        <v>331</v>
      </c>
      <c r="AI89" s="438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6"/>
      <c r="F90" s="69">
        <f t="shared" si="28"/>
        <v>0</v>
      </c>
      <c r="G90" s="70"/>
      <c r="H90" s="71"/>
      <c r="I90" s="436">
        <f t="shared" si="29"/>
        <v>4469.07</v>
      </c>
      <c r="J90" s="437">
        <f t="shared" si="36"/>
        <v>164</v>
      </c>
      <c r="K90" s="438">
        <f t="shared" si="24"/>
        <v>0</v>
      </c>
      <c r="N90">
        <v>27.22</v>
      </c>
      <c r="O90" s="15"/>
      <c r="P90" s="69">
        <f t="shared" si="30"/>
        <v>0</v>
      </c>
      <c r="Q90" s="246"/>
      <c r="R90" s="69">
        <f t="shared" si="31"/>
        <v>0</v>
      </c>
      <c r="S90" s="70"/>
      <c r="T90" s="71"/>
      <c r="U90" s="436">
        <f t="shared" si="32"/>
        <v>5008.4799999999996</v>
      </c>
      <c r="V90" s="437">
        <f t="shared" si="37"/>
        <v>184</v>
      </c>
      <c r="W90" s="438">
        <f t="shared" si="25"/>
        <v>0</v>
      </c>
      <c r="Z90">
        <v>27.22</v>
      </c>
      <c r="AA90" s="15"/>
      <c r="AB90" s="69">
        <f t="shared" si="33"/>
        <v>0</v>
      </c>
      <c r="AC90" s="246"/>
      <c r="AD90" s="69">
        <f t="shared" si="34"/>
        <v>0</v>
      </c>
      <c r="AE90" s="70"/>
      <c r="AF90" s="71"/>
      <c r="AG90" s="436">
        <f t="shared" si="35"/>
        <v>9016.44</v>
      </c>
      <c r="AH90" s="437">
        <f t="shared" si="38"/>
        <v>331</v>
      </c>
      <c r="AI90" s="438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6"/>
      <c r="F91" s="69">
        <f t="shared" si="28"/>
        <v>0</v>
      </c>
      <c r="G91" s="70"/>
      <c r="H91" s="71"/>
      <c r="I91" s="436">
        <f t="shared" si="29"/>
        <v>4469.07</v>
      </c>
      <c r="J91" s="437">
        <f t="shared" si="36"/>
        <v>164</v>
      </c>
      <c r="K91" s="438">
        <f t="shared" si="24"/>
        <v>0</v>
      </c>
      <c r="N91">
        <v>27.22</v>
      </c>
      <c r="O91" s="15"/>
      <c r="P91" s="69">
        <f t="shared" si="30"/>
        <v>0</v>
      </c>
      <c r="Q91" s="246"/>
      <c r="R91" s="69">
        <f t="shared" si="31"/>
        <v>0</v>
      </c>
      <c r="S91" s="70"/>
      <c r="T91" s="71"/>
      <c r="U91" s="436">
        <f t="shared" si="32"/>
        <v>5008.4799999999996</v>
      </c>
      <c r="V91" s="437">
        <f t="shared" si="37"/>
        <v>184</v>
      </c>
      <c r="W91" s="438">
        <f t="shared" si="25"/>
        <v>0</v>
      </c>
      <c r="Z91">
        <v>27.22</v>
      </c>
      <c r="AA91" s="15"/>
      <c r="AB91" s="69">
        <f t="shared" si="33"/>
        <v>0</v>
      </c>
      <c r="AC91" s="246"/>
      <c r="AD91" s="69">
        <f t="shared" si="34"/>
        <v>0</v>
      </c>
      <c r="AE91" s="70"/>
      <c r="AF91" s="71"/>
      <c r="AG91" s="436">
        <f t="shared" si="35"/>
        <v>9016.44</v>
      </c>
      <c r="AH91" s="437">
        <f t="shared" si="38"/>
        <v>331</v>
      </c>
      <c r="AI91" s="438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6"/>
      <c r="F92" s="69">
        <f t="shared" si="28"/>
        <v>0</v>
      </c>
      <c r="G92" s="70"/>
      <c r="H92" s="71"/>
      <c r="I92" s="436">
        <f t="shared" si="29"/>
        <v>4469.07</v>
      </c>
      <c r="J92" s="437">
        <f t="shared" si="36"/>
        <v>164</v>
      </c>
      <c r="K92" s="438">
        <f t="shared" si="24"/>
        <v>0</v>
      </c>
      <c r="N92">
        <v>27.22</v>
      </c>
      <c r="O92" s="15"/>
      <c r="P92" s="69">
        <f t="shared" si="30"/>
        <v>0</v>
      </c>
      <c r="Q92" s="246"/>
      <c r="R92" s="69">
        <f t="shared" si="31"/>
        <v>0</v>
      </c>
      <c r="S92" s="70"/>
      <c r="T92" s="71"/>
      <c r="U92" s="436">
        <f t="shared" si="32"/>
        <v>5008.4799999999996</v>
      </c>
      <c r="V92" s="437">
        <f t="shared" si="37"/>
        <v>184</v>
      </c>
      <c r="W92" s="438">
        <f t="shared" si="25"/>
        <v>0</v>
      </c>
      <c r="Z92">
        <v>27.22</v>
      </c>
      <c r="AA92" s="15"/>
      <c r="AB92" s="69">
        <f t="shared" si="33"/>
        <v>0</v>
      </c>
      <c r="AC92" s="246"/>
      <c r="AD92" s="69">
        <f t="shared" si="34"/>
        <v>0</v>
      </c>
      <c r="AE92" s="70"/>
      <c r="AF92" s="71"/>
      <c r="AG92" s="436">
        <f t="shared" si="35"/>
        <v>9016.44</v>
      </c>
      <c r="AH92" s="437">
        <f t="shared" si="38"/>
        <v>331</v>
      </c>
      <c r="AI92" s="438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6"/>
      <c r="F93" s="69">
        <f t="shared" si="28"/>
        <v>0</v>
      </c>
      <c r="G93" s="70"/>
      <c r="H93" s="71"/>
      <c r="I93" s="436">
        <f t="shared" si="29"/>
        <v>4469.07</v>
      </c>
      <c r="J93" s="437">
        <f t="shared" si="36"/>
        <v>164</v>
      </c>
      <c r="K93" s="438">
        <f t="shared" si="24"/>
        <v>0</v>
      </c>
      <c r="N93">
        <v>27.22</v>
      </c>
      <c r="O93" s="15"/>
      <c r="P93" s="69">
        <f t="shared" si="30"/>
        <v>0</v>
      </c>
      <c r="Q93" s="246"/>
      <c r="R93" s="69">
        <f t="shared" si="31"/>
        <v>0</v>
      </c>
      <c r="S93" s="70"/>
      <c r="T93" s="71"/>
      <c r="U93" s="436">
        <f t="shared" si="32"/>
        <v>5008.4799999999996</v>
      </c>
      <c r="V93" s="437">
        <f t="shared" si="37"/>
        <v>184</v>
      </c>
      <c r="W93" s="438">
        <f t="shared" si="25"/>
        <v>0</v>
      </c>
      <c r="Z93">
        <v>27.22</v>
      </c>
      <c r="AA93" s="15"/>
      <c r="AB93" s="69">
        <f t="shared" si="33"/>
        <v>0</v>
      </c>
      <c r="AC93" s="246"/>
      <c r="AD93" s="69">
        <f t="shared" si="34"/>
        <v>0</v>
      </c>
      <c r="AE93" s="70"/>
      <c r="AF93" s="71"/>
      <c r="AG93" s="436">
        <f t="shared" si="35"/>
        <v>9016.44</v>
      </c>
      <c r="AH93" s="437">
        <f t="shared" si="38"/>
        <v>331</v>
      </c>
      <c r="AI93" s="438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6"/>
      <c r="F94" s="69">
        <f t="shared" si="28"/>
        <v>0</v>
      </c>
      <c r="G94" s="70"/>
      <c r="H94" s="71"/>
      <c r="I94" s="436">
        <f t="shared" si="29"/>
        <v>4469.07</v>
      </c>
      <c r="J94" s="437">
        <f t="shared" si="36"/>
        <v>164</v>
      </c>
      <c r="K94" s="438">
        <f t="shared" si="24"/>
        <v>0</v>
      </c>
      <c r="N94">
        <v>27.22</v>
      </c>
      <c r="O94" s="15"/>
      <c r="P94" s="69">
        <f t="shared" si="30"/>
        <v>0</v>
      </c>
      <c r="Q94" s="246"/>
      <c r="R94" s="69">
        <f t="shared" si="31"/>
        <v>0</v>
      </c>
      <c r="S94" s="70"/>
      <c r="T94" s="71"/>
      <c r="U94" s="436">
        <f t="shared" si="32"/>
        <v>5008.4799999999996</v>
      </c>
      <c r="V94" s="437">
        <f t="shared" si="37"/>
        <v>184</v>
      </c>
      <c r="W94" s="438">
        <f t="shared" si="25"/>
        <v>0</v>
      </c>
      <c r="Z94">
        <v>27.22</v>
      </c>
      <c r="AA94" s="15"/>
      <c r="AB94" s="69">
        <f t="shared" si="33"/>
        <v>0</v>
      </c>
      <c r="AC94" s="246"/>
      <c r="AD94" s="69">
        <f t="shared" si="34"/>
        <v>0</v>
      </c>
      <c r="AE94" s="70"/>
      <c r="AF94" s="71"/>
      <c r="AG94" s="436">
        <f t="shared" si="35"/>
        <v>9016.44</v>
      </c>
      <c r="AH94" s="437">
        <f t="shared" si="38"/>
        <v>331</v>
      </c>
      <c r="AI94" s="438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6"/>
      <c r="F95" s="69">
        <f t="shared" si="28"/>
        <v>0</v>
      </c>
      <c r="G95" s="70"/>
      <c r="H95" s="71"/>
      <c r="I95" s="436">
        <f t="shared" si="29"/>
        <v>4469.07</v>
      </c>
      <c r="J95" s="437">
        <f t="shared" si="36"/>
        <v>164</v>
      </c>
      <c r="K95" s="438">
        <f t="shared" si="24"/>
        <v>0</v>
      </c>
      <c r="N95">
        <v>27.22</v>
      </c>
      <c r="O95" s="15"/>
      <c r="P95" s="69">
        <f t="shared" si="30"/>
        <v>0</v>
      </c>
      <c r="Q95" s="246"/>
      <c r="R95" s="69">
        <f t="shared" si="31"/>
        <v>0</v>
      </c>
      <c r="S95" s="70"/>
      <c r="T95" s="71"/>
      <c r="U95" s="436">
        <f t="shared" si="32"/>
        <v>5008.4799999999996</v>
      </c>
      <c r="V95" s="437">
        <f t="shared" si="37"/>
        <v>184</v>
      </c>
      <c r="W95" s="438">
        <f t="shared" si="25"/>
        <v>0</v>
      </c>
      <c r="Z95">
        <v>27.22</v>
      </c>
      <c r="AA95" s="15"/>
      <c r="AB95" s="69">
        <f t="shared" si="33"/>
        <v>0</v>
      </c>
      <c r="AC95" s="246"/>
      <c r="AD95" s="69">
        <f t="shared" si="34"/>
        <v>0</v>
      </c>
      <c r="AE95" s="70"/>
      <c r="AF95" s="71"/>
      <c r="AG95" s="436">
        <f t="shared" si="35"/>
        <v>9016.44</v>
      </c>
      <c r="AH95" s="437">
        <f t="shared" si="38"/>
        <v>331</v>
      </c>
      <c r="AI95" s="438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6"/>
      <c r="F96" s="69">
        <f t="shared" si="28"/>
        <v>0</v>
      </c>
      <c r="G96" s="70"/>
      <c r="H96" s="71"/>
      <c r="I96" s="436">
        <f t="shared" si="29"/>
        <v>4469.07</v>
      </c>
      <c r="J96" s="437">
        <f t="shared" si="36"/>
        <v>164</v>
      </c>
      <c r="K96" s="438">
        <f t="shared" si="24"/>
        <v>0</v>
      </c>
      <c r="N96">
        <v>27.22</v>
      </c>
      <c r="O96" s="15"/>
      <c r="P96" s="69">
        <f t="shared" si="30"/>
        <v>0</v>
      </c>
      <c r="Q96" s="246"/>
      <c r="R96" s="69">
        <f t="shared" si="31"/>
        <v>0</v>
      </c>
      <c r="S96" s="70"/>
      <c r="T96" s="71"/>
      <c r="U96" s="436">
        <f t="shared" si="32"/>
        <v>5008.4799999999996</v>
      </c>
      <c r="V96" s="437">
        <f t="shared" si="37"/>
        <v>184</v>
      </c>
      <c r="W96" s="438">
        <f t="shared" si="25"/>
        <v>0</v>
      </c>
      <c r="Z96">
        <v>27.22</v>
      </c>
      <c r="AA96" s="15"/>
      <c r="AB96" s="69">
        <f t="shared" si="33"/>
        <v>0</v>
      </c>
      <c r="AC96" s="246"/>
      <c r="AD96" s="69">
        <f t="shared" si="34"/>
        <v>0</v>
      </c>
      <c r="AE96" s="70"/>
      <c r="AF96" s="71"/>
      <c r="AG96" s="436">
        <f t="shared" si="35"/>
        <v>9016.44</v>
      </c>
      <c r="AH96" s="437">
        <f t="shared" si="38"/>
        <v>331</v>
      </c>
      <c r="AI96" s="438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6"/>
      <c r="F97" s="69">
        <f t="shared" si="28"/>
        <v>0</v>
      </c>
      <c r="G97" s="70"/>
      <c r="H97" s="71"/>
      <c r="I97" s="436">
        <f t="shared" si="29"/>
        <v>4469.07</v>
      </c>
      <c r="J97" s="437">
        <f t="shared" si="36"/>
        <v>164</v>
      </c>
      <c r="K97" s="438">
        <f t="shared" si="24"/>
        <v>0</v>
      </c>
      <c r="N97">
        <v>27.22</v>
      </c>
      <c r="O97" s="15"/>
      <c r="P97" s="69">
        <f t="shared" si="30"/>
        <v>0</v>
      </c>
      <c r="Q97" s="246"/>
      <c r="R97" s="69">
        <f t="shared" si="31"/>
        <v>0</v>
      </c>
      <c r="S97" s="70"/>
      <c r="T97" s="71"/>
      <c r="U97" s="436">
        <f t="shared" si="32"/>
        <v>5008.4799999999996</v>
      </c>
      <c r="V97" s="437">
        <f t="shared" si="37"/>
        <v>184</v>
      </c>
      <c r="W97" s="438">
        <f t="shared" si="25"/>
        <v>0</v>
      </c>
      <c r="Z97">
        <v>27.22</v>
      </c>
      <c r="AA97" s="15"/>
      <c r="AB97" s="69">
        <f t="shared" si="33"/>
        <v>0</v>
      </c>
      <c r="AC97" s="246"/>
      <c r="AD97" s="69">
        <f t="shared" si="34"/>
        <v>0</v>
      </c>
      <c r="AE97" s="70"/>
      <c r="AF97" s="71"/>
      <c r="AG97" s="436">
        <f t="shared" si="35"/>
        <v>9016.44</v>
      </c>
      <c r="AH97" s="437">
        <f t="shared" si="38"/>
        <v>331</v>
      </c>
      <c r="AI97" s="438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6"/>
      <c r="F98" s="69">
        <f t="shared" si="28"/>
        <v>0</v>
      </c>
      <c r="G98" s="70"/>
      <c r="H98" s="71"/>
      <c r="I98" s="436">
        <f t="shared" si="29"/>
        <v>4469.07</v>
      </c>
      <c r="J98" s="437">
        <f t="shared" si="36"/>
        <v>164</v>
      </c>
      <c r="K98" s="438">
        <f t="shared" si="24"/>
        <v>0</v>
      </c>
      <c r="N98">
        <v>27.22</v>
      </c>
      <c r="O98" s="15"/>
      <c r="P98" s="69">
        <f t="shared" si="30"/>
        <v>0</v>
      </c>
      <c r="Q98" s="246"/>
      <c r="R98" s="69">
        <f t="shared" si="31"/>
        <v>0</v>
      </c>
      <c r="S98" s="70"/>
      <c r="T98" s="71"/>
      <c r="U98" s="436">
        <f t="shared" si="32"/>
        <v>5008.4799999999996</v>
      </c>
      <c r="V98" s="437">
        <f t="shared" si="37"/>
        <v>184</v>
      </c>
      <c r="W98" s="438">
        <f t="shared" si="25"/>
        <v>0</v>
      </c>
      <c r="Z98">
        <v>27.22</v>
      </c>
      <c r="AA98" s="15"/>
      <c r="AB98" s="69">
        <f t="shared" si="33"/>
        <v>0</v>
      </c>
      <c r="AC98" s="246"/>
      <c r="AD98" s="69">
        <f t="shared" si="34"/>
        <v>0</v>
      </c>
      <c r="AE98" s="70"/>
      <c r="AF98" s="71"/>
      <c r="AG98" s="436">
        <f t="shared" si="35"/>
        <v>9016.44</v>
      </c>
      <c r="AH98" s="437">
        <f t="shared" si="38"/>
        <v>331</v>
      </c>
      <c r="AI98" s="438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6"/>
      <c r="F99" s="69">
        <f t="shared" si="28"/>
        <v>0</v>
      </c>
      <c r="G99" s="70"/>
      <c r="H99" s="71"/>
      <c r="I99" s="436">
        <f t="shared" si="29"/>
        <v>4469.07</v>
      </c>
      <c r="J99" s="437">
        <f t="shared" si="36"/>
        <v>164</v>
      </c>
      <c r="K99" s="438">
        <f t="shared" si="24"/>
        <v>0</v>
      </c>
      <c r="N99">
        <v>27.22</v>
      </c>
      <c r="O99" s="15"/>
      <c r="P99" s="69">
        <f t="shared" si="30"/>
        <v>0</v>
      </c>
      <c r="Q99" s="246"/>
      <c r="R99" s="69">
        <f t="shared" si="31"/>
        <v>0</v>
      </c>
      <c r="S99" s="70"/>
      <c r="T99" s="71"/>
      <c r="U99" s="436">
        <f t="shared" si="32"/>
        <v>5008.4799999999996</v>
      </c>
      <c r="V99" s="437">
        <f t="shared" si="37"/>
        <v>184</v>
      </c>
      <c r="W99" s="438">
        <f t="shared" si="25"/>
        <v>0</v>
      </c>
      <c r="Z99">
        <v>27.22</v>
      </c>
      <c r="AA99" s="15"/>
      <c r="AB99" s="69">
        <f t="shared" si="33"/>
        <v>0</v>
      </c>
      <c r="AC99" s="246"/>
      <c r="AD99" s="69">
        <f t="shared" si="34"/>
        <v>0</v>
      </c>
      <c r="AE99" s="70"/>
      <c r="AF99" s="71"/>
      <c r="AG99" s="436">
        <f t="shared" si="35"/>
        <v>9016.44</v>
      </c>
      <c r="AH99" s="437">
        <f t="shared" si="38"/>
        <v>331</v>
      </c>
      <c r="AI99" s="438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6"/>
      <c r="F100" s="69">
        <f t="shared" si="28"/>
        <v>0</v>
      </c>
      <c r="G100" s="70"/>
      <c r="H100" s="71"/>
      <c r="I100" s="436">
        <f t="shared" si="29"/>
        <v>4469.07</v>
      </c>
      <c r="J100" s="437">
        <f t="shared" si="36"/>
        <v>164</v>
      </c>
      <c r="K100" s="438">
        <f t="shared" si="24"/>
        <v>0</v>
      </c>
      <c r="N100">
        <v>27.22</v>
      </c>
      <c r="O100" s="15"/>
      <c r="P100" s="69">
        <f t="shared" si="30"/>
        <v>0</v>
      </c>
      <c r="Q100" s="246"/>
      <c r="R100" s="69">
        <f t="shared" si="31"/>
        <v>0</v>
      </c>
      <c r="S100" s="70"/>
      <c r="T100" s="71"/>
      <c r="U100" s="436">
        <f t="shared" si="32"/>
        <v>5008.4799999999996</v>
      </c>
      <c r="V100" s="437">
        <f t="shared" si="37"/>
        <v>184</v>
      </c>
      <c r="W100" s="438">
        <f t="shared" si="25"/>
        <v>0</v>
      </c>
      <c r="Z100">
        <v>27.22</v>
      </c>
      <c r="AA100" s="15"/>
      <c r="AB100" s="69">
        <f t="shared" si="33"/>
        <v>0</v>
      </c>
      <c r="AC100" s="246"/>
      <c r="AD100" s="69">
        <f t="shared" si="34"/>
        <v>0</v>
      </c>
      <c r="AE100" s="70"/>
      <c r="AF100" s="71"/>
      <c r="AG100" s="436">
        <f t="shared" si="35"/>
        <v>9016.44</v>
      </c>
      <c r="AH100" s="437">
        <f t="shared" si="38"/>
        <v>331</v>
      </c>
      <c r="AI100" s="438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6"/>
      <c r="F101" s="69">
        <f t="shared" si="28"/>
        <v>0</v>
      </c>
      <c r="G101" s="70"/>
      <c r="H101" s="71"/>
      <c r="I101" s="436">
        <f t="shared" si="29"/>
        <v>4469.07</v>
      </c>
      <c r="J101" s="437">
        <f t="shared" si="36"/>
        <v>164</v>
      </c>
      <c r="K101" s="438">
        <f t="shared" si="24"/>
        <v>0</v>
      </c>
      <c r="N101">
        <v>27.22</v>
      </c>
      <c r="O101" s="15"/>
      <c r="P101" s="69">
        <f t="shared" si="30"/>
        <v>0</v>
      </c>
      <c r="Q101" s="246"/>
      <c r="R101" s="69">
        <f t="shared" si="31"/>
        <v>0</v>
      </c>
      <c r="S101" s="70"/>
      <c r="T101" s="71"/>
      <c r="U101" s="436">
        <f t="shared" si="32"/>
        <v>5008.4799999999996</v>
      </c>
      <c r="V101" s="437">
        <f t="shared" si="37"/>
        <v>184</v>
      </c>
      <c r="W101" s="438">
        <f t="shared" si="25"/>
        <v>0</v>
      </c>
      <c r="Z101">
        <v>27.22</v>
      </c>
      <c r="AA101" s="15"/>
      <c r="AB101" s="69">
        <f t="shared" si="33"/>
        <v>0</v>
      </c>
      <c r="AC101" s="246"/>
      <c r="AD101" s="69">
        <f t="shared" si="34"/>
        <v>0</v>
      </c>
      <c r="AE101" s="70"/>
      <c r="AF101" s="71"/>
      <c r="AG101" s="436">
        <f t="shared" si="35"/>
        <v>9016.44</v>
      </c>
      <c r="AH101" s="437">
        <f t="shared" si="38"/>
        <v>331</v>
      </c>
      <c r="AI101" s="438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6"/>
      <c r="F102" s="69">
        <f t="shared" si="28"/>
        <v>0</v>
      </c>
      <c r="G102" s="70"/>
      <c r="H102" s="71"/>
      <c r="I102" s="436">
        <f t="shared" si="29"/>
        <v>4469.07</v>
      </c>
      <c r="J102" s="437">
        <f t="shared" si="36"/>
        <v>164</v>
      </c>
      <c r="K102" s="438">
        <f t="shared" si="24"/>
        <v>0</v>
      </c>
      <c r="N102">
        <v>27.22</v>
      </c>
      <c r="O102" s="15"/>
      <c r="P102" s="69">
        <f t="shared" si="30"/>
        <v>0</v>
      </c>
      <c r="Q102" s="246"/>
      <c r="R102" s="69">
        <f t="shared" si="31"/>
        <v>0</v>
      </c>
      <c r="S102" s="70"/>
      <c r="T102" s="71"/>
      <c r="U102" s="436">
        <f t="shared" si="32"/>
        <v>5008.4799999999996</v>
      </c>
      <c r="V102" s="437">
        <f t="shared" si="37"/>
        <v>184</v>
      </c>
      <c r="W102" s="438">
        <f t="shared" si="25"/>
        <v>0</v>
      </c>
      <c r="Z102">
        <v>27.22</v>
      </c>
      <c r="AA102" s="15"/>
      <c r="AB102" s="69">
        <f t="shared" si="33"/>
        <v>0</v>
      </c>
      <c r="AC102" s="246"/>
      <c r="AD102" s="69">
        <f t="shared" si="34"/>
        <v>0</v>
      </c>
      <c r="AE102" s="70"/>
      <c r="AF102" s="71"/>
      <c r="AG102" s="436">
        <f t="shared" si="35"/>
        <v>9016.44</v>
      </c>
      <c r="AH102" s="437">
        <f t="shared" si="38"/>
        <v>331</v>
      </c>
      <c r="AI102" s="438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6"/>
      <c r="F103" s="69">
        <f t="shared" si="28"/>
        <v>0</v>
      </c>
      <c r="G103" s="70"/>
      <c r="H103" s="71"/>
      <c r="I103" s="436">
        <f t="shared" si="29"/>
        <v>4469.07</v>
      </c>
      <c r="J103" s="437">
        <f t="shared" si="36"/>
        <v>164</v>
      </c>
      <c r="K103" s="438">
        <f t="shared" si="24"/>
        <v>0</v>
      </c>
      <c r="N103">
        <v>27.22</v>
      </c>
      <c r="O103" s="15"/>
      <c r="P103" s="69">
        <f t="shared" si="30"/>
        <v>0</v>
      </c>
      <c r="Q103" s="246"/>
      <c r="R103" s="69">
        <f t="shared" si="31"/>
        <v>0</v>
      </c>
      <c r="S103" s="70"/>
      <c r="T103" s="71"/>
      <c r="U103" s="436">
        <f t="shared" si="32"/>
        <v>5008.4799999999996</v>
      </c>
      <c r="V103" s="437">
        <f t="shared" si="37"/>
        <v>184</v>
      </c>
      <c r="W103" s="438">
        <f t="shared" si="25"/>
        <v>0</v>
      </c>
      <c r="Z103">
        <v>27.22</v>
      </c>
      <c r="AA103" s="15"/>
      <c r="AB103" s="69">
        <f t="shared" si="33"/>
        <v>0</v>
      </c>
      <c r="AC103" s="246"/>
      <c r="AD103" s="69">
        <f t="shared" si="34"/>
        <v>0</v>
      </c>
      <c r="AE103" s="70"/>
      <c r="AF103" s="71"/>
      <c r="AG103" s="436">
        <f t="shared" si="35"/>
        <v>9016.44</v>
      </c>
      <c r="AH103" s="437">
        <f t="shared" si="38"/>
        <v>331</v>
      </c>
      <c r="AI103" s="438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6"/>
      <c r="F104" s="69">
        <f t="shared" si="28"/>
        <v>0</v>
      </c>
      <c r="G104" s="70"/>
      <c r="H104" s="71"/>
      <c r="I104" s="436">
        <f t="shared" si="29"/>
        <v>4469.07</v>
      </c>
      <c r="J104" s="437">
        <f t="shared" si="36"/>
        <v>164</v>
      </c>
      <c r="K104" s="438">
        <f t="shared" si="24"/>
        <v>0</v>
      </c>
      <c r="N104">
        <v>27.22</v>
      </c>
      <c r="O104" s="15"/>
      <c r="P104" s="69">
        <f t="shared" si="30"/>
        <v>0</v>
      </c>
      <c r="Q104" s="246"/>
      <c r="R104" s="69">
        <f t="shared" si="31"/>
        <v>0</v>
      </c>
      <c r="S104" s="70"/>
      <c r="T104" s="71"/>
      <c r="U104" s="436">
        <f t="shared" si="32"/>
        <v>5008.4799999999996</v>
      </c>
      <c r="V104" s="437">
        <f t="shared" si="37"/>
        <v>184</v>
      </c>
      <c r="W104" s="438">
        <f t="shared" si="25"/>
        <v>0</v>
      </c>
      <c r="Z104">
        <v>27.22</v>
      </c>
      <c r="AA104" s="15"/>
      <c r="AB104" s="69">
        <f t="shared" si="33"/>
        <v>0</v>
      </c>
      <c r="AC104" s="246"/>
      <c r="AD104" s="69">
        <f t="shared" si="34"/>
        <v>0</v>
      </c>
      <c r="AE104" s="70"/>
      <c r="AF104" s="71"/>
      <c r="AG104" s="436">
        <f t="shared" si="35"/>
        <v>9016.44</v>
      </c>
      <c r="AH104" s="437">
        <f t="shared" si="38"/>
        <v>331</v>
      </c>
      <c r="AI104" s="438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6"/>
      <c r="F105" s="69">
        <f t="shared" si="28"/>
        <v>0</v>
      </c>
      <c r="G105" s="70"/>
      <c r="H105" s="71"/>
      <c r="I105" s="436">
        <f t="shared" si="29"/>
        <v>4469.07</v>
      </c>
      <c r="J105" s="437">
        <f t="shared" si="36"/>
        <v>164</v>
      </c>
      <c r="K105" s="438">
        <f t="shared" si="24"/>
        <v>0</v>
      </c>
      <c r="N105">
        <v>27.22</v>
      </c>
      <c r="O105" s="15"/>
      <c r="P105" s="69">
        <f t="shared" si="30"/>
        <v>0</v>
      </c>
      <c r="Q105" s="246"/>
      <c r="R105" s="69">
        <f t="shared" si="31"/>
        <v>0</v>
      </c>
      <c r="S105" s="70"/>
      <c r="T105" s="71"/>
      <c r="U105" s="436">
        <f t="shared" si="32"/>
        <v>5008.4799999999996</v>
      </c>
      <c r="V105" s="437">
        <f t="shared" si="37"/>
        <v>184</v>
      </c>
      <c r="W105" s="438">
        <f t="shared" si="25"/>
        <v>0</v>
      </c>
      <c r="Z105">
        <v>27.22</v>
      </c>
      <c r="AA105" s="15"/>
      <c r="AB105" s="69">
        <f t="shared" si="33"/>
        <v>0</v>
      </c>
      <c r="AC105" s="246"/>
      <c r="AD105" s="69">
        <f t="shared" si="34"/>
        <v>0</v>
      </c>
      <c r="AE105" s="70"/>
      <c r="AF105" s="71"/>
      <c r="AG105" s="436">
        <f t="shared" si="35"/>
        <v>9016.44</v>
      </c>
      <c r="AH105" s="437">
        <f t="shared" si="38"/>
        <v>331</v>
      </c>
      <c r="AI105" s="438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6"/>
      <c r="F106" s="69">
        <f t="shared" si="28"/>
        <v>0</v>
      </c>
      <c r="G106" s="70"/>
      <c r="H106" s="71"/>
      <c r="I106" s="436">
        <f t="shared" si="29"/>
        <v>4469.07</v>
      </c>
      <c r="J106" s="437">
        <f t="shared" si="36"/>
        <v>164</v>
      </c>
      <c r="K106" s="438">
        <f t="shared" si="24"/>
        <v>0</v>
      </c>
      <c r="N106">
        <v>27.22</v>
      </c>
      <c r="O106" s="15"/>
      <c r="P106" s="69">
        <f t="shared" si="30"/>
        <v>0</v>
      </c>
      <c r="Q106" s="246"/>
      <c r="R106" s="69">
        <f t="shared" si="31"/>
        <v>0</v>
      </c>
      <c r="S106" s="70"/>
      <c r="T106" s="71"/>
      <c r="U106" s="436">
        <f t="shared" si="32"/>
        <v>5008.4799999999996</v>
      </c>
      <c r="V106" s="437">
        <f t="shared" si="37"/>
        <v>184</v>
      </c>
      <c r="W106" s="438">
        <f t="shared" si="25"/>
        <v>0</v>
      </c>
      <c r="Z106">
        <v>27.22</v>
      </c>
      <c r="AA106" s="15"/>
      <c r="AB106" s="69">
        <f t="shared" si="33"/>
        <v>0</v>
      </c>
      <c r="AC106" s="246"/>
      <c r="AD106" s="69">
        <f t="shared" si="34"/>
        <v>0</v>
      </c>
      <c r="AE106" s="70"/>
      <c r="AF106" s="71"/>
      <c r="AG106" s="436">
        <f t="shared" si="35"/>
        <v>9016.44</v>
      </c>
      <c r="AH106" s="437">
        <f t="shared" si="38"/>
        <v>331</v>
      </c>
      <c r="AI106" s="438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6"/>
      <c r="F107" s="69">
        <f t="shared" si="28"/>
        <v>0</v>
      </c>
      <c r="G107" s="70"/>
      <c r="H107" s="71"/>
      <c r="I107" s="436">
        <f t="shared" si="29"/>
        <v>4469.07</v>
      </c>
      <c r="J107" s="437">
        <f t="shared" si="36"/>
        <v>164</v>
      </c>
      <c r="K107" s="438">
        <f t="shared" si="24"/>
        <v>0</v>
      </c>
      <c r="N107">
        <v>27.22</v>
      </c>
      <c r="O107" s="15"/>
      <c r="P107" s="69">
        <f t="shared" si="30"/>
        <v>0</v>
      </c>
      <c r="Q107" s="246"/>
      <c r="R107" s="69">
        <f t="shared" si="31"/>
        <v>0</v>
      </c>
      <c r="S107" s="70"/>
      <c r="T107" s="71"/>
      <c r="U107" s="436">
        <f t="shared" si="32"/>
        <v>5008.4799999999996</v>
      </c>
      <c r="V107" s="437">
        <f t="shared" si="37"/>
        <v>184</v>
      </c>
      <c r="W107" s="438">
        <f t="shared" si="25"/>
        <v>0</v>
      </c>
      <c r="Z107">
        <v>27.22</v>
      </c>
      <c r="AA107" s="15"/>
      <c r="AB107" s="69">
        <f t="shared" si="33"/>
        <v>0</v>
      </c>
      <c r="AC107" s="246"/>
      <c r="AD107" s="69">
        <f t="shared" si="34"/>
        <v>0</v>
      </c>
      <c r="AE107" s="70"/>
      <c r="AF107" s="71"/>
      <c r="AG107" s="436">
        <f t="shared" si="35"/>
        <v>9016.44</v>
      </c>
      <c r="AH107" s="437">
        <f t="shared" si="38"/>
        <v>331</v>
      </c>
      <c r="AI107" s="438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6"/>
      <c r="F108" s="69">
        <f t="shared" si="28"/>
        <v>0</v>
      </c>
      <c r="G108" s="70"/>
      <c r="H108" s="71"/>
      <c r="I108" s="436">
        <f t="shared" si="29"/>
        <v>4469.07</v>
      </c>
      <c r="J108" s="437">
        <f t="shared" si="36"/>
        <v>164</v>
      </c>
      <c r="K108" s="438">
        <f t="shared" si="24"/>
        <v>0</v>
      </c>
      <c r="N108">
        <v>27.22</v>
      </c>
      <c r="O108" s="15"/>
      <c r="P108" s="69">
        <f t="shared" si="30"/>
        <v>0</v>
      </c>
      <c r="Q108" s="246"/>
      <c r="R108" s="69">
        <f t="shared" si="31"/>
        <v>0</v>
      </c>
      <c r="S108" s="70"/>
      <c r="T108" s="71"/>
      <c r="U108" s="436">
        <f t="shared" si="32"/>
        <v>5008.4799999999996</v>
      </c>
      <c r="V108" s="437">
        <f t="shared" si="37"/>
        <v>184</v>
      </c>
      <c r="W108" s="438">
        <f t="shared" si="25"/>
        <v>0</v>
      </c>
      <c r="Z108">
        <v>27.22</v>
      </c>
      <c r="AA108" s="15"/>
      <c r="AB108" s="69">
        <f t="shared" si="33"/>
        <v>0</v>
      </c>
      <c r="AC108" s="246"/>
      <c r="AD108" s="69">
        <f t="shared" si="34"/>
        <v>0</v>
      </c>
      <c r="AE108" s="70"/>
      <c r="AF108" s="71"/>
      <c r="AG108" s="436">
        <f t="shared" si="35"/>
        <v>9016.44</v>
      </c>
      <c r="AH108" s="437">
        <f t="shared" si="38"/>
        <v>331</v>
      </c>
      <c r="AI108" s="438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6"/>
      <c r="F109" s="69">
        <f t="shared" si="28"/>
        <v>0</v>
      </c>
      <c r="G109" s="70"/>
      <c r="H109" s="71"/>
      <c r="I109" s="436">
        <f t="shared" si="29"/>
        <v>4469.07</v>
      </c>
      <c r="J109" s="437">
        <f t="shared" si="36"/>
        <v>164</v>
      </c>
      <c r="K109" s="438">
        <f t="shared" si="24"/>
        <v>0</v>
      </c>
      <c r="N109">
        <v>27.22</v>
      </c>
      <c r="O109" s="15"/>
      <c r="P109" s="69">
        <f t="shared" si="30"/>
        <v>0</v>
      </c>
      <c r="Q109" s="246"/>
      <c r="R109" s="69">
        <f t="shared" si="31"/>
        <v>0</v>
      </c>
      <c r="S109" s="70"/>
      <c r="T109" s="71"/>
      <c r="U109" s="436">
        <f t="shared" si="32"/>
        <v>5008.4799999999996</v>
      </c>
      <c r="V109" s="437">
        <f t="shared" si="37"/>
        <v>184</v>
      </c>
      <c r="W109" s="438">
        <f t="shared" si="25"/>
        <v>0</v>
      </c>
      <c r="Z109">
        <v>27.22</v>
      </c>
      <c r="AA109" s="15"/>
      <c r="AB109" s="69">
        <f t="shared" si="33"/>
        <v>0</v>
      </c>
      <c r="AC109" s="246"/>
      <c r="AD109" s="69">
        <f t="shared" si="34"/>
        <v>0</v>
      </c>
      <c r="AE109" s="70"/>
      <c r="AF109" s="71"/>
      <c r="AG109" s="436">
        <f t="shared" si="35"/>
        <v>9016.44</v>
      </c>
      <c r="AH109" s="437">
        <f t="shared" si="38"/>
        <v>331</v>
      </c>
      <c r="AI109" s="438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6"/>
      <c r="F110" s="69">
        <f t="shared" si="28"/>
        <v>0</v>
      </c>
      <c r="G110" s="70"/>
      <c r="H110" s="71"/>
      <c r="I110" s="436">
        <f t="shared" si="29"/>
        <v>4469.07</v>
      </c>
      <c r="J110" s="437">
        <f t="shared" si="36"/>
        <v>164</v>
      </c>
      <c r="K110" s="438">
        <f t="shared" si="24"/>
        <v>0</v>
      </c>
      <c r="N110">
        <v>27.22</v>
      </c>
      <c r="O110" s="15"/>
      <c r="P110" s="69">
        <f t="shared" si="30"/>
        <v>0</v>
      </c>
      <c r="Q110" s="246"/>
      <c r="R110" s="69">
        <f t="shared" si="31"/>
        <v>0</v>
      </c>
      <c r="S110" s="70"/>
      <c r="T110" s="71"/>
      <c r="U110" s="436">
        <f t="shared" si="32"/>
        <v>5008.4799999999996</v>
      </c>
      <c r="V110" s="437">
        <f t="shared" si="37"/>
        <v>184</v>
      </c>
      <c r="W110" s="438">
        <f t="shared" si="25"/>
        <v>0</v>
      </c>
      <c r="Z110">
        <v>27.22</v>
      </c>
      <c r="AA110" s="15"/>
      <c r="AB110" s="69">
        <f t="shared" si="33"/>
        <v>0</v>
      </c>
      <c r="AC110" s="246"/>
      <c r="AD110" s="69">
        <f t="shared" si="34"/>
        <v>0</v>
      </c>
      <c r="AE110" s="70"/>
      <c r="AF110" s="71"/>
      <c r="AG110" s="436">
        <f t="shared" si="35"/>
        <v>9016.44</v>
      </c>
      <c r="AH110" s="437">
        <f t="shared" si="38"/>
        <v>331</v>
      </c>
      <c r="AI110" s="438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6"/>
      <c r="F111" s="69">
        <f t="shared" si="28"/>
        <v>0</v>
      </c>
      <c r="G111" s="70"/>
      <c r="H111" s="71"/>
      <c r="I111" s="436">
        <f t="shared" si="29"/>
        <v>4469.07</v>
      </c>
      <c r="J111" s="437">
        <f t="shared" si="36"/>
        <v>164</v>
      </c>
      <c r="K111" s="438">
        <f t="shared" si="24"/>
        <v>0</v>
      </c>
      <c r="N111">
        <v>27.22</v>
      </c>
      <c r="O111" s="15"/>
      <c r="P111" s="69">
        <f t="shared" si="30"/>
        <v>0</v>
      </c>
      <c r="Q111" s="246"/>
      <c r="R111" s="69">
        <f t="shared" si="31"/>
        <v>0</v>
      </c>
      <c r="S111" s="70"/>
      <c r="T111" s="71"/>
      <c r="U111" s="436">
        <f t="shared" si="32"/>
        <v>5008.4799999999996</v>
      </c>
      <c r="V111" s="437">
        <f t="shared" si="37"/>
        <v>184</v>
      </c>
      <c r="W111" s="438">
        <f t="shared" si="25"/>
        <v>0</v>
      </c>
      <c r="Z111">
        <v>27.22</v>
      </c>
      <c r="AA111" s="15"/>
      <c r="AB111" s="69">
        <f t="shared" si="33"/>
        <v>0</v>
      </c>
      <c r="AC111" s="246"/>
      <c r="AD111" s="69">
        <f t="shared" si="34"/>
        <v>0</v>
      </c>
      <c r="AE111" s="70"/>
      <c r="AF111" s="71"/>
      <c r="AG111" s="436">
        <f t="shared" si="35"/>
        <v>9016.44</v>
      </c>
      <c r="AH111" s="437">
        <f t="shared" si="38"/>
        <v>331</v>
      </c>
      <c r="AI111" s="438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6"/>
      <c r="F112" s="69">
        <f t="shared" si="28"/>
        <v>0</v>
      </c>
      <c r="G112" s="70"/>
      <c r="H112" s="71"/>
      <c r="I112" s="436">
        <f t="shared" si="29"/>
        <v>4469.07</v>
      </c>
      <c r="J112" s="437">
        <f t="shared" si="36"/>
        <v>164</v>
      </c>
      <c r="K112" s="438">
        <f t="shared" si="24"/>
        <v>0</v>
      </c>
      <c r="N112">
        <v>27.22</v>
      </c>
      <c r="O112" s="15"/>
      <c r="P112" s="69">
        <f t="shared" si="30"/>
        <v>0</v>
      </c>
      <c r="Q112" s="246"/>
      <c r="R112" s="69">
        <f t="shared" si="31"/>
        <v>0</v>
      </c>
      <c r="S112" s="70"/>
      <c r="T112" s="71"/>
      <c r="U112" s="436">
        <f t="shared" si="32"/>
        <v>5008.4799999999996</v>
      </c>
      <c r="V112" s="437">
        <f t="shared" si="37"/>
        <v>184</v>
      </c>
      <c r="W112" s="438">
        <f t="shared" si="25"/>
        <v>0</v>
      </c>
      <c r="Z112">
        <v>27.22</v>
      </c>
      <c r="AA112" s="15"/>
      <c r="AB112" s="69">
        <f t="shared" si="33"/>
        <v>0</v>
      </c>
      <c r="AC112" s="246"/>
      <c r="AD112" s="69">
        <f t="shared" si="34"/>
        <v>0</v>
      </c>
      <c r="AE112" s="70"/>
      <c r="AF112" s="71"/>
      <c r="AG112" s="436">
        <f t="shared" si="35"/>
        <v>9016.44</v>
      </c>
      <c r="AH112" s="437">
        <f t="shared" si="38"/>
        <v>331</v>
      </c>
      <c r="AI112" s="438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6"/>
      <c r="F113" s="69">
        <f t="shared" si="28"/>
        <v>0</v>
      </c>
      <c r="G113" s="70"/>
      <c r="H113" s="71"/>
      <c r="I113" s="436">
        <f t="shared" si="29"/>
        <v>4469.07</v>
      </c>
      <c r="J113" s="437">
        <f t="shared" si="36"/>
        <v>164</v>
      </c>
      <c r="K113" s="439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6"/>
      <c r="R113" s="69">
        <f t="shared" si="31"/>
        <v>0</v>
      </c>
      <c r="S113" s="70"/>
      <c r="T113" s="71"/>
      <c r="U113" s="436">
        <f t="shared" si="32"/>
        <v>5008.4799999999996</v>
      </c>
      <c r="V113" s="437">
        <f t="shared" si="37"/>
        <v>184</v>
      </c>
      <c r="W113" s="439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6"/>
      <c r="AD113" s="69">
        <f t="shared" si="34"/>
        <v>0</v>
      </c>
      <c r="AE113" s="70"/>
      <c r="AF113" s="71"/>
      <c r="AG113" s="436">
        <f t="shared" si="35"/>
        <v>9016.44</v>
      </c>
      <c r="AH113" s="437">
        <f t="shared" si="38"/>
        <v>331</v>
      </c>
      <c r="AI113" s="439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701"/>
      <c r="I114" s="24"/>
      <c r="J114" s="24"/>
      <c r="K114" s="198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701"/>
      <c r="U114" s="24"/>
      <c r="V114" s="24"/>
      <c r="W114" s="198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701"/>
      <c r="AG114" s="24"/>
      <c r="AH114" s="24"/>
      <c r="AI114" s="198">
        <f t="shared" si="26"/>
        <v>0</v>
      </c>
    </row>
    <row r="115" spans="1:35" x14ac:dyDescent="0.25">
      <c r="C115" s="53">
        <f>SUM(C9:C114)</f>
        <v>20</v>
      </c>
      <c r="D115" s="6">
        <f>SUM(D9:D114)</f>
        <v>544.4</v>
      </c>
      <c r="F115" s="6">
        <f>SUM(F9:F114)</f>
        <v>544.4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164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331</v>
      </c>
    </row>
    <row r="119" spans="1:35" ht="15.75" thickBot="1" x14ac:dyDescent="0.3"/>
    <row r="120" spans="1:35" ht="15.75" thickBot="1" x14ac:dyDescent="0.3">
      <c r="C120" s="1201" t="s">
        <v>11</v>
      </c>
      <c r="D120" s="1202"/>
      <c r="E120" s="57">
        <f>E4+E5+E6-F115</f>
        <v>4469.07</v>
      </c>
      <c r="G120" s="47"/>
      <c r="H120" s="91"/>
      <c r="O120" s="1201" t="s">
        <v>11</v>
      </c>
      <c r="P120" s="1202"/>
      <c r="Q120" s="57">
        <f>Q4+Q5+Q6-R115</f>
        <v>5008.4799999999996</v>
      </c>
      <c r="S120" s="47"/>
      <c r="T120" s="91"/>
      <c r="AA120" s="1201" t="s">
        <v>11</v>
      </c>
      <c r="AB120" s="1202"/>
      <c r="AC120" s="57">
        <f>AC4+AC5+AC6-AD115</f>
        <v>9016.44</v>
      </c>
      <c r="AE120" s="47"/>
      <c r="AF120" s="91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selection activeCell="F29" sqref="F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9" t="s">
        <v>326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98"/>
      <c r="D4" s="899"/>
      <c r="E4" s="963">
        <v>111.09</v>
      </c>
      <c r="F4" s="890">
        <v>6</v>
      </c>
      <c r="G4" s="73"/>
    </row>
    <row r="5" spans="1:9" ht="15.75" customHeight="1" x14ac:dyDescent="0.25">
      <c r="A5" s="1207" t="s">
        <v>224</v>
      </c>
      <c r="B5" s="351" t="s">
        <v>66</v>
      </c>
      <c r="C5" s="718">
        <v>144</v>
      </c>
      <c r="D5" s="719">
        <v>44874</v>
      </c>
      <c r="E5" s="705">
        <v>2545.4699999999998</v>
      </c>
      <c r="F5" s="717">
        <v>128</v>
      </c>
      <c r="G5" s="47">
        <f>F68</f>
        <v>459.41999999999996</v>
      </c>
      <c r="H5" s="7">
        <f>E5-G5+E4+E6+E7</f>
        <v>2197.14</v>
      </c>
    </row>
    <row r="6" spans="1:9" ht="15" customHeight="1" x14ac:dyDescent="0.25">
      <c r="A6" s="1207"/>
      <c r="B6" s="869" t="s">
        <v>67</v>
      </c>
      <c r="C6" s="901"/>
      <c r="D6" s="901"/>
      <c r="E6" s="901"/>
      <c r="F6" s="900"/>
    </row>
    <row r="7" spans="1:9" ht="15.75" thickBot="1" x14ac:dyDescent="0.3">
      <c r="B7" s="73"/>
      <c r="C7" s="902"/>
      <c r="D7" s="902"/>
      <c r="E7" s="902"/>
      <c r="F7" s="900"/>
    </row>
    <row r="8" spans="1:9" ht="16.5" thickTop="1" thickBot="1" x14ac:dyDescent="0.3">
      <c r="B8" s="64" t="s">
        <v>7</v>
      </c>
      <c r="C8" s="838" t="s">
        <v>8</v>
      </c>
      <c r="D8" s="839" t="s">
        <v>3</v>
      </c>
      <c r="E8" s="84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17">
        <f>F4+F5+F6+F7-C9</f>
        <v>126</v>
      </c>
      <c r="C9" s="127">
        <v>8</v>
      </c>
      <c r="D9" s="69">
        <v>146.94999999999999</v>
      </c>
      <c r="E9" s="246">
        <v>44883</v>
      </c>
      <c r="F9" s="69">
        <f t="shared" ref="F9:F52" si="0">D9</f>
        <v>146.94999999999999</v>
      </c>
      <c r="G9" s="70" t="s">
        <v>287</v>
      </c>
      <c r="H9" s="71">
        <v>145</v>
      </c>
      <c r="I9" s="860">
        <f>E6+E5+E4-F9+E7</f>
        <v>2509.61</v>
      </c>
    </row>
    <row r="10" spans="1:9" x14ac:dyDescent="0.25">
      <c r="A10" s="77"/>
      <c r="B10" s="182">
        <f t="shared" ref="B10:B52" si="1">B9-C10</f>
        <v>118</v>
      </c>
      <c r="C10" s="127">
        <v>8</v>
      </c>
      <c r="D10" s="69">
        <v>147.13999999999999</v>
      </c>
      <c r="E10" s="246">
        <v>44886</v>
      </c>
      <c r="F10" s="69">
        <f t="shared" si="0"/>
        <v>147.13999999999999</v>
      </c>
      <c r="G10" s="70" t="s">
        <v>292</v>
      </c>
      <c r="H10" s="71">
        <v>148</v>
      </c>
      <c r="I10" s="78">
        <f t="shared" ref="I10:I52" si="2">I9-F10</f>
        <v>2362.4700000000003</v>
      </c>
    </row>
    <row r="11" spans="1:9" x14ac:dyDescent="0.25">
      <c r="A11" s="12"/>
      <c r="B11" s="182">
        <f t="shared" si="1"/>
        <v>114</v>
      </c>
      <c r="C11" s="127">
        <v>4</v>
      </c>
      <c r="D11" s="69">
        <v>81.99</v>
      </c>
      <c r="E11" s="246">
        <v>44891</v>
      </c>
      <c r="F11" s="69">
        <f t="shared" si="0"/>
        <v>81.99</v>
      </c>
      <c r="G11" s="70" t="s">
        <v>311</v>
      </c>
      <c r="H11" s="71">
        <v>148</v>
      </c>
      <c r="I11" s="78">
        <f t="shared" si="2"/>
        <v>2280.4800000000005</v>
      </c>
    </row>
    <row r="12" spans="1:9" x14ac:dyDescent="0.25">
      <c r="A12" s="55" t="s">
        <v>33</v>
      </c>
      <c r="B12" s="834">
        <f t="shared" si="1"/>
        <v>110</v>
      </c>
      <c r="C12" s="127">
        <v>4</v>
      </c>
      <c r="D12" s="69">
        <v>83.34</v>
      </c>
      <c r="E12" s="246">
        <v>44891</v>
      </c>
      <c r="F12" s="69">
        <f t="shared" si="0"/>
        <v>83.34</v>
      </c>
      <c r="G12" s="70" t="s">
        <v>314</v>
      </c>
      <c r="H12" s="71">
        <v>148</v>
      </c>
      <c r="I12" s="837">
        <f t="shared" si="2"/>
        <v>2197.1400000000003</v>
      </c>
    </row>
    <row r="13" spans="1:9" x14ac:dyDescent="0.25">
      <c r="A13" s="77"/>
      <c r="B13" s="182">
        <f t="shared" si="1"/>
        <v>110</v>
      </c>
      <c r="C13" s="127"/>
      <c r="D13" s="538"/>
      <c r="E13" s="574"/>
      <c r="F13" s="538">
        <f t="shared" si="0"/>
        <v>0</v>
      </c>
      <c r="G13" s="330"/>
      <c r="H13" s="331"/>
      <c r="I13" s="78">
        <f t="shared" si="2"/>
        <v>2197.1400000000003</v>
      </c>
    </row>
    <row r="14" spans="1:9" x14ac:dyDescent="0.25">
      <c r="A14" s="12"/>
      <c r="B14" s="182">
        <f t="shared" si="1"/>
        <v>110</v>
      </c>
      <c r="C14" s="127"/>
      <c r="D14" s="538"/>
      <c r="E14" s="574"/>
      <c r="F14" s="538">
        <f t="shared" si="0"/>
        <v>0</v>
      </c>
      <c r="G14" s="330"/>
      <c r="H14" s="331"/>
      <c r="I14" s="78">
        <f t="shared" si="2"/>
        <v>2197.1400000000003</v>
      </c>
    </row>
    <row r="15" spans="1:9" x14ac:dyDescent="0.25">
      <c r="B15" s="182">
        <f t="shared" si="1"/>
        <v>110</v>
      </c>
      <c r="C15" s="127"/>
      <c r="D15" s="538"/>
      <c r="E15" s="574"/>
      <c r="F15" s="538">
        <f t="shared" si="0"/>
        <v>0</v>
      </c>
      <c r="G15" s="330"/>
      <c r="H15" s="331"/>
      <c r="I15" s="78">
        <f t="shared" si="2"/>
        <v>2197.1400000000003</v>
      </c>
    </row>
    <row r="16" spans="1:9" x14ac:dyDescent="0.25">
      <c r="B16" s="182">
        <f t="shared" si="1"/>
        <v>110</v>
      </c>
      <c r="C16" s="127"/>
      <c r="D16" s="538"/>
      <c r="E16" s="574"/>
      <c r="F16" s="538">
        <f t="shared" si="0"/>
        <v>0</v>
      </c>
      <c r="G16" s="330"/>
      <c r="H16" s="331"/>
      <c r="I16" s="78">
        <f t="shared" si="2"/>
        <v>2197.1400000000003</v>
      </c>
    </row>
    <row r="17" spans="2:9" x14ac:dyDescent="0.25">
      <c r="B17" s="182">
        <f t="shared" si="1"/>
        <v>110</v>
      </c>
      <c r="C17" s="127"/>
      <c r="D17" s="538"/>
      <c r="E17" s="574"/>
      <c r="F17" s="538">
        <f t="shared" si="0"/>
        <v>0</v>
      </c>
      <c r="G17" s="330"/>
      <c r="H17" s="331"/>
      <c r="I17" s="78">
        <f t="shared" si="2"/>
        <v>2197.1400000000003</v>
      </c>
    </row>
    <row r="18" spans="2:9" x14ac:dyDescent="0.25">
      <c r="B18" s="182">
        <f t="shared" si="1"/>
        <v>110</v>
      </c>
      <c r="C18" s="127"/>
      <c r="D18" s="538"/>
      <c r="E18" s="574"/>
      <c r="F18" s="538">
        <f t="shared" si="0"/>
        <v>0</v>
      </c>
      <c r="G18" s="330"/>
      <c r="H18" s="331"/>
      <c r="I18" s="78">
        <f t="shared" si="2"/>
        <v>2197.1400000000003</v>
      </c>
    </row>
    <row r="19" spans="2:9" x14ac:dyDescent="0.25">
      <c r="B19" s="182">
        <f t="shared" si="1"/>
        <v>110</v>
      </c>
      <c r="C19" s="127"/>
      <c r="D19" s="538"/>
      <c r="E19" s="574"/>
      <c r="F19" s="538">
        <f t="shared" si="0"/>
        <v>0</v>
      </c>
      <c r="G19" s="330"/>
      <c r="H19" s="331"/>
      <c r="I19" s="78">
        <f t="shared" si="2"/>
        <v>2197.1400000000003</v>
      </c>
    </row>
    <row r="20" spans="2:9" x14ac:dyDescent="0.25">
      <c r="B20" s="182">
        <f t="shared" si="1"/>
        <v>110</v>
      </c>
      <c r="C20" s="127"/>
      <c r="D20" s="538"/>
      <c r="E20" s="574"/>
      <c r="F20" s="538">
        <f t="shared" si="0"/>
        <v>0</v>
      </c>
      <c r="G20" s="330"/>
      <c r="H20" s="331"/>
      <c r="I20" s="78">
        <f t="shared" si="2"/>
        <v>2197.1400000000003</v>
      </c>
    </row>
    <row r="21" spans="2:9" x14ac:dyDescent="0.25">
      <c r="B21" s="182">
        <f t="shared" si="1"/>
        <v>110</v>
      </c>
      <c r="C21" s="127"/>
      <c r="D21" s="538"/>
      <c r="E21" s="574"/>
      <c r="F21" s="538">
        <f t="shared" si="0"/>
        <v>0</v>
      </c>
      <c r="G21" s="330"/>
      <c r="H21" s="331"/>
      <c r="I21" s="78">
        <f t="shared" si="2"/>
        <v>2197.1400000000003</v>
      </c>
    </row>
    <row r="22" spans="2:9" x14ac:dyDescent="0.25">
      <c r="B22" s="182">
        <f t="shared" si="1"/>
        <v>110</v>
      </c>
      <c r="C22" s="127"/>
      <c r="D22" s="538"/>
      <c r="E22" s="574"/>
      <c r="F22" s="538">
        <f t="shared" si="0"/>
        <v>0</v>
      </c>
      <c r="G22" s="330"/>
      <c r="H22" s="331"/>
      <c r="I22" s="78">
        <f t="shared" si="2"/>
        <v>2197.1400000000003</v>
      </c>
    </row>
    <row r="23" spans="2:9" x14ac:dyDescent="0.25">
      <c r="B23" s="182">
        <f t="shared" si="1"/>
        <v>110</v>
      </c>
      <c r="C23" s="127"/>
      <c r="D23" s="538"/>
      <c r="E23" s="574"/>
      <c r="F23" s="538">
        <f t="shared" si="0"/>
        <v>0</v>
      </c>
      <c r="G23" s="330"/>
      <c r="H23" s="331"/>
      <c r="I23" s="78">
        <f t="shared" si="2"/>
        <v>2197.1400000000003</v>
      </c>
    </row>
    <row r="24" spans="2:9" x14ac:dyDescent="0.25">
      <c r="B24" s="182">
        <f t="shared" si="1"/>
        <v>110</v>
      </c>
      <c r="C24" s="127"/>
      <c r="D24" s="538"/>
      <c r="E24" s="574"/>
      <c r="F24" s="538">
        <f t="shared" si="0"/>
        <v>0</v>
      </c>
      <c r="G24" s="330"/>
      <c r="H24" s="331"/>
      <c r="I24" s="78">
        <f t="shared" si="2"/>
        <v>2197.1400000000003</v>
      </c>
    </row>
    <row r="25" spans="2:9" x14ac:dyDescent="0.25">
      <c r="B25" s="182">
        <f t="shared" si="1"/>
        <v>110</v>
      </c>
      <c r="C25" s="127"/>
      <c r="D25" s="538"/>
      <c r="E25" s="574"/>
      <c r="F25" s="538">
        <f t="shared" si="0"/>
        <v>0</v>
      </c>
      <c r="G25" s="330"/>
      <c r="H25" s="331"/>
      <c r="I25" s="78">
        <f t="shared" si="2"/>
        <v>2197.1400000000003</v>
      </c>
    </row>
    <row r="26" spans="2:9" x14ac:dyDescent="0.25">
      <c r="B26" s="182">
        <f t="shared" si="1"/>
        <v>110</v>
      </c>
      <c r="C26" s="127"/>
      <c r="D26" s="538"/>
      <c r="E26" s="574"/>
      <c r="F26" s="538">
        <f t="shared" si="0"/>
        <v>0</v>
      </c>
      <c r="G26" s="330"/>
      <c r="H26" s="331"/>
      <c r="I26" s="78">
        <f t="shared" si="2"/>
        <v>2197.1400000000003</v>
      </c>
    </row>
    <row r="27" spans="2:9" x14ac:dyDescent="0.25">
      <c r="B27" s="182">
        <f t="shared" si="1"/>
        <v>110</v>
      </c>
      <c r="C27" s="127"/>
      <c r="D27" s="538"/>
      <c r="E27" s="574"/>
      <c r="F27" s="538">
        <f t="shared" si="0"/>
        <v>0</v>
      </c>
      <c r="G27" s="330"/>
      <c r="H27" s="331"/>
      <c r="I27" s="78">
        <f t="shared" si="2"/>
        <v>2197.1400000000003</v>
      </c>
    </row>
    <row r="28" spans="2:9" x14ac:dyDescent="0.25">
      <c r="B28" s="182">
        <f t="shared" si="1"/>
        <v>110</v>
      </c>
      <c r="C28" s="127"/>
      <c r="D28" s="538"/>
      <c r="E28" s="574"/>
      <c r="F28" s="538">
        <f t="shared" si="0"/>
        <v>0</v>
      </c>
      <c r="G28" s="330"/>
      <c r="H28" s="331"/>
      <c r="I28" s="78">
        <f t="shared" si="2"/>
        <v>2197.1400000000003</v>
      </c>
    </row>
    <row r="29" spans="2:9" x14ac:dyDescent="0.25">
      <c r="B29" s="182">
        <f t="shared" si="1"/>
        <v>110</v>
      </c>
      <c r="C29" s="127"/>
      <c r="D29" s="538"/>
      <c r="E29" s="574"/>
      <c r="F29" s="538">
        <f t="shared" si="0"/>
        <v>0</v>
      </c>
      <c r="G29" s="330"/>
      <c r="H29" s="331"/>
      <c r="I29" s="78">
        <f t="shared" si="2"/>
        <v>2197.1400000000003</v>
      </c>
    </row>
    <row r="30" spans="2:9" x14ac:dyDescent="0.25">
      <c r="B30" s="182">
        <f t="shared" si="1"/>
        <v>110</v>
      </c>
      <c r="C30" s="127"/>
      <c r="D30" s="538"/>
      <c r="E30" s="574"/>
      <c r="F30" s="538">
        <f t="shared" si="0"/>
        <v>0</v>
      </c>
      <c r="G30" s="330"/>
      <c r="H30" s="331"/>
      <c r="I30" s="78">
        <f t="shared" si="2"/>
        <v>2197.1400000000003</v>
      </c>
    </row>
    <row r="31" spans="2:9" x14ac:dyDescent="0.25">
      <c r="B31" s="182">
        <f t="shared" si="1"/>
        <v>110</v>
      </c>
      <c r="C31" s="73"/>
      <c r="D31" s="538"/>
      <c r="E31" s="574"/>
      <c r="F31" s="538">
        <f t="shared" si="0"/>
        <v>0</v>
      </c>
      <c r="G31" s="330"/>
      <c r="H31" s="331"/>
      <c r="I31" s="78">
        <f t="shared" si="2"/>
        <v>2197.1400000000003</v>
      </c>
    </row>
    <row r="32" spans="2:9" x14ac:dyDescent="0.25">
      <c r="B32" s="182">
        <f t="shared" si="1"/>
        <v>110</v>
      </c>
      <c r="C32" s="73"/>
      <c r="D32" s="538"/>
      <c r="E32" s="574"/>
      <c r="F32" s="538">
        <f t="shared" si="0"/>
        <v>0</v>
      </c>
      <c r="G32" s="330"/>
      <c r="H32" s="331"/>
      <c r="I32" s="78">
        <f t="shared" si="2"/>
        <v>2197.1400000000003</v>
      </c>
    </row>
    <row r="33" spans="2:9" x14ac:dyDescent="0.25">
      <c r="B33" s="182">
        <f t="shared" si="1"/>
        <v>110</v>
      </c>
      <c r="C33" s="73"/>
      <c r="D33" s="538"/>
      <c r="E33" s="574"/>
      <c r="F33" s="538">
        <f t="shared" si="0"/>
        <v>0</v>
      </c>
      <c r="G33" s="330"/>
      <c r="H33" s="331"/>
      <c r="I33" s="78">
        <f t="shared" si="2"/>
        <v>2197.1400000000003</v>
      </c>
    </row>
    <row r="34" spans="2:9" x14ac:dyDescent="0.25">
      <c r="B34" s="182">
        <f t="shared" si="1"/>
        <v>110</v>
      </c>
      <c r="C34" s="73"/>
      <c r="D34" s="538"/>
      <c r="E34" s="574"/>
      <c r="F34" s="538">
        <f t="shared" si="0"/>
        <v>0</v>
      </c>
      <c r="G34" s="330"/>
      <c r="H34" s="331"/>
      <c r="I34" s="78">
        <f t="shared" si="2"/>
        <v>2197.1400000000003</v>
      </c>
    </row>
    <row r="35" spans="2:9" x14ac:dyDescent="0.25">
      <c r="B35" s="182">
        <f t="shared" si="1"/>
        <v>110</v>
      </c>
      <c r="C35" s="73"/>
      <c r="D35" s="538"/>
      <c r="E35" s="574"/>
      <c r="F35" s="538">
        <f t="shared" si="0"/>
        <v>0</v>
      </c>
      <c r="G35" s="330"/>
      <c r="H35" s="331"/>
      <c r="I35" s="78">
        <f t="shared" si="2"/>
        <v>2197.1400000000003</v>
      </c>
    </row>
    <row r="36" spans="2:9" x14ac:dyDescent="0.25">
      <c r="B36" s="182">
        <f t="shared" si="1"/>
        <v>110</v>
      </c>
      <c r="C36" s="73"/>
      <c r="D36" s="538"/>
      <c r="E36" s="574"/>
      <c r="F36" s="538">
        <f t="shared" si="0"/>
        <v>0</v>
      </c>
      <c r="G36" s="330"/>
      <c r="H36" s="331"/>
      <c r="I36" s="78">
        <f t="shared" si="2"/>
        <v>2197.1400000000003</v>
      </c>
    </row>
    <row r="37" spans="2:9" x14ac:dyDescent="0.25">
      <c r="B37" s="182">
        <f t="shared" si="1"/>
        <v>110</v>
      </c>
      <c r="C37" s="73"/>
      <c r="D37" s="538"/>
      <c r="E37" s="574"/>
      <c r="F37" s="538">
        <f t="shared" si="0"/>
        <v>0</v>
      </c>
      <c r="G37" s="330"/>
      <c r="H37" s="331"/>
      <c r="I37" s="78">
        <f t="shared" si="2"/>
        <v>2197.1400000000003</v>
      </c>
    </row>
    <row r="38" spans="2:9" x14ac:dyDescent="0.25">
      <c r="B38" s="182">
        <f t="shared" si="1"/>
        <v>110</v>
      </c>
      <c r="C38" s="15"/>
      <c r="D38" s="538"/>
      <c r="E38" s="574"/>
      <c r="F38" s="538">
        <f t="shared" si="0"/>
        <v>0</v>
      </c>
      <c r="G38" s="330"/>
      <c r="H38" s="331"/>
      <c r="I38" s="78">
        <f t="shared" si="2"/>
        <v>2197.1400000000003</v>
      </c>
    </row>
    <row r="39" spans="2:9" x14ac:dyDescent="0.25">
      <c r="B39" s="182">
        <f t="shared" si="1"/>
        <v>110</v>
      </c>
      <c r="C39" s="15"/>
      <c r="D39" s="538"/>
      <c r="E39" s="574"/>
      <c r="F39" s="538">
        <f t="shared" si="0"/>
        <v>0</v>
      </c>
      <c r="G39" s="330"/>
      <c r="H39" s="331"/>
      <c r="I39" s="78">
        <f t="shared" si="2"/>
        <v>2197.1400000000003</v>
      </c>
    </row>
    <row r="40" spans="2:9" x14ac:dyDescent="0.25">
      <c r="B40" s="182">
        <f t="shared" si="1"/>
        <v>110</v>
      </c>
      <c r="C40" s="15"/>
      <c r="D40" s="538"/>
      <c r="E40" s="574"/>
      <c r="F40" s="538">
        <f t="shared" si="0"/>
        <v>0</v>
      </c>
      <c r="G40" s="330"/>
      <c r="H40" s="331"/>
      <c r="I40" s="78">
        <f t="shared" si="2"/>
        <v>2197.1400000000003</v>
      </c>
    </row>
    <row r="41" spans="2:9" x14ac:dyDescent="0.25">
      <c r="B41" s="182">
        <f t="shared" si="1"/>
        <v>110</v>
      </c>
      <c r="C41" s="15"/>
      <c r="D41" s="538"/>
      <c r="E41" s="574"/>
      <c r="F41" s="538">
        <f t="shared" si="0"/>
        <v>0</v>
      </c>
      <c r="G41" s="330"/>
      <c r="H41" s="331"/>
      <c r="I41" s="78">
        <f t="shared" si="2"/>
        <v>2197.1400000000003</v>
      </c>
    </row>
    <row r="42" spans="2:9" x14ac:dyDescent="0.25">
      <c r="B42" s="182">
        <f t="shared" si="1"/>
        <v>110</v>
      </c>
      <c r="C42" s="15"/>
      <c r="D42" s="538"/>
      <c r="E42" s="574"/>
      <c r="F42" s="538">
        <f t="shared" si="0"/>
        <v>0</v>
      </c>
      <c r="G42" s="330"/>
      <c r="H42" s="331"/>
      <c r="I42" s="78">
        <f t="shared" si="2"/>
        <v>2197.1400000000003</v>
      </c>
    </row>
    <row r="43" spans="2:9" x14ac:dyDescent="0.25">
      <c r="B43" s="182">
        <f t="shared" si="1"/>
        <v>110</v>
      </c>
      <c r="C43" s="15"/>
      <c r="D43" s="538"/>
      <c r="E43" s="574"/>
      <c r="F43" s="538">
        <f t="shared" si="0"/>
        <v>0</v>
      </c>
      <c r="G43" s="330"/>
      <c r="H43" s="331"/>
      <c r="I43" s="78">
        <f t="shared" si="2"/>
        <v>2197.1400000000003</v>
      </c>
    </row>
    <row r="44" spans="2:9" x14ac:dyDescent="0.25">
      <c r="B44" s="182">
        <f t="shared" si="1"/>
        <v>110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2197.1400000000003</v>
      </c>
    </row>
    <row r="45" spans="2:9" x14ac:dyDescent="0.25">
      <c r="B45" s="182">
        <f t="shared" si="1"/>
        <v>110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2197.1400000000003</v>
      </c>
    </row>
    <row r="46" spans="2:9" x14ac:dyDescent="0.25">
      <c r="B46" s="182">
        <f t="shared" si="1"/>
        <v>110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2197.1400000000003</v>
      </c>
    </row>
    <row r="47" spans="2:9" x14ac:dyDescent="0.25">
      <c r="B47" s="182">
        <f t="shared" si="1"/>
        <v>110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2197.1400000000003</v>
      </c>
    </row>
    <row r="48" spans="2:9" x14ac:dyDescent="0.25">
      <c r="B48" s="182">
        <f t="shared" si="1"/>
        <v>110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2197.1400000000003</v>
      </c>
    </row>
    <row r="49" spans="2:9" x14ac:dyDescent="0.25">
      <c r="B49" s="182">
        <f t="shared" si="1"/>
        <v>110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2197.1400000000003</v>
      </c>
    </row>
    <row r="50" spans="2:9" x14ac:dyDescent="0.25">
      <c r="B50" s="182">
        <f t="shared" si="1"/>
        <v>110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2197.1400000000003</v>
      </c>
    </row>
    <row r="51" spans="2:9" x14ac:dyDescent="0.25">
      <c r="B51" s="182">
        <f t="shared" si="1"/>
        <v>110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2197.1400000000003</v>
      </c>
    </row>
    <row r="52" spans="2:9" x14ac:dyDescent="0.25">
      <c r="B52" s="182">
        <f t="shared" si="1"/>
        <v>110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2197.1400000000003</v>
      </c>
    </row>
    <row r="53" spans="2:9" x14ac:dyDescent="0.25">
      <c r="B53" s="182"/>
      <c r="C53" s="15"/>
      <c r="D53" s="69"/>
      <c r="E53" s="246"/>
      <c r="F53" s="69"/>
      <c r="G53" s="70"/>
      <c r="H53" s="71"/>
      <c r="I53" s="78"/>
    </row>
    <row r="54" spans="2:9" x14ac:dyDescent="0.25">
      <c r="B54" s="182"/>
      <c r="C54" s="15"/>
      <c r="D54" s="69"/>
      <c r="E54" s="246"/>
      <c r="F54" s="69"/>
      <c r="G54" s="70"/>
      <c r="H54" s="71"/>
      <c r="I54" s="78"/>
    </row>
    <row r="55" spans="2:9" x14ac:dyDescent="0.25">
      <c r="B55" s="182"/>
      <c r="C55" s="15"/>
      <c r="D55" s="69"/>
      <c r="E55" s="246"/>
      <c r="F55" s="69"/>
      <c r="G55" s="70"/>
      <c r="H55" s="71"/>
      <c r="I55" s="78"/>
    </row>
    <row r="56" spans="2:9" x14ac:dyDescent="0.25">
      <c r="B56" s="182"/>
      <c r="C56" s="15"/>
      <c r="D56" s="69"/>
      <c r="E56" s="246"/>
      <c r="F56" s="69"/>
      <c r="G56" s="70"/>
      <c r="H56" s="71"/>
      <c r="I56" s="78"/>
    </row>
    <row r="57" spans="2:9" x14ac:dyDescent="0.25">
      <c r="B57" s="182"/>
      <c r="C57" s="15"/>
      <c r="D57" s="69"/>
      <c r="E57" s="246"/>
      <c r="F57" s="69"/>
      <c r="G57" s="70"/>
      <c r="H57" s="71"/>
      <c r="I57" s="78"/>
    </row>
    <row r="58" spans="2:9" x14ac:dyDescent="0.25">
      <c r="B58" s="182"/>
      <c r="C58" s="15"/>
      <c r="D58" s="69"/>
      <c r="E58" s="246"/>
      <c r="F58" s="69"/>
      <c r="G58" s="70"/>
      <c r="H58" s="71"/>
      <c r="I58" s="78"/>
    </row>
    <row r="59" spans="2:9" x14ac:dyDescent="0.25">
      <c r="B59" s="182"/>
      <c r="C59" s="15"/>
      <c r="D59" s="69"/>
      <c r="E59" s="246"/>
      <c r="F59" s="69"/>
      <c r="G59" s="70"/>
      <c r="H59" s="71"/>
      <c r="I59" s="78"/>
    </row>
    <row r="60" spans="2:9" x14ac:dyDescent="0.25">
      <c r="B60" s="182"/>
      <c r="C60" s="15"/>
      <c r="D60" s="69"/>
      <c r="E60" s="246"/>
      <c r="F60" s="69"/>
      <c r="G60" s="70"/>
      <c r="H60" s="71"/>
      <c r="I60" s="78"/>
    </row>
    <row r="61" spans="2:9" x14ac:dyDescent="0.25">
      <c r="B61" s="182"/>
      <c r="C61" s="15"/>
      <c r="D61" s="69"/>
      <c r="E61" s="246"/>
      <c r="F61" s="69"/>
      <c r="G61" s="70"/>
      <c r="H61" s="71"/>
      <c r="I61" s="78"/>
    </row>
    <row r="62" spans="2:9" x14ac:dyDescent="0.25">
      <c r="B62" s="182"/>
      <c r="C62" s="15"/>
      <c r="D62" s="69"/>
      <c r="E62" s="246"/>
      <c r="F62" s="69"/>
      <c r="G62" s="70"/>
      <c r="H62" s="71"/>
      <c r="I62" s="78"/>
    </row>
    <row r="63" spans="2:9" x14ac:dyDescent="0.25">
      <c r="B63" s="182"/>
      <c r="C63" s="15"/>
      <c r="D63" s="69"/>
      <c r="E63" s="246"/>
      <c r="F63" s="69"/>
      <c r="G63" s="70"/>
      <c r="H63" s="71"/>
      <c r="I63" s="78"/>
    </row>
    <row r="64" spans="2:9" x14ac:dyDescent="0.25">
      <c r="B64" s="182"/>
      <c r="C64" s="15"/>
      <c r="D64" s="69"/>
      <c r="E64" s="246"/>
      <c r="F64" s="69"/>
      <c r="G64" s="70"/>
      <c r="H64" s="71"/>
      <c r="I64" s="78"/>
    </row>
    <row r="65" spans="2:9" x14ac:dyDescent="0.25">
      <c r="B65" s="182"/>
      <c r="C65" s="15"/>
      <c r="D65" s="69"/>
      <c r="E65" s="246"/>
      <c r="F65" s="69"/>
      <c r="G65" s="70"/>
      <c r="H65" s="71"/>
      <c r="I65" s="78"/>
    </row>
    <row r="66" spans="2:9" x14ac:dyDescent="0.25">
      <c r="B66" s="182"/>
      <c r="C66" s="15"/>
      <c r="D66" s="69"/>
      <c r="E66" s="246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2"/>
      <c r="F67" s="150">
        <f t="shared" ref="F67" si="3">D67</f>
        <v>0</v>
      </c>
      <c r="G67" s="206"/>
      <c r="H67" s="75"/>
      <c r="I67" s="78">
        <f>I52-F67</f>
        <v>2197.1400000000003</v>
      </c>
    </row>
    <row r="68" spans="2:9" x14ac:dyDescent="0.25">
      <c r="C68" s="53">
        <f>SUM(C9:C67)</f>
        <v>24</v>
      </c>
      <c r="D68" s="124">
        <f>SUM(D9:D67)</f>
        <v>459.41999999999996</v>
      </c>
      <c r="E68" s="165"/>
      <c r="F68" s="124">
        <f>SUM(F9:F67)</f>
        <v>459.41999999999996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110</v>
      </c>
    </row>
    <row r="72" spans="2:9" ht="15.75" thickBot="1" x14ac:dyDescent="0.3">
      <c r="B72" s="125"/>
    </row>
    <row r="73" spans="2:9" ht="15.75" thickBot="1" x14ac:dyDescent="0.3">
      <c r="B73" s="91"/>
      <c r="C73" s="1201" t="s">
        <v>11</v>
      </c>
      <c r="D73" s="1202"/>
      <c r="E73" s="57">
        <f>E5-F68+E4+E6+E7</f>
        <v>2197.14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07"/>
      <c r="B5" s="1229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7"/>
      <c r="B6" s="122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1" t="s">
        <v>11</v>
      </c>
      <c r="D60" s="1202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G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99" t="s">
        <v>327</v>
      </c>
      <c r="B1" s="1199"/>
      <c r="C1" s="1199"/>
      <c r="D1" s="1199"/>
      <c r="E1" s="1199"/>
      <c r="F1" s="1199"/>
      <c r="G1" s="1199"/>
      <c r="H1" s="11">
        <v>1</v>
      </c>
      <c r="K1" s="1203" t="s">
        <v>327</v>
      </c>
      <c r="L1" s="1203"/>
      <c r="M1" s="1203"/>
      <c r="N1" s="1203"/>
      <c r="O1" s="1203"/>
      <c r="P1" s="1203"/>
      <c r="Q1" s="12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07"/>
      <c r="B4" s="1230" t="s">
        <v>91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  <c r="K4" s="1207"/>
      <c r="L4" s="1230" t="s">
        <v>91</v>
      </c>
      <c r="M4" s="128"/>
      <c r="N4" s="134"/>
      <c r="O4" s="124"/>
      <c r="P4" s="73"/>
      <c r="Q4" s="47">
        <f>P56</f>
        <v>0</v>
      </c>
      <c r="R4" s="7">
        <f>O4-Q4+O5+O6+O7+O8</f>
        <v>3050.42</v>
      </c>
    </row>
    <row r="5" spans="1:19" ht="15" customHeight="1" x14ac:dyDescent="0.25">
      <c r="A5" s="1207"/>
      <c r="B5" s="1231"/>
      <c r="C5" s="128">
        <v>75.5</v>
      </c>
      <c r="D5" s="232">
        <v>44887</v>
      </c>
      <c r="E5" s="78">
        <v>2997.33</v>
      </c>
      <c r="F5" s="62">
        <v>113</v>
      </c>
      <c r="K5" s="1207"/>
      <c r="L5" s="1231"/>
      <c r="M5" s="128">
        <v>73</v>
      </c>
      <c r="N5" s="232">
        <v>44900</v>
      </c>
      <c r="O5" s="78">
        <v>3050.42</v>
      </c>
      <c r="P5" s="62">
        <v>115</v>
      </c>
    </row>
    <row r="6" spans="1:19" ht="15" customHeight="1" x14ac:dyDescent="0.25">
      <c r="A6" s="550" t="s">
        <v>52</v>
      </c>
      <c r="B6" s="1231"/>
      <c r="C6" s="128"/>
      <c r="D6" s="232"/>
      <c r="E6" s="78"/>
      <c r="F6" s="62"/>
      <c r="K6" s="1077" t="s">
        <v>52</v>
      </c>
      <c r="L6" s="1231"/>
      <c r="M6" s="128"/>
      <c r="N6" s="232"/>
      <c r="O6" s="78"/>
      <c r="P6" s="62"/>
    </row>
    <row r="7" spans="1:19" ht="15.75" x14ac:dyDescent="0.25">
      <c r="A7" s="550"/>
      <c r="B7" s="573"/>
      <c r="C7" s="128"/>
      <c r="D7" s="232"/>
      <c r="E7" s="78"/>
      <c r="F7" s="62"/>
      <c r="K7" s="1077"/>
      <c r="L7" s="1078"/>
      <c r="M7" s="128"/>
      <c r="N7" s="232"/>
      <c r="O7" s="78"/>
      <c r="P7" s="62"/>
    </row>
    <row r="8" spans="1:19" ht="16.5" thickBot="1" x14ac:dyDescent="0.3">
      <c r="A8" s="550"/>
      <c r="B8" s="573"/>
      <c r="C8" s="128"/>
      <c r="D8" s="232"/>
      <c r="E8" s="78"/>
      <c r="F8" s="62"/>
      <c r="K8" s="1077"/>
      <c r="L8" s="1078"/>
      <c r="M8" s="128"/>
      <c r="N8" s="232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837">
        <f>E5+E4-F10+E6+E7+E8</f>
        <v>2997.33</v>
      </c>
      <c r="K10" s="55" t="s">
        <v>32</v>
      </c>
      <c r="L10" s="857">
        <f>P4+P5-M10+P6+P7+P8</f>
        <v>115</v>
      </c>
      <c r="M10" s="53"/>
      <c r="N10" s="69"/>
      <c r="O10" s="246"/>
      <c r="P10" s="69">
        <f t="shared" ref="P10:P55" si="1">N10</f>
        <v>0</v>
      </c>
      <c r="Q10" s="70"/>
      <c r="R10" s="71"/>
      <c r="S10" s="837">
        <f>O5+O4-P10+O6+O7+O8</f>
        <v>3050.42</v>
      </c>
    </row>
    <row r="11" spans="1:19" x14ac:dyDescent="0.25">
      <c r="A11" s="77"/>
      <c r="B11" s="182">
        <f t="shared" ref="B11:B54" si="2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  <c r="K11" s="77"/>
      <c r="L11" s="182">
        <f t="shared" ref="L11:L54" si="3">L10-M11</f>
        <v>115</v>
      </c>
      <c r="M11" s="53"/>
      <c r="N11" s="69"/>
      <c r="O11" s="246"/>
      <c r="P11" s="69">
        <f t="shared" si="1"/>
        <v>0</v>
      </c>
      <c r="Q11" s="70"/>
      <c r="R11" s="71"/>
      <c r="S11" s="78">
        <f>S10-P11</f>
        <v>3050.42</v>
      </c>
    </row>
    <row r="12" spans="1:19" x14ac:dyDescent="0.25">
      <c r="A12" s="12"/>
      <c r="B12" s="182">
        <f t="shared" si="2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4">I11-F12</f>
        <v>2997.33</v>
      </c>
      <c r="K12" s="12"/>
      <c r="L12" s="182">
        <f t="shared" si="3"/>
        <v>115</v>
      </c>
      <c r="M12" s="15"/>
      <c r="N12" s="69"/>
      <c r="O12" s="246"/>
      <c r="P12" s="69">
        <f t="shared" si="1"/>
        <v>0</v>
      </c>
      <c r="Q12" s="70"/>
      <c r="R12" s="71"/>
      <c r="S12" s="78">
        <f t="shared" ref="S12:S55" si="5">S11-P12</f>
        <v>3050.42</v>
      </c>
    </row>
    <row r="13" spans="1:19" x14ac:dyDescent="0.25">
      <c r="A13" s="55" t="s">
        <v>33</v>
      </c>
      <c r="B13" s="182">
        <f t="shared" si="2"/>
        <v>113</v>
      </c>
      <c r="C13" s="15"/>
      <c r="D13" s="705"/>
      <c r="E13" s="859"/>
      <c r="F13" s="705">
        <f t="shared" si="0"/>
        <v>0</v>
      </c>
      <c r="G13" s="703"/>
      <c r="H13" s="704"/>
      <c r="I13" s="860">
        <f t="shared" si="4"/>
        <v>2997.33</v>
      </c>
      <c r="K13" s="55" t="s">
        <v>33</v>
      </c>
      <c r="L13" s="182">
        <f t="shared" si="3"/>
        <v>115</v>
      </c>
      <c r="M13" s="15"/>
      <c r="N13" s="705"/>
      <c r="O13" s="859"/>
      <c r="P13" s="705">
        <f t="shared" si="1"/>
        <v>0</v>
      </c>
      <c r="Q13" s="703"/>
      <c r="R13" s="704"/>
      <c r="S13" s="860">
        <f t="shared" si="5"/>
        <v>3050.42</v>
      </c>
    </row>
    <row r="14" spans="1:19" x14ac:dyDescent="0.25">
      <c r="A14" s="77"/>
      <c r="B14" s="182">
        <f t="shared" si="2"/>
        <v>113</v>
      </c>
      <c r="C14" s="15"/>
      <c r="D14" s="705"/>
      <c r="E14" s="859"/>
      <c r="F14" s="705">
        <f t="shared" si="0"/>
        <v>0</v>
      </c>
      <c r="G14" s="703"/>
      <c r="H14" s="704"/>
      <c r="I14" s="860">
        <f t="shared" si="4"/>
        <v>2997.33</v>
      </c>
      <c r="K14" s="77"/>
      <c r="L14" s="182">
        <f t="shared" si="3"/>
        <v>115</v>
      </c>
      <c r="M14" s="15"/>
      <c r="N14" s="705"/>
      <c r="O14" s="859"/>
      <c r="P14" s="705">
        <f t="shared" si="1"/>
        <v>0</v>
      </c>
      <c r="Q14" s="703"/>
      <c r="R14" s="704"/>
      <c r="S14" s="860">
        <f t="shared" si="5"/>
        <v>3050.42</v>
      </c>
    </row>
    <row r="15" spans="1:19" x14ac:dyDescent="0.25">
      <c r="A15" s="12"/>
      <c r="B15" s="182">
        <f t="shared" si="2"/>
        <v>113</v>
      </c>
      <c r="C15" s="15"/>
      <c r="D15" s="705"/>
      <c r="E15" s="859"/>
      <c r="F15" s="705">
        <f t="shared" si="0"/>
        <v>0</v>
      </c>
      <c r="G15" s="703"/>
      <c r="H15" s="704"/>
      <c r="I15" s="860">
        <f t="shared" si="4"/>
        <v>2997.33</v>
      </c>
      <c r="K15" s="12"/>
      <c r="L15" s="182">
        <f t="shared" si="3"/>
        <v>115</v>
      </c>
      <c r="M15" s="15"/>
      <c r="N15" s="705"/>
      <c r="O15" s="859"/>
      <c r="P15" s="705">
        <f t="shared" si="1"/>
        <v>0</v>
      </c>
      <c r="Q15" s="703"/>
      <c r="R15" s="704"/>
      <c r="S15" s="860">
        <f t="shared" si="5"/>
        <v>3050.42</v>
      </c>
    </row>
    <row r="16" spans="1:19" x14ac:dyDescent="0.25">
      <c r="B16" s="182">
        <f t="shared" si="2"/>
        <v>113</v>
      </c>
      <c r="C16" s="15"/>
      <c r="D16" s="705"/>
      <c r="E16" s="859"/>
      <c r="F16" s="705">
        <f t="shared" si="0"/>
        <v>0</v>
      </c>
      <c r="G16" s="703"/>
      <c r="H16" s="704"/>
      <c r="I16" s="860">
        <f t="shared" si="4"/>
        <v>2997.33</v>
      </c>
      <c r="L16" s="182">
        <f t="shared" si="3"/>
        <v>115</v>
      </c>
      <c r="M16" s="15"/>
      <c r="N16" s="705"/>
      <c r="O16" s="859"/>
      <c r="P16" s="705">
        <f t="shared" si="1"/>
        <v>0</v>
      </c>
      <c r="Q16" s="703"/>
      <c r="R16" s="704"/>
      <c r="S16" s="860">
        <f t="shared" si="5"/>
        <v>3050.42</v>
      </c>
    </row>
    <row r="17" spans="2:19" x14ac:dyDescent="0.25">
      <c r="B17" s="182">
        <f t="shared" si="2"/>
        <v>113</v>
      </c>
      <c r="C17" s="15"/>
      <c r="D17" s="705"/>
      <c r="E17" s="859"/>
      <c r="F17" s="705">
        <f t="shared" si="0"/>
        <v>0</v>
      </c>
      <c r="G17" s="703"/>
      <c r="H17" s="704"/>
      <c r="I17" s="860">
        <f t="shared" si="4"/>
        <v>2997.33</v>
      </c>
      <c r="L17" s="182">
        <f t="shared" si="3"/>
        <v>115</v>
      </c>
      <c r="M17" s="15"/>
      <c r="N17" s="705"/>
      <c r="O17" s="859"/>
      <c r="P17" s="705">
        <f t="shared" si="1"/>
        <v>0</v>
      </c>
      <c r="Q17" s="703"/>
      <c r="R17" s="704"/>
      <c r="S17" s="860">
        <f t="shared" si="5"/>
        <v>3050.42</v>
      </c>
    </row>
    <row r="18" spans="2:19" x14ac:dyDescent="0.25">
      <c r="B18" s="182">
        <f t="shared" si="2"/>
        <v>113</v>
      </c>
      <c r="C18" s="15"/>
      <c r="D18" s="705"/>
      <c r="E18" s="859"/>
      <c r="F18" s="705">
        <f t="shared" si="0"/>
        <v>0</v>
      </c>
      <c r="G18" s="703"/>
      <c r="H18" s="704"/>
      <c r="I18" s="860">
        <f t="shared" si="4"/>
        <v>2997.33</v>
      </c>
      <c r="L18" s="182">
        <f t="shared" si="3"/>
        <v>115</v>
      </c>
      <c r="M18" s="15"/>
      <c r="N18" s="705"/>
      <c r="O18" s="859"/>
      <c r="P18" s="705">
        <f t="shared" si="1"/>
        <v>0</v>
      </c>
      <c r="Q18" s="703"/>
      <c r="R18" s="704"/>
      <c r="S18" s="860">
        <f t="shared" si="5"/>
        <v>3050.42</v>
      </c>
    </row>
    <row r="19" spans="2:19" x14ac:dyDescent="0.25">
      <c r="B19" s="182">
        <f t="shared" si="2"/>
        <v>113</v>
      </c>
      <c r="C19" s="53"/>
      <c r="D19" s="705"/>
      <c r="E19" s="859"/>
      <c r="F19" s="705">
        <f t="shared" si="0"/>
        <v>0</v>
      </c>
      <c r="G19" s="703"/>
      <c r="H19" s="704"/>
      <c r="I19" s="860">
        <f t="shared" si="4"/>
        <v>2997.33</v>
      </c>
      <c r="L19" s="182">
        <f t="shared" si="3"/>
        <v>115</v>
      </c>
      <c r="M19" s="53"/>
      <c r="N19" s="705"/>
      <c r="O19" s="859"/>
      <c r="P19" s="705">
        <f t="shared" si="1"/>
        <v>0</v>
      </c>
      <c r="Q19" s="703"/>
      <c r="R19" s="704"/>
      <c r="S19" s="860">
        <f t="shared" si="5"/>
        <v>3050.42</v>
      </c>
    </row>
    <row r="20" spans="2:19" x14ac:dyDescent="0.25">
      <c r="B20" s="182">
        <f t="shared" si="2"/>
        <v>113</v>
      </c>
      <c r="C20" s="15"/>
      <c r="D20" s="705"/>
      <c r="E20" s="859"/>
      <c r="F20" s="705">
        <f t="shared" si="0"/>
        <v>0</v>
      </c>
      <c r="G20" s="703"/>
      <c r="H20" s="704"/>
      <c r="I20" s="860">
        <f t="shared" si="4"/>
        <v>2997.33</v>
      </c>
      <c r="L20" s="182">
        <f t="shared" si="3"/>
        <v>115</v>
      </c>
      <c r="M20" s="15"/>
      <c r="N20" s="705"/>
      <c r="O20" s="859"/>
      <c r="P20" s="705">
        <f t="shared" si="1"/>
        <v>0</v>
      </c>
      <c r="Q20" s="703"/>
      <c r="R20" s="704"/>
      <c r="S20" s="860">
        <f t="shared" si="5"/>
        <v>3050.42</v>
      </c>
    </row>
    <row r="21" spans="2:19" x14ac:dyDescent="0.25">
      <c r="B21" s="182">
        <f t="shared" si="2"/>
        <v>113</v>
      </c>
      <c r="C21" s="15"/>
      <c r="D21" s="705"/>
      <c r="E21" s="859"/>
      <c r="F21" s="705">
        <f t="shared" si="0"/>
        <v>0</v>
      </c>
      <c r="G21" s="703"/>
      <c r="H21" s="704"/>
      <c r="I21" s="860">
        <f t="shared" si="4"/>
        <v>2997.33</v>
      </c>
      <c r="L21" s="182">
        <f t="shared" si="3"/>
        <v>115</v>
      </c>
      <c r="M21" s="15"/>
      <c r="N21" s="705"/>
      <c r="O21" s="859"/>
      <c r="P21" s="705">
        <f t="shared" si="1"/>
        <v>0</v>
      </c>
      <c r="Q21" s="703"/>
      <c r="R21" s="704"/>
      <c r="S21" s="860">
        <f t="shared" si="5"/>
        <v>3050.42</v>
      </c>
    </row>
    <row r="22" spans="2:19" x14ac:dyDescent="0.25">
      <c r="B22" s="182">
        <f t="shared" si="2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4"/>
        <v>2997.33</v>
      </c>
      <c r="L22" s="182">
        <f t="shared" si="3"/>
        <v>115</v>
      </c>
      <c r="M22" s="15"/>
      <c r="N22" s="69"/>
      <c r="O22" s="246"/>
      <c r="P22" s="69">
        <f t="shared" si="1"/>
        <v>0</v>
      </c>
      <c r="Q22" s="70"/>
      <c r="R22" s="71"/>
      <c r="S22" s="78">
        <f t="shared" si="5"/>
        <v>3050.42</v>
      </c>
    </row>
    <row r="23" spans="2:19" x14ac:dyDescent="0.25">
      <c r="B23" s="182">
        <f t="shared" si="2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4"/>
        <v>2997.33</v>
      </c>
      <c r="L23" s="182">
        <f t="shared" si="3"/>
        <v>115</v>
      </c>
      <c r="M23" s="15"/>
      <c r="N23" s="69"/>
      <c r="O23" s="246"/>
      <c r="P23" s="69">
        <f t="shared" si="1"/>
        <v>0</v>
      </c>
      <c r="Q23" s="70"/>
      <c r="R23" s="71"/>
      <c r="S23" s="78">
        <f t="shared" si="5"/>
        <v>3050.42</v>
      </c>
    </row>
    <row r="24" spans="2:19" x14ac:dyDescent="0.25">
      <c r="B24" s="182">
        <f t="shared" si="2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4"/>
        <v>2997.33</v>
      </c>
      <c r="L24" s="182">
        <f t="shared" si="3"/>
        <v>115</v>
      </c>
      <c r="M24" s="15"/>
      <c r="N24" s="69"/>
      <c r="O24" s="246"/>
      <c r="P24" s="69">
        <f t="shared" si="1"/>
        <v>0</v>
      </c>
      <c r="Q24" s="70"/>
      <c r="R24" s="71"/>
      <c r="S24" s="78">
        <f t="shared" si="5"/>
        <v>3050.42</v>
      </c>
    </row>
    <row r="25" spans="2:19" x14ac:dyDescent="0.25">
      <c r="B25" s="182">
        <f t="shared" si="2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4"/>
        <v>2997.33</v>
      </c>
      <c r="L25" s="182">
        <f t="shared" si="3"/>
        <v>115</v>
      </c>
      <c r="M25" s="15"/>
      <c r="N25" s="69"/>
      <c r="O25" s="246"/>
      <c r="P25" s="69">
        <f t="shared" si="1"/>
        <v>0</v>
      </c>
      <c r="Q25" s="70"/>
      <c r="R25" s="71"/>
      <c r="S25" s="78">
        <f t="shared" si="5"/>
        <v>3050.42</v>
      </c>
    </row>
    <row r="26" spans="2:19" x14ac:dyDescent="0.25">
      <c r="B26" s="182">
        <f t="shared" si="2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4"/>
        <v>2997.33</v>
      </c>
      <c r="L26" s="182">
        <f t="shared" si="3"/>
        <v>115</v>
      </c>
      <c r="M26" s="15"/>
      <c r="N26" s="69"/>
      <c r="O26" s="246"/>
      <c r="P26" s="69">
        <f t="shared" si="1"/>
        <v>0</v>
      </c>
      <c r="Q26" s="70"/>
      <c r="R26" s="71"/>
      <c r="S26" s="78">
        <f t="shared" si="5"/>
        <v>3050.42</v>
      </c>
    </row>
    <row r="27" spans="2:19" x14ac:dyDescent="0.25">
      <c r="B27" s="182">
        <f t="shared" si="2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4"/>
        <v>2997.33</v>
      </c>
      <c r="L27" s="182">
        <f t="shared" si="3"/>
        <v>115</v>
      </c>
      <c r="M27" s="15"/>
      <c r="N27" s="69"/>
      <c r="O27" s="246"/>
      <c r="P27" s="69">
        <f t="shared" si="1"/>
        <v>0</v>
      </c>
      <c r="Q27" s="70"/>
      <c r="R27" s="71"/>
      <c r="S27" s="78">
        <f t="shared" si="5"/>
        <v>3050.42</v>
      </c>
    </row>
    <row r="28" spans="2:19" x14ac:dyDescent="0.25">
      <c r="B28" s="182">
        <f t="shared" si="2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4"/>
        <v>2997.33</v>
      </c>
      <c r="L28" s="182">
        <f t="shared" si="3"/>
        <v>115</v>
      </c>
      <c r="M28" s="15"/>
      <c r="N28" s="69"/>
      <c r="O28" s="246"/>
      <c r="P28" s="69">
        <f t="shared" si="1"/>
        <v>0</v>
      </c>
      <c r="Q28" s="70"/>
      <c r="R28" s="71"/>
      <c r="S28" s="78">
        <f t="shared" si="5"/>
        <v>3050.42</v>
      </c>
    </row>
    <row r="29" spans="2:19" x14ac:dyDescent="0.25">
      <c r="B29" s="182">
        <f t="shared" si="2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4"/>
        <v>2997.33</v>
      </c>
      <c r="L29" s="182">
        <f t="shared" si="3"/>
        <v>115</v>
      </c>
      <c r="M29" s="15"/>
      <c r="N29" s="69"/>
      <c r="O29" s="246"/>
      <c r="P29" s="69">
        <f t="shared" si="1"/>
        <v>0</v>
      </c>
      <c r="Q29" s="70"/>
      <c r="R29" s="71"/>
      <c r="S29" s="78">
        <f t="shared" si="5"/>
        <v>3050.42</v>
      </c>
    </row>
    <row r="30" spans="2:19" x14ac:dyDescent="0.25">
      <c r="B30" s="182">
        <f t="shared" si="2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4"/>
        <v>2997.33</v>
      </c>
      <c r="L30" s="182">
        <f t="shared" si="3"/>
        <v>115</v>
      </c>
      <c r="M30" s="15"/>
      <c r="N30" s="69"/>
      <c r="O30" s="246"/>
      <c r="P30" s="69">
        <f t="shared" si="1"/>
        <v>0</v>
      </c>
      <c r="Q30" s="70"/>
      <c r="R30" s="71"/>
      <c r="S30" s="78">
        <f t="shared" si="5"/>
        <v>3050.42</v>
      </c>
    </row>
    <row r="31" spans="2:19" x14ac:dyDescent="0.25">
      <c r="B31" s="182">
        <f t="shared" si="2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4"/>
        <v>2997.33</v>
      </c>
      <c r="L31" s="182">
        <f t="shared" si="3"/>
        <v>115</v>
      </c>
      <c r="M31" s="15"/>
      <c r="N31" s="69"/>
      <c r="O31" s="246"/>
      <c r="P31" s="69">
        <f t="shared" si="1"/>
        <v>0</v>
      </c>
      <c r="Q31" s="70"/>
      <c r="R31" s="71"/>
      <c r="S31" s="78">
        <f t="shared" si="5"/>
        <v>3050.42</v>
      </c>
    </row>
    <row r="32" spans="2:19" x14ac:dyDescent="0.25">
      <c r="B32" s="182">
        <f t="shared" si="2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2997.33</v>
      </c>
      <c r="L32" s="182">
        <f t="shared" si="3"/>
        <v>115</v>
      </c>
      <c r="M32" s="15"/>
      <c r="N32" s="69"/>
      <c r="O32" s="246"/>
      <c r="P32" s="69">
        <f t="shared" si="1"/>
        <v>0</v>
      </c>
      <c r="Q32" s="70"/>
      <c r="R32" s="71"/>
      <c r="S32" s="78">
        <f t="shared" si="5"/>
        <v>3050.42</v>
      </c>
    </row>
    <row r="33" spans="2:19" x14ac:dyDescent="0.25">
      <c r="B33" s="182">
        <f t="shared" si="2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2997.33</v>
      </c>
      <c r="L33" s="182">
        <f t="shared" si="3"/>
        <v>115</v>
      </c>
      <c r="M33" s="15"/>
      <c r="N33" s="69"/>
      <c r="O33" s="246"/>
      <c r="P33" s="69">
        <f t="shared" si="1"/>
        <v>0</v>
      </c>
      <c r="Q33" s="70"/>
      <c r="R33" s="71"/>
      <c r="S33" s="78">
        <f t="shared" si="5"/>
        <v>3050.42</v>
      </c>
    </row>
    <row r="34" spans="2:19" x14ac:dyDescent="0.25">
      <c r="B34" s="182">
        <f t="shared" si="2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2997.33</v>
      </c>
      <c r="L34" s="182">
        <f t="shared" si="3"/>
        <v>115</v>
      </c>
      <c r="M34" s="15"/>
      <c r="N34" s="69"/>
      <c r="O34" s="246"/>
      <c r="P34" s="69">
        <f t="shared" si="1"/>
        <v>0</v>
      </c>
      <c r="Q34" s="70"/>
      <c r="R34" s="71"/>
      <c r="S34" s="78">
        <f t="shared" si="5"/>
        <v>3050.42</v>
      </c>
    </row>
    <row r="35" spans="2:19" x14ac:dyDescent="0.25">
      <c r="B35" s="182">
        <f t="shared" si="2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2997.33</v>
      </c>
      <c r="L35" s="182">
        <f t="shared" si="3"/>
        <v>115</v>
      </c>
      <c r="M35" s="15"/>
      <c r="N35" s="69"/>
      <c r="O35" s="246"/>
      <c r="P35" s="69">
        <f t="shared" si="1"/>
        <v>0</v>
      </c>
      <c r="Q35" s="70"/>
      <c r="R35" s="71"/>
      <c r="S35" s="78">
        <f t="shared" si="5"/>
        <v>3050.42</v>
      </c>
    </row>
    <row r="36" spans="2:19" x14ac:dyDescent="0.25">
      <c r="B36" s="182">
        <f t="shared" si="2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2997.33</v>
      </c>
      <c r="L36" s="182">
        <f t="shared" si="3"/>
        <v>115</v>
      </c>
      <c r="M36" s="15"/>
      <c r="N36" s="69"/>
      <c r="O36" s="246"/>
      <c r="P36" s="69">
        <f t="shared" si="1"/>
        <v>0</v>
      </c>
      <c r="Q36" s="70"/>
      <c r="R36" s="71"/>
      <c r="S36" s="78">
        <f t="shared" si="5"/>
        <v>3050.42</v>
      </c>
    </row>
    <row r="37" spans="2:19" x14ac:dyDescent="0.25">
      <c r="B37" s="182">
        <f t="shared" si="2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2997.33</v>
      </c>
      <c r="L37" s="182">
        <f t="shared" si="3"/>
        <v>115</v>
      </c>
      <c r="M37" s="15"/>
      <c r="N37" s="69"/>
      <c r="O37" s="246"/>
      <c r="P37" s="69">
        <f t="shared" si="1"/>
        <v>0</v>
      </c>
      <c r="Q37" s="70"/>
      <c r="R37" s="71"/>
      <c r="S37" s="78">
        <f t="shared" si="5"/>
        <v>3050.42</v>
      </c>
    </row>
    <row r="38" spans="2:19" x14ac:dyDescent="0.25">
      <c r="B38" s="182">
        <f t="shared" si="2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2997.33</v>
      </c>
      <c r="L38" s="182">
        <f t="shared" si="3"/>
        <v>115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5"/>
        <v>3050.42</v>
      </c>
    </row>
    <row r="39" spans="2:19" x14ac:dyDescent="0.25">
      <c r="B39" s="182">
        <f t="shared" si="2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2997.33</v>
      </c>
      <c r="L39" s="182">
        <f t="shared" si="3"/>
        <v>115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5"/>
        <v>3050.42</v>
      </c>
    </row>
    <row r="40" spans="2:19" x14ac:dyDescent="0.25">
      <c r="B40" s="182">
        <f t="shared" si="2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2997.33</v>
      </c>
      <c r="L40" s="182">
        <f t="shared" si="3"/>
        <v>115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5"/>
        <v>3050.42</v>
      </c>
    </row>
    <row r="41" spans="2:19" x14ac:dyDescent="0.25">
      <c r="B41" s="182">
        <f t="shared" si="2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2997.33</v>
      </c>
      <c r="L41" s="182">
        <f t="shared" si="3"/>
        <v>115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5"/>
        <v>3050.42</v>
      </c>
    </row>
    <row r="42" spans="2:19" x14ac:dyDescent="0.25">
      <c r="B42" s="182">
        <f t="shared" si="2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2997.33</v>
      </c>
      <c r="L42" s="182">
        <f t="shared" si="3"/>
        <v>115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5"/>
        <v>3050.42</v>
      </c>
    </row>
    <row r="43" spans="2:19" x14ac:dyDescent="0.25">
      <c r="B43" s="182">
        <f t="shared" si="2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2997.33</v>
      </c>
      <c r="L43" s="182">
        <f t="shared" si="3"/>
        <v>115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5"/>
        <v>3050.42</v>
      </c>
    </row>
    <row r="44" spans="2:19" x14ac:dyDescent="0.25">
      <c r="B44" s="182">
        <f t="shared" si="2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2997.33</v>
      </c>
      <c r="L44" s="182">
        <f t="shared" si="3"/>
        <v>115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5"/>
        <v>3050.42</v>
      </c>
    </row>
    <row r="45" spans="2:19" x14ac:dyDescent="0.25">
      <c r="B45" s="182">
        <f t="shared" si="2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2997.33</v>
      </c>
      <c r="L45" s="182">
        <f t="shared" si="3"/>
        <v>115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5"/>
        <v>3050.42</v>
      </c>
    </row>
    <row r="46" spans="2:19" x14ac:dyDescent="0.25">
      <c r="B46" s="182">
        <f t="shared" si="2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2997.33</v>
      </c>
      <c r="L46" s="182">
        <f t="shared" si="3"/>
        <v>115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5"/>
        <v>3050.42</v>
      </c>
    </row>
    <row r="47" spans="2:19" x14ac:dyDescent="0.25">
      <c r="B47" s="182">
        <f t="shared" si="2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2997.33</v>
      </c>
      <c r="L47" s="182">
        <f t="shared" si="3"/>
        <v>115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5"/>
        <v>3050.42</v>
      </c>
    </row>
    <row r="48" spans="2:19" x14ac:dyDescent="0.25">
      <c r="B48" s="182">
        <f t="shared" si="2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2997.33</v>
      </c>
      <c r="L48" s="182">
        <f t="shared" si="3"/>
        <v>115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5"/>
        <v>3050.42</v>
      </c>
    </row>
    <row r="49" spans="2:19" x14ac:dyDescent="0.25">
      <c r="B49" s="182">
        <f t="shared" si="2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2997.33</v>
      </c>
      <c r="L49" s="182">
        <f t="shared" si="3"/>
        <v>115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5"/>
        <v>3050.42</v>
      </c>
    </row>
    <row r="50" spans="2:19" x14ac:dyDescent="0.25">
      <c r="B50" s="182">
        <f t="shared" si="2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2997.33</v>
      </c>
      <c r="L50" s="182">
        <f t="shared" si="3"/>
        <v>115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5"/>
        <v>3050.42</v>
      </c>
    </row>
    <row r="51" spans="2:19" x14ac:dyDescent="0.25">
      <c r="B51" s="182">
        <f t="shared" si="2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2997.33</v>
      </c>
      <c r="L51" s="182">
        <f t="shared" si="3"/>
        <v>115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5"/>
        <v>3050.42</v>
      </c>
    </row>
    <row r="52" spans="2:19" x14ac:dyDescent="0.25">
      <c r="B52" s="182">
        <f t="shared" si="2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2997.33</v>
      </c>
      <c r="L52" s="182">
        <f t="shared" si="3"/>
        <v>115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5"/>
        <v>3050.42</v>
      </c>
    </row>
    <row r="53" spans="2:19" x14ac:dyDescent="0.25">
      <c r="B53" s="182">
        <f t="shared" si="2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4"/>
        <v>2997.33</v>
      </c>
      <c r="L53" s="182">
        <f t="shared" si="3"/>
        <v>115</v>
      </c>
      <c r="M53" s="15"/>
      <c r="N53" s="69"/>
      <c r="O53" s="246"/>
      <c r="P53" s="69">
        <f t="shared" si="1"/>
        <v>0</v>
      </c>
      <c r="Q53" s="70"/>
      <c r="R53" s="71"/>
      <c r="S53" s="78">
        <f t="shared" si="5"/>
        <v>3050.42</v>
      </c>
    </row>
    <row r="54" spans="2:19" x14ac:dyDescent="0.25">
      <c r="B54" s="182">
        <f t="shared" si="2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4"/>
        <v>2997.33</v>
      </c>
      <c r="L54" s="182">
        <f t="shared" si="3"/>
        <v>115</v>
      </c>
      <c r="M54" s="15"/>
      <c r="N54" s="69"/>
      <c r="O54" s="246"/>
      <c r="P54" s="69">
        <f t="shared" si="1"/>
        <v>0</v>
      </c>
      <c r="Q54" s="70"/>
      <c r="R54" s="71"/>
      <c r="S54" s="78">
        <f t="shared" si="5"/>
        <v>3050.42</v>
      </c>
    </row>
    <row r="55" spans="2:1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4"/>
        <v>2997.33</v>
      </c>
      <c r="L55" s="3"/>
      <c r="M55" s="36"/>
      <c r="N55" s="150"/>
      <c r="O55" s="252"/>
      <c r="P55" s="150">
        <f t="shared" si="1"/>
        <v>0</v>
      </c>
      <c r="Q55" s="206"/>
      <c r="R55" s="75"/>
      <c r="S55" s="78">
        <f t="shared" si="5"/>
        <v>3050.42</v>
      </c>
    </row>
    <row r="56" spans="2:1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  <c r="M56" s="53">
        <f>SUM(M10:M55)</f>
        <v>0</v>
      </c>
      <c r="N56" s="124">
        <f>SUM(N10:N55)</f>
        <v>0</v>
      </c>
      <c r="O56" s="165"/>
      <c r="P56" s="124">
        <f>SUM(P10:P55)</f>
        <v>0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113</v>
      </c>
      <c r="L59" s="91"/>
      <c r="N59" s="45" t="s">
        <v>4</v>
      </c>
      <c r="O59" s="56">
        <f>P5+P6+P7+P8-M56</f>
        <v>115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1" t="s">
        <v>11</v>
      </c>
      <c r="D61" s="1202"/>
      <c r="E61" s="57">
        <f>E5+E6+E7+E8-F56</f>
        <v>2997.33</v>
      </c>
      <c r="L61" s="91"/>
      <c r="M61" s="1201" t="s">
        <v>11</v>
      </c>
      <c r="N61" s="1202"/>
      <c r="O61" s="57">
        <f>O5+O6+O7+O8-P56</f>
        <v>3050.42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2"/>
      <c r="B5" s="123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3"/>
      <c r="B6" s="123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6" t="s">
        <v>11</v>
      </c>
      <c r="D56" s="123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9" t="s">
        <v>107</v>
      </c>
      <c r="B1" s="1199"/>
      <c r="C1" s="1199"/>
      <c r="D1" s="1199"/>
      <c r="E1" s="1199"/>
      <c r="F1" s="1199"/>
      <c r="G1" s="119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92</v>
      </c>
      <c r="B5" s="1200" t="s">
        <v>94</v>
      </c>
      <c r="C5" s="392">
        <v>57</v>
      </c>
      <c r="D5" s="134">
        <v>44712</v>
      </c>
      <c r="E5" s="672">
        <v>2060</v>
      </c>
      <c r="F5" s="675">
        <v>2</v>
      </c>
      <c r="G5" s="676"/>
      <c r="H5" s="677"/>
      <c r="I5" s="678" t="s">
        <v>142</v>
      </c>
      <c r="J5" s="677"/>
      <c r="K5" s="677"/>
      <c r="L5" s="677"/>
      <c r="M5" s="677"/>
    </row>
    <row r="6" spans="1:13" x14ac:dyDescent="0.25">
      <c r="A6" s="405" t="s">
        <v>93</v>
      </c>
      <c r="B6" s="1200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25"/>
      <c r="E13" s="626"/>
      <c r="F13" s="625">
        <f t="shared" ref="F13:F73" si="3">D13</f>
        <v>0</v>
      </c>
      <c r="G13" s="627"/>
      <c r="H13" s="62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25"/>
      <c r="E14" s="626"/>
      <c r="F14" s="625">
        <f t="shared" si="3"/>
        <v>0</v>
      </c>
      <c r="G14" s="627"/>
      <c r="H14" s="62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25"/>
      <c r="E15" s="626"/>
      <c r="F15" s="625">
        <f t="shared" si="3"/>
        <v>0</v>
      </c>
      <c r="G15" s="627"/>
      <c r="H15" s="62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25"/>
      <c r="E16" s="626"/>
      <c r="F16" s="625">
        <f t="shared" si="3"/>
        <v>0</v>
      </c>
      <c r="G16" s="627"/>
      <c r="H16" s="62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25"/>
      <c r="E17" s="626"/>
      <c r="F17" s="625">
        <f t="shared" si="3"/>
        <v>0</v>
      </c>
      <c r="G17" s="627"/>
      <c r="H17" s="62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8"/>
      <c r="B1" s="1188"/>
      <c r="C1" s="1188"/>
      <c r="D1" s="1188"/>
      <c r="E1" s="1188"/>
      <c r="F1" s="1188"/>
      <c r="G1" s="118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38"/>
      <c r="C4" s="17"/>
      <c r="E4" s="254"/>
      <c r="F4" s="240"/>
    </row>
    <row r="5" spans="1:10" ht="15" customHeight="1" x14ac:dyDescent="0.25">
      <c r="A5" s="1232"/>
      <c r="B5" s="123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3"/>
      <c r="B6" s="124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6" t="s">
        <v>11</v>
      </c>
      <c r="D55" s="123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selection activeCell="Q6" sqref="Q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9" t="s">
        <v>328</v>
      </c>
      <c r="B1" s="1199"/>
      <c r="C1" s="1199"/>
      <c r="D1" s="1199"/>
      <c r="E1" s="1199"/>
      <c r="F1" s="1199"/>
      <c r="G1" s="1199"/>
      <c r="H1" s="1199"/>
      <c r="I1" s="1199"/>
      <c r="J1" s="11">
        <v>1</v>
      </c>
      <c r="M1" s="1203" t="s">
        <v>340</v>
      </c>
      <c r="N1" s="1203"/>
      <c r="O1" s="1203"/>
      <c r="P1" s="1203"/>
      <c r="Q1" s="1203"/>
      <c r="R1" s="1203"/>
      <c r="S1" s="1203"/>
      <c r="T1" s="1203"/>
      <c r="U1" s="1203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65"/>
      <c r="P4" s="1066"/>
      <c r="Q4" s="740"/>
      <c r="R4" s="717"/>
      <c r="S4" s="73"/>
      <c r="U4" s="190"/>
      <c r="V4" s="73"/>
    </row>
    <row r="5" spans="1:23" ht="15" customHeight="1" x14ac:dyDescent="0.25">
      <c r="A5" s="1211" t="s">
        <v>175</v>
      </c>
      <c r="B5" s="1241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2492.4600000000005</v>
      </c>
      <c r="H5" s="7">
        <f>E4+E5-G5+E6+E7</f>
        <v>1534.5199999999995</v>
      </c>
      <c r="I5" s="190"/>
      <c r="J5" s="73"/>
      <c r="M5" s="1211" t="s">
        <v>175</v>
      </c>
      <c r="N5" s="1241" t="s">
        <v>43</v>
      </c>
      <c r="O5" s="1065">
        <v>44</v>
      </c>
      <c r="P5" s="1066">
        <v>44900</v>
      </c>
      <c r="Q5" s="740">
        <v>1502.74</v>
      </c>
      <c r="R5" s="717">
        <v>331</v>
      </c>
      <c r="S5" s="5">
        <f>R109</f>
        <v>0</v>
      </c>
      <c r="T5" s="7">
        <f>Q4+Q5-S5+Q6+Q7</f>
        <v>1502.74</v>
      </c>
      <c r="U5" s="190"/>
      <c r="V5" s="73"/>
    </row>
    <row r="6" spans="1:23" x14ac:dyDescent="0.25">
      <c r="A6" s="1211"/>
      <c r="B6" s="1241"/>
      <c r="C6" s="199">
        <v>45</v>
      </c>
      <c r="D6" s="232">
        <v>44884</v>
      </c>
      <c r="E6" s="78">
        <v>2002.14</v>
      </c>
      <c r="F6" s="62">
        <v>441</v>
      </c>
      <c r="I6" s="191"/>
      <c r="J6" s="73"/>
      <c r="M6" s="1211"/>
      <c r="N6" s="1241"/>
      <c r="O6" s="1065"/>
      <c r="P6" s="1040"/>
      <c r="Q6" s="860"/>
      <c r="R6" s="890"/>
      <c r="U6" s="191"/>
      <c r="V6" s="73"/>
    </row>
    <row r="7" spans="1:23" ht="15.75" thickBot="1" x14ac:dyDescent="0.3">
      <c r="B7" s="12"/>
      <c r="C7" s="971"/>
      <c r="D7" s="972" t="s">
        <v>317</v>
      </c>
      <c r="E7" s="105">
        <v>9.08</v>
      </c>
      <c r="F7" s="73">
        <v>2</v>
      </c>
      <c r="I7" s="191"/>
      <c r="J7" s="73"/>
      <c r="N7" s="12"/>
      <c r="O7" s="718"/>
      <c r="P7" s="1040"/>
      <c r="Q7" s="740"/>
      <c r="R7" s="717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253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255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256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257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258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261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264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265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266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268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271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273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276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277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278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282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275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285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286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287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288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288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289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291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294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296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298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300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305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307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308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309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310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314</v>
      </c>
      <c r="H42" s="71">
        <v>50</v>
      </c>
      <c r="I42" s="190">
        <f t="shared" si="6"/>
        <v>1534.5200000000018</v>
      </c>
      <c r="J42" s="841">
        <f t="shared" si="7"/>
        <v>338</v>
      </c>
      <c r="K42" s="851">
        <f t="shared" si="4"/>
        <v>4540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1502.74</v>
      </c>
      <c r="V42" s="717">
        <f t="shared" si="9"/>
        <v>331</v>
      </c>
      <c r="W42" s="739">
        <f t="shared" si="5"/>
        <v>0</v>
      </c>
    </row>
    <row r="43" spans="1:23" x14ac:dyDescent="0.25">
      <c r="B43" s="133">
        <v>4.54</v>
      </c>
      <c r="C43" s="15"/>
      <c r="D43" s="538">
        <f t="shared" si="0"/>
        <v>0</v>
      </c>
      <c r="E43" s="747"/>
      <c r="F43" s="538">
        <f t="shared" si="10"/>
        <v>0</v>
      </c>
      <c r="G43" s="330"/>
      <c r="H43" s="331"/>
      <c r="I43" s="1016">
        <f t="shared" si="6"/>
        <v>1534.5200000000018</v>
      </c>
      <c r="J43" s="756">
        <f t="shared" si="7"/>
        <v>338</v>
      </c>
      <c r="K43" s="60">
        <f t="shared" si="4"/>
        <v>0</v>
      </c>
      <c r="N43" s="133">
        <v>4.54</v>
      </c>
      <c r="O43" s="15"/>
      <c r="P43" s="538">
        <f t="shared" si="2"/>
        <v>0</v>
      </c>
      <c r="Q43" s="747"/>
      <c r="R43" s="538">
        <f t="shared" si="11"/>
        <v>0</v>
      </c>
      <c r="S43" s="330"/>
      <c r="T43" s="331"/>
      <c r="U43" s="1016">
        <f t="shared" si="8"/>
        <v>1502.74</v>
      </c>
      <c r="V43" s="756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/>
      <c r="D44" s="538">
        <f t="shared" si="0"/>
        <v>0</v>
      </c>
      <c r="E44" s="747"/>
      <c r="F44" s="538">
        <f t="shared" si="10"/>
        <v>0</v>
      </c>
      <c r="G44" s="330"/>
      <c r="H44" s="331"/>
      <c r="I44" s="1016">
        <f t="shared" si="6"/>
        <v>1534.5200000000018</v>
      </c>
      <c r="J44" s="756">
        <f t="shared" si="7"/>
        <v>338</v>
      </c>
      <c r="K44" s="60">
        <f t="shared" si="4"/>
        <v>0</v>
      </c>
      <c r="N44" s="133">
        <v>4.54</v>
      </c>
      <c r="O44" s="15"/>
      <c r="P44" s="538">
        <f t="shared" si="2"/>
        <v>0</v>
      </c>
      <c r="Q44" s="747"/>
      <c r="R44" s="538">
        <f t="shared" si="11"/>
        <v>0</v>
      </c>
      <c r="S44" s="330"/>
      <c r="T44" s="331"/>
      <c r="U44" s="1016">
        <f t="shared" si="8"/>
        <v>1502.74</v>
      </c>
      <c r="V44" s="756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/>
      <c r="D45" s="538">
        <f t="shared" si="0"/>
        <v>0</v>
      </c>
      <c r="E45" s="747"/>
      <c r="F45" s="538">
        <f t="shared" si="10"/>
        <v>0</v>
      </c>
      <c r="G45" s="330"/>
      <c r="H45" s="331"/>
      <c r="I45" s="1016">
        <f t="shared" si="6"/>
        <v>1534.5200000000018</v>
      </c>
      <c r="J45" s="756">
        <f t="shared" si="7"/>
        <v>338</v>
      </c>
      <c r="K45" s="60">
        <f t="shared" si="4"/>
        <v>0</v>
      </c>
      <c r="N45" s="133">
        <v>4.54</v>
      </c>
      <c r="O45" s="15"/>
      <c r="P45" s="538">
        <f t="shared" si="2"/>
        <v>0</v>
      </c>
      <c r="Q45" s="747"/>
      <c r="R45" s="538">
        <f t="shared" si="11"/>
        <v>0</v>
      </c>
      <c r="S45" s="330"/>
      <c r="T45" s="331"/>
      <c r="U45" s="1016">
        <f t="shared" si="8"/>
        <v>1502.74</v>
      </c>
      <c r="V45" s="756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/>
      <c r="D46" s="538">
        <f t="shared" si="0"/>
        <v>0</v>
      </c>
      <c r="E46" s="747"/>
      <c r="F46" s="538">
        <f t="shared" si="10"/>
        <v>0</v>
      </c>
      <c r="G46" s="330"/>
      <c r="H46" s="331"/>
      <c r="I46" s="1016">
        <f t="shared" si="6"/>
        <v>1534.5200000000018</v>
      </c>
      <c r="J46" s="756">
        <f t="shared" si="7"/>
        <v>338</v>
      </c>
      <c r="K46" s="60">
        <f t="shared" si="4"/>
        <v>0</v>
      </c>
      <c r="N46" s="133">
        <v>4.54</v>
      </c>
      <c r="O46" s="15"/>
      <c r="P46" s="538">
        <f t="shared" si="2"/>
        <v>0</v>
      </c>
      <c r="Q46" s="747"/>
      <c r="R46" s="538">
        <f t="shared" si="11"/>
        <v>0</v>
      </c>
      <c r="S46" s="330"/>
      <c r="T46" s="331"/>
      <c r="U46" s="1016">
        <f t="shared" si="8"/>
        <v>1502.74</v>
      </c>
      <c r="V46" s="756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/>
      <c r="D47" s="538">
        <f t="shared" si="0"/>
        <v>0</v>
      </c>
      <c r="E47" s="747"/>
      <c r="F47" s="538">
        <f t="shared" si="10"/>
        <v>0</v>
      </c>
      <c r="G47" s="330"/>
      <c r="H47" s="331"/>
      <c r="I47" s="1016">
        <f t="shared" si="6"/>
        <v>1534.5200000000018</v>
      </c>
      <c r="J47" s="756">
        <f t="shared" si="7"/>
        <v>338</v>
      </c>
      <c r="K47" s="60">
        <f t="shared" si="4"/>
        <v>0</v>
      </c>
      <c r="N47" s="133">
        <v>4.54</v>
      </c>
      <c r="O47" s="15"/>
      <c r="P47" s="538">
        <f t="shared" si="2"/>
        <v>0</v>
      </c>
      <c r="Q47" s="747"/>
      <c r="R47" s="538">
        <f t="shared" si="11"/>
        <v>0</v>
      </c>
      <c r="S47" s="330"/>
      <c r="T47" s="331"/>
      <c r="U47" s="1016">
        <f t="shared" si="8"/>
        <v>1502.74</v>
      </c>
      <c r="V47" s="756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/>
      <c r="D48" s="538">
        <f t="shared" si="0"/>
        <v>0</v>
      </c>
      <c r="E48" s="747"/>
      <c r="F48" s="538">
        <f t="shared" si="10"/>
        <v>0</v>
      </c>
      <c r="G48" s="330"/>
      <c r="H48" s="331"/>
      <c r="I48" s="1016">
        <f t="shared" si="6"/>
        <v>1534.5200000000018</v>
      </c>
      <c r="J48" s="756">
        <f t="shared" si="7"/>
        <v>338</v>
      </c>
      <c r="K48" s="60">
        <f t="shared" si="4"/>
        <v>0</v>
      </c>
      <c r="N48" s="133">
        <v>4.54</v>
      </c>
      <c r="O48" s="15"/>
      <c r="P48" s="538">
        <f t="shared" si="2"/>
        <v>0</v>
      </c>
      <c r="Q48" s="747"/>
      <c r="R48" s="538">
        <f t="shared" si="11"/>
        <v>0</v>
      </c>
      <c r="S48" s="330"/>
      <c r="T48" s="331"/>
      <c r="U48" s="1016">
        <f t="shared" si="8"/>
        <v>1502.74</v>
      </c>
      <c r="V48" s="756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/>
      <c r="D49" s="538">
        <f t="shared" si="0"/>
        <v>0</v>
      </c>
      <c r="E49" s="747"/>
      <c r="F49" s="538">
        <f t="shared" si="10"/>
        <v>0</v>
      </c>
      <c r="G49" s="330"/>
      <c r="H49" s="331"/>
      <c r="I49" s="1016">
        <f t="shared" si="6"/>
        <v>1534.5200000000018</v>
      </c>
      <c r="J49" s="756">
        <f t="shared" si="7"/>
        <v>338</v>
      </c>
      <c r="K49" s="60">
        <f t="shared" si="4"/>
        <v>0</v>
      </c>
      <c r="N49" s="133">
        <v>4.54</v>
      </c>
      <c r="O49" s="15"/>
      <c r="P49" s="538">
        <f t="shared" si="2"/>
        <v>0</v>
      </c>
      <c r="Q49" s="747"/>
      <c r="R49" s="538">
        <f t="shared" si="11"/>
        <v>0</v>
      </c>
      <c r="S49" s="330"/>
      <c r="T49" s="331"/>
      <c r="U49" s="1016">
        <f t="shared" si="8"/>
        <v>1502.74</v>
      </c>
      <c r="V49" s="756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/>
      <c r="D50" s="538">
        <f t="shared" si="0"/>
        <v>0</v>
      </c>
      <c r="E50" s="747"/>
      <c r="F50" s="538">
        <f t="shared" si="10"/>
        <v>0</v>
      </c>
      <c r="G50" s="330"/>
      <c r="H50" s="331"/>
      <c r="I50" s="1016">
        <f t="shared" si="6"/>
        <v>1534.5200000000018</v>
      </c>
      <c r="J50" s="756">
        <f t="shared" si="7"/>
        <v>338</v>
      </c>
      <c r="K50" s="60">
        <f t="shared" si="4"/>
        <v>0</v>
      </c>
      <c r="N50" s="133">
        <v>4.54</v>
      </c>
      <c r="O50" s="15"/>
      <c r="P50" s="538">
        <f t="shared" si="2"/>
        <v>0</v>
      </c>
      <c r="Q50" s="747"/>
      <c r="R50" s="538">
        <f t="shared" si="11"/>
        <v>0</v>
      </c>
      <c r="S50" s="330"/>
      <c r="T50" s="331"/>
      <c r="U50" s="1016">
        <f t="shared" si="8"/>
        <v>1502.74</v>
      </c>
      <c r="V50" s="756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/>
      <c r="D51" s="538">
        <f t="shared" si="0"/>
        <v>0</v>
      </c>
      <c r="E51" s="747"/>
      <c r="F51" s="538">
        <f t="shared" si="10"/>
        <v>0</v>
      </c>
      <c r="G51" s="330"/>
      <c r="H51" s="331"/>
      <c r="I51" s="1016">
        <f t="shared" si="6"/>
        <v>1534.5200000000018</v>
      </c>
      <c r="J51" s="756">
        <f t="shared" si="7"/>
        <v>338</v>
      </c>
      <c r="K51" s="60">
        <f t="shared" si="4"/>
        <v>0</v>
      </c>
      <c r="N51" s="133">
        <v>4.54</v>
      </c>
      <c r="O51" s="15"/>
      <c r="P51" s="538">
        <f t="shared" si="2"/>
        <v>0</v>
      </c>
      <c r="Q51" s="747"/>
      <c r="R51" s="538">
        <f t="shared" si="11"/>
        <v>0</v>
      </c>
      <c r="S51" s="330"/>
      <c r="T51" s="331"/>
      <c r="U51" s="1016">
        <f t="shared" si="8"/>
        <v>1502.74</v>
      </c>
      <c r="V51" s="756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538">
        <f t="shared" si="0"/>
        <v>0</v>
      </c>
      <c r="E52" s="747"/>
      <c r="F52" s="538">
        <f t="shared" si="10"/>
        <v>0</v>
      </c>
      <c r="G52" s="330"/>
      <c r="H52" s="331"/>
      <c r="I52" s="1016">
        <f t="shared" si="6"/>
        <v>1534.5200000000018</v>
      </c>
      <c r="J52" s="756">
        <f t="shared" si="7"/>
        <v>338</v>
      </c>
      <c r="K52" s="60">
        <f t="shared" si="4"/>
        <v>0</v>
      </c>
      <c r="N52" s="133">
        <v>4.54</v>
      </c>
      <c r="O52" s="15"/>
      <c r="P52" s="538">
        <f t="shared" si="2"/>
        <v>0</v>
      </c>
      <c r="Q52" s="747"/>
      <c r="R52" s="538">
        <f t="shared" si="11"/>
        <v>0</v>
      </c>
      <c r="S52" s="330"/>
      <c r="T52" s="331"/>
      <c r="U52" s="1016">
        <f t="shared" si="8"/>
        <v>1502.74</v>
      </c>
      <c r="V52" s="75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538">
        <f t="shared" si="0"/>
        <v>0</v>
      </c>
      <c r="E53" s="747"/>
      <c r="F53" s="538">
        <f t="shared" si="10"/>
        <v>0</v>
      </c>
      <c r="G53" s="330"/>
      <c r="H53" s="331"/>
      <c r="I53" s="1016">
        <f t="shared" si="6"/>
        <v>1534.5200000000018</v>
      </c>
      <c r="J53" s="756">
        <f t="shared" si="7"/>
        <v>338</v>
      </c>
      <c r="K53" s="60">
        <f t="shared" si="4"/>
        <v>0</v>
      </c>
      <c r="N53" s="133">
        <v>4.54</v>
      </c>
      <c r="O53" s="15"/>
      <c r="P53" s="538">
        <f t="shared" si="2"/>
        <v>0</v>
      </c>
      <c r="Q53" s="747"/>
      <c r="R53" s="538">
        <f t="shared" si="11"/>
        <v>0</v>
      </c>
      <c r="S53" s="330"/>
      <c r="T53" s="331"/>
      <c r="U53" s="1016">
        <f t="shared" si="8"/>
        <v>1502.74</v>
      </c>
      <c r="V53" s="756">
        <f t="shared" si="9"/>
        <v>331</v>
      </c>
      <c r="W53" s="60">
        <f t="shared" si="5"/>
        <v>0</v>
      </c>
    </row>
    <row r="54" spans="1:23" x14ac:dyDescent="0.25">
      <c r="A54" s="723" t="s">
        <v>218</v>
      </c>
      <c r="B54" s="918">
        <v>4.54</v>
      </c>
      <c r="C54" s="828"/>
      <c r="D54" s="1005">
        <f t="shared" si="0"/>
        <v>0</v>
      </c>
      <c r="E54" s="1004"/>
      <c r="F54" s="1005">
        <f t="shared" si="10"/>
        <v>0</v>
      </c>
      <c r="G54" s="1006"/>
      <c r="H54" s="1007"/>
      <c r="I54" s="1017">
        <f t="shared" si="6"/>
        <v>1534.5200000000018</v>
      </c>
      <c r="J54" s="1018">
        <f t="shared" si="7"/>
        <v>338</v>
      </c>
      <c r="K54" s="60">
        <f t="shared" si="4"/>
        <v>0</v>
      </c>
      <c r="M54" s="723" t="s">
        <v>218</v>
      </c>
      <c r="N54" s="918">
        <v>4.54</v>
      </c>
      <c r="O54" s="828"/>
      <c r="P54" s="1005">
        <f t="shared" si="2"/>
        <v>0</v>
      </c>
      <c r="Q54" s="1004"/>
      <c r="R54" s="1005">
        <f t="shared" si="11"/>
        <v>0</v>
      </c>
      <c r="S54" s="1006"/>
      <c r="T54" s="1007"/>
      <c r="U54" s="1017">
        <f t="shared" si="8"/>
        <v>1502.74</v>
      </c>
      <c r="V54" s="1018">
        <f t="shared" si="9"/>
        <v>331</v>
      </c>
      <c r="W54" s="60">
        <f t="shared" si="5"/>
        <v>0</v>
      </c>
    </row>
    <row r="55" spans="1:23" x14ac:dyDescent="0.25">
      <c r="A55" s="738"/>
      <c r="B55" s="918">
        <v>4.54</v>
      </c>
      <c r="C55" s="828"/>
      <c r="D55" s="1005">
        <f t="shared" si="0"/>
        <v>0</v>
      </c>
      <c r="E55" s="1004"/>
      <c r="F55" s="1005">
        <f t="shared" si="10"/>
        <v>0</v>
      </c>
      <c r="G55" s="1006"/>
      <c r="H55" s="1007"/>
      <c r="I55" s="1017">
        <f t="shared" si="6"/>
        <v>1534.5200000000018</v>
      </c>
      <c r="J55" s="1018">
        <f t="shared" si="7"/>
        <v>338</v>
      </c>
      <c r="K55" s="60">
        <f t="shared" si="4"/>
        <v>0</v>
      </c>
      <c r="M55" s="738"/>
      <c r="N55" s="918">
        <v>4.54</v>
      </c>
      <c r="O55" s="828"/>
      <c r="P55" s="1005">
        <f t="shared" si="2"/>
        <v>0</v>
      </c>
      <c r="Q55" s="1004"/>
      <c r="R55" s="1005">
        <f t="shared" si="11"/>
        <v>0</v>
      </c>
      <c r="S55" s="1006"/>
      <c r="T55" s="1007"/>
      <c r="U55" s="1017">
        <f t="shared" si="8"/>
        <v>1502.74</v>
      </c>
      <c r="V55" s="1018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538">
        <f t="shared" si="0"/>
        <v>0</v>
      </c>
      <c r="E56" s="747"/>
      <c r="F56" s="538">
        <f t="shared" si="10"/>
        <v>0</v>
      </c>
      <c r="G56" s="330"/>
      <c r="H56" s="331"/>
      <c r="I56" s="1016">
        <f t="shared" si="6"/>
        <v>1534.5200000000018</v>
      </c>
      <c r="J56" s="756">
        <f t="shared" si="7"/>
        <v>338</v>
      </c>
      <c r="K56" s="60">
        <f t="shared" si="4"/>
        <v>0</v>
      </c>
      <c r="N56" s="133">
        <v>4.54</v>
      </c>
      <c r="O56" s="15"/>
      <c r="P56" s="538">
        <f t="shared" si="2"/>
        <v>0</v>
      </c>
      <c r="Q56" s="747"/>
      <c r="R56" s="538">
        <f t="shared" si="11"/>
        <v>0</v>
      </c>
      <c r="S56" s="330"/>
      <c r="T56" s="331"/>
      <c r="U56" s="1016">
        <f t="shared" si="8"/>
        <v>1502.74</v>
      </c>
      <c r="V56" s="756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538">
        <f t="shared" si="0"/>
        <v>0</v>
      </c>
      <c r="E57" s="747"/>
      <c r="F57" s="538">
        <f t="shared" si="10"/>
        <v>0</v>
      </c>
      <c r="G57" s="330"/>
      <c r="H57" s="331"/>
      <c r="I57" s="1016">
        <f t="shared" si="6"/>
        <v>1534.5200000000018</v>
      </c>
      <c r="J57" s="756">
        <f t="shared" si="7"/>
        <v>338</v>
      </c>
      <c r="K57" s="60">
        <f t="shared" si="4"/>
        <v>0</v>
      </c>
      <c r="N57" s="133">
        <v>4.54</v>
      </c>
      <c r="O57" s="15"/>
      <c r="P57" s="538">
        <f t="shared" si="2"/>
        <v>0</v>
      </c>
      <c r="Q57" s="747"/>
      <c r="R57" s="538">
        <f t="shared" si="11"/>
        <v>0</v>
      </c>
      <c r="S57" s="330"/>
      <c r="T57" s="331"/>
      <c r="U57" s="1016">
        <f t="shared" si="8"/>
        <v>1502.74</v>
      </c>
      <c r="V57" s="756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538">
        <f t="shared" si="0"/>
        <v>0</v>
      </c>
      <c r="E58" s="747"/>
      <c r="F58" s="538">
        <f t="shared" si="10"/>
        <v>0</v>
      </c>
      <c r="G58" s="330"/>
      <c r="H58" s="331"/>
      <c r="I58" s="1016">
        <f t="shared" si="6"/>
        <v>1534.5200000000018</v>
      </c>
      <c r="J58" s="756">
        <f t="shared" si="7"/>
        <v>338</v>
      </c>
      <c r="K58" s="60">
        <f t="shared" si="4"/>
        <v>0</v>
      </c>
      <c r="N58" s="133">
        <v>4.54</v>
      </c>
      <c r="O58" s="15"/>
      <c r="P58" s="538">
        <f t="shared" si="2"/>
        <v>0</v>
      </c>
      <c r="Q58" s="747"/>
      <c r="R58" s="538">
        <f t="shared" si="11"/>
        <v>0</v>
      </c>
      <c r="S58" s="330"/>
      <c r="T58" s="331"/>
      <c r="U58" s="1016">
        <f t="shared" si="8"/>
        <v>1502.74</v>
      </c>
      <c r="V58" s="756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538">
        <f t="shared" si="0"/>
        <v>0</v>
      </c>
      <c r="E59" s="747"/>
      <c r="F59" s="538">
        <f t="shared" si="10"/>
        <v>0</v>
      </c>
      <c r="G59" s="330"/>
      <c r="H59" s="331"/>
      <c r="I59" s="1016">
        <f t="shared" si="6"/>
        <v>1534.5200000000018</v>
      </c>
      <c r="J59" s="756">
        <f t="shared" si="7"/>
        <v>338</v>
      </c>
      <c r="K59" s="60">
        <f t="shared" si="4"/>
        <v>0</v>
      </c>
      <c r="N59" s="133">
        <v>4.54</v>
      </c>
      <c r="O59" s="15"/>
      <c r="P59" s="538">
        <f t="shared" si="2"/>
        <v>0</v>
      </c>
      <c r="Q59" s="747"/>
      <c r="R59" s="538">
        <f t="shared" si="11"/>
        <v>0</v>
      </c>
      <c r="S59" s="330"/>
      <c r="T59" s="331"/>
      <c r="U59" s="1016">
        <f t="shared" si="8"/>
        <v>1502.74</v>
      </c>
      <c r="V59" s="756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538">
        <f t="shared" si="0"/>
        <v>0</v>
      </c>
      <c r="E60" s="747"/>
      <c r="F60" s="538">
        <f t="shared" si="10"/>
        <v>0</v>
      </c>
      <c r="G60" s="330"/>
      <c r="H60" s="331"/>
      <c r="I60" s="1016">
        <f t="shared" si="6"/>
        <v>1534.5200000000018</v>
      </c>
      <c r="J60" s="756">
        <f t="shared" si="7"/>
        <v>338</v>
      </c>
      <c r="K60" s="60">
        <f t="shared" si="4"/>
        <v>0</v>
      </c>
      <c r="N60" s="133">
        <v>4.54</v>
      </c>
      <c r="O60" s="15"/>
      <c r="P60" s="538">
        <f t="shared" si="2"/>
        <v>0</v>
      </c>
      <c r="Q60" s="747"/>
      <c r="R60" s="538">
        <f t="shared" si="11"/>
        <v>0</v>
      </c>
      <c r="S60" s="330"/>
      <c r="T60" s="331"/>
      <c r="U60" s="1016">
        <f t="shared" si="8"/>
        <v>1502.74</v>
      </c>
      <c r="V60" s="756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538">
        <f t="shared" si="0"/>
        <v>0</v>
      </c>
      <c r="E61" s="747"/>
      <c r="F61" s="538">
        <f t="shared" si="10"/>
        <v>0</v>
      </c>
      <c r="G61" s="330"/>
      <c r="H61" s="331"/>
      <c r="I61" s="1016">
        <f t="shared" si="6"/>
        <v>1534.5200000000018</v>
      </c>
      <c r="J61" s="756">
        <f t="shared" si="7"/>
        <v>338</v>
      </c>
      <c r="K61" s="60">
        <f t="shared" si="4"/>
        <v>0</v>
      </c>
      <c r="N61" s="133">
        <v>4.54</v>
      </c>
      <c r="O61" s="15"/>
      <c r="P61" s="538">
        <f t="shared" si="2"/>
        <v>0</v>
      </c>
      <c r="Q61" s="747"/>
      <c r="R61" s="538">
        <f t="shared" si="11"/>
        <v>0</v>
      </c>
      <c r="S61" s="330"/>
      <c r="T61" s="331"/>
      <c r="U61" s="1016">
        <f t="shared" si="8"/>
        <v>1502.74</v>
      </c>
      <c r="V61" s="756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538">
        <f t="shared" si="0"/>
        <v>0</v>
      </c>
      <c r="E62" s="747"/>
      <c r="F62" s="538">
        <f t="shared" si="10"/>
        <v>0</v>
      </c>
      <c r="G62" s="330"/>
      <c r="H62" s="331"/>
      <c r="I62" s="1016">
        <f t="shared" si="6"/>
        <v>1534.5200000000018</v>
      </c>
      <c r="J62" s="756">
        <f t="shared" si="7"/>
        <v>338</v>
      </c>
      <c r="K62" s="60">
        <f t="shared" si="4"/>
        <v>0</v>
      </c>
      <c r="N62" s="133">
        <v>4.54</v>
      </c>
      <c r="O62" s="15"/>
      <c r="P62" s="538">
        <f t="shared" si="2"/>
        <v>0</v>
      </c>
      <c r="Q62" s="747"/>
      <c r="R62" s="538">
        <f t="shared" si="11"/>
        <v>0</v>
      </c>
      <c r="S62" s="330"/>
      <c r="T62" s="331"/>
      <c r="U62" s="1016">
        <f t="shared" si="8"/>
        <v>1502.74</v>
      </c>
      <c r="V62" s="756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538">
        <f t="shared" si="0"/>
        <v>0</v>
      </c>
      <c r="E63" s="747"/>
      <c r="F63" s="538">
        <f t="shared" si="10"/>
        <v>0</v>
      </c>
      <c r="G63" s="330"/>
      <c r="H63" s="331"/>
      <c r="I63" s="1016">
        <f t="shared" si="6"/>
        <v>1534.5200000000018</v>
      </c>
      <c r="J63" s="756">
        <f t="shared" si="7"/>
        <v>338</v>
      </c>
      <c r="K63" s="60">
        <f t="shared" si="4"/>
        <v>0</v>
      </c>
      <c r="N63" s="133">
        <v>4.54</v>
      </c>
      <c r="O63" s="15"/>
      <c r="P63" s="538">
        <f t="shared" si="2"/>
        <v>0</v>
      </c>
      <c r="Q63" s="747"/>
      <c r="R63" s="538">
        <f t="shared" si="11"/>
        <v>0</v>
      </c>
      <c r="S63" s="330"/>
      <c r="T63" s="331"/>
      <c r="U63" s="1016">
        <f t="shared" si="8"/>
        <v>1502.74</v>
      </c>
      <c r="V63" s="756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538">
        <f t="shared" si="0"/>
        <v>0</v>
      </c>
      <c r="E64" s="747"/>
      <c r="F64" s="538">
        <f t="shared" si="10"/>
        <v>0</v>
      </c>
      <c r="G64" s="330"/>
      <c r="H64" s="331"/>
      <c r="I64" s="1016">
        <f t="shared" si="6"/>
        <v>1534.5200000000018</v>
      </c>
      <c r="J64" s="756">
        <f t="shared" si="7"/>
        <v>338</v>
      </c>
      <c r="K64" s="60">
        <f t="shared" si="4"/>
        <v>0</v>
      </c>
      <c r="N64" s="133">
        <v>4.54</v>
      </c>
      <c r="O64" s="15"/>
      <c r="P64" s="538">
        <f t="shared" si="2"/>
        <v>0</v>
      </c>
      <c r="Q64" s="747"/>
      <c r="R64" s="538">
        <f t="shared" si="11"/>
        <v>0</v>
      </c>
      <c r="S64" s="330"/>
      <c r="T64" s="331"/>
      <c r="U64" s="1016">
        <f t="shared" si="8"/>
        <v>1502.74</v>
      </c>
      <c r="V64" s="756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538">
        <f t="shared" si="0"/>
        <v>0</v>
      </c>
      <c r="E65" s="747"/>
      <c r="F65" s="538">
        <f t="shared" si="10"/>
        <v>0</v>
      </c>
      <c r="G65" s="330"/>
      <c r="H65" s="331"/>
      <c r="I65" s="1016">
        <f t="shared" si="6"/>
        <v>1534.5200000000018</v>
      </c>
      <c r="J65" s="756">
        <f t="shared" si="7"/>
        <v>338</v>
      </c>
      <c r="K65" s="60">
        <f t="shared" si="4"/>
        <v>0</v>
      </c>
      <c r="N65" s="133">
        <v>4.54</v>
      </c>
      <c r="O65" s="15"/>
      <c r="P65" s="538">
        <f t="shared" si="2"/>
        <v>0</v>
      </c>
      <c r="Q65" s="747"/>
      <c r="R65" s="538">
        <f t="shared" si="11"/>
        <v>0</v>
      </c>
      <c r="S65" s="330"/>
      <c r="T65" s="331"/>
      <c r="U65" s="1016">
        <f t="shared" si="8"/>
        <v>1502.74</v>
      </c>
      <c r="V65" s="756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538">
        <f t="shared" si="0"/>
        <v>0</v>
      </c>
      <c r="E66" s="747"/>
      <c r="F66" s="538">
        <f t="shared" si="10"/>
        <v>0</v>
      </c>
      <c r="G66" s="330"/>
      <c r="H66" s="331"/>
      <c r="I66" s="1016">
        <f t="shared" si="6"/>
        <v>1534.5200000000018</v>
      </c>
      <c r="J66" s="756">
        <f t="shared" si="7"/>
        <v>338</v>
      </c>
      <c r="K66" s="60">
        <f t="shared" si="4"/>
        <v>0</v>
      </c>
      <c r="N66" s="133">
        <v>4.54</v>
      </c>
      <c r="O66" s="15"/>
      <c r="P66" s="538">
        <f t="shared" si="2"/>
        <v>0</v>
      </c>
      <c r="Q66" s="747"/>
      <c r="R66" s="538">
        <f t="shared" si="11"/>
        <v>0</v>
      </c>
      <c r="S66" s="330"/>
      <c r="T66" s="331"/>
      <c r="U66" s="1016">
        <f t="shared" si="8"/>
        <v>1502.74</v>
      </c>
      <c r="V66" s="756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538">
        <f t="shared" si="0"/>
        <v>0</v>
      </c>
      <c r="E67" s="747"/>
      <c r="F67" s="538">
        <f t="shared" si="10"/>
        <v>0</v>
      </c>
      <c r="G67" s="330"/>
      <c r="H67" s="331"/>
      <c r="I67" s="1016">
        <f t="shared" si="6"/>
        <v>1534.5200000000018</v>
      </c>
      <c r="J67" s="756">
        <f t="shared" si="7"/>
        <v>338</v>
      </c>
      <c r="K67" s="60">
        <f t="shared" si="4"/>
        <v>0</v>
      </c>
      <c r="N67" s="133">
        <v>4.54</v>
      </c>
      <c r="O67" s="15"/>
      <c r="P67" s="538">
        <f t="shared" si="2"/>
        <v>0</v>
      </c>
      <c r="Q67" s="747"/>
      <c r="R67" s="538">
        <f t="shared" si="11"/>
        <v>0</v>
      </c>
      <c r="S67" s="330"/>
      <c r="T67" s="331"/>
      <c r="U67" s="1016">
        <f t="shared" si="8"/>
        <v>1502.74</v>
      </c>
      <c r="V67" s="756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538">
        <f t="shared" si="0"/>
        <v>0</v>
      </c>
      <c r="E68" s="747"/>
      <c r="F68" s="538">
        <f t="shared" si="10"/>
        <v>0</v>
      </c>
      <c r="G68" s="330"/>
      <c r="H68" s="331"/>
      <c r="I68" s="1016">
        <f t="shared" si="6"/>
        <v>1534.5200000000018</v>
      </c>
      <c r="J68" s="756">
        <f t="shared" si="7"/>
        <v>338</v>
      </c>
      <c r="K68" s="60">
        <f t="shared" si="4"/>
        <v>0</v>
      </c>
      <c r="N68" s="133">
        <v>4.54</v>
      </c>
      <c r="O68" s="15"/>
      <c r="P68" s="538">
        <f t="shared" si="2"/>
        <v>0</v>
      </c>
      <c r="Q68" s="747"/>
      <c r="R68" s="538">
        <f t="shared" si="11"/>
        <v>0</v>
      </c>
      <c r="S68" s="330"/>
      <c r="T68" s="331"/>
      <c r="U68" s="1016">
        <f t="shared" si="8"/>
        <v>1502.74</v>
      </c>
      <c r="V68" s="756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538">
        <f t="shared" si="0"/>
        <v>0</v>
      </c>
      <c r="E69" s="747"/>
      <c r="F69" s="538">
        <f t="shared" si="10"/>
        <v>0</v>
      </c>
      <c r="G69" s="330"/>
      <c r="H69" s="331"/>
      <c r="I69" s="1016">
        <f t="shared" si="6"/>
        <v>1534.5200000000018</v>
      </c>
      <c r="J69" s="756">
        <f t="shared" si="7"/>
        <v>338</v>
      </c>
      <c r="K69" s="60">
        <f t="shared" si="4"/>
        <v>0</v>
      </c>
      <c r="N69" s="133">
        <v>4.54</v>
      </c>
      <c r="O69" s="15"/>
      <c r="P69" s="538">
        <f t="shared" si="2"/>
        <v>0</v>
      </c>
      <c r="Q69" s="747"/>
      <c r="R69" s="538">
        <f t="shared" si="11"/>
        <v>0</v>
      </c>
      <c r="S69" s="330"/>
      <c r="T69" s="331"/>
      <c r="U69" s="1016">
        <f t="shared" si="8"/>
        <v>1502.74</v>
      </c>
      <c r="V69" s="756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38">
        <f t="shared" si="0"/>
        <v>0</v>
      </c>
      <c r="E70" s="747"/>
      <c r="F70" s="538">
        <f t="shared" si="10"/>
        <v>0</v>
      </c>
      <c r="G70" s="330"/>
      <c r="H70" s="331"/>
      <c r="I70" s="1016">
        <f t="shared" si="6"/>
        <v>1534.5200000000018</v>
      </c>
      <c r="J70" s="756">
        <f t="shared" si="7"/>
        <v>338</v>
      </c>
      <c r="K70" s="60">
        <f t="shared" si="4"/>
        <v>0</v>
      </c>
      <c r="N70" s="133">
        <v>4.54</v>
      </c>
      <c r="O70" s="15"/>
      <c r="P70" s="538">
        <f t="shared" si="2"/>
        <v>0</v>
      </c>
      <c r="Q70" s="747"/>
      <c r="R70" s="538">
        <f t="shared" si="11"/>
        <v>0</v>
      </c>
      <c r="S70" s="330"/>
      <c r="T70" s="331"/>
      <c r="U70" s="1016">
        <f t="shared" si="8"/>
        <v>1502.74</v>
      </c>
      <c r="V70" s="756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38">
        <f t="shared" si="0"/>
        <v>0</v>
      </c>
      <c r="E71" s="747"/>
      <c r="F71" s="538">
        <f t="shared" si="10"/>
        <v>0</v>
      </c>
      <c r="G71" s="330"/>
      <c r="H71" s="331"/>
      <c r="I71" s="1016">
        <f t="shared" si="6"/>
        <v>1534.5200000000018</v>
      </c>
      <c r="J71" s="756">
        <f t="shared" si="7"/>
        <v>338</v>
      </c>
      <c r="K71" s="60">
        <f t="shared" si="4"/>
        <v>0</v>
      </c>
      <c r="N71" s="133">
        <v>4.54</v>
      </c>
      <c r="O71" s="15"/>
      <c r="P71" s="538">
        <f t="shared" si="2"/>
        <v>0</v>
      </c>
      <c r="Q71" s="747"/>
      <c r="R71" s="538">
        <f t="shared" si="11"/>
        <v>0</v>
      </c>
      <c r="S71" s="330"/>
      <c r="T71" s="331"/>
      <c r="U71" s="1016">
        <f t="shared" si="8"/>
        <v>1502.74</v>
      </c>
      <c r="V71" s="756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38">
        <f t="shared" si="0"/>
        <v>0</v>
      </c>
      <c r="E72" s="747"/>
      <c r="F72" s="538">
        <f t="shared" si="10"/>
        <v>0</v>
      </c>
      <c r="G72" s="330"/>
      <c r="H72" s="331"/>
      <c r="I72" s="1016">
        <f t="shared" si="6"/>
        <v>1534.5200000000018</v>
      </c>
      <c r="J72" s="756">
        <f t="shared" si="7"/>
        <v>338</v>
      </c>
      <c r="K72" s="60">
        <f t="shared" si="4"/>
        <v>0</v>
      </c>
      <c r="N72" s="133">
        <v>4.54</v>
      </c>
      <c r="O72" s="15"/>
      <c r="P72" s="538">
        <f t="shared" si="2"/>
        <v>0</v>
      </c>
      <c r="Q72" s="747"/>
      <c r="R72" s="538">
        <f t="shared" si="11"/>
        <v>0</v>
      </c>
      <c r="S72" s="330"/>
      <c r="T72" s="331"/>
      <c r="U72" s="1016">
        <f t="shared" si="8"/>
        <v>1502.74</v>
      </c>
      <c r="V72" s="756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38">
        <f t="shared" ref="D73:D108" si="12">C73*B73</f>
        <v>0</v>
      </c>
      <c r="E73" s="747"/>
      <c r="F73" s="538">
        <f t="shared" si="10"/>
        <v>0</v>
      </c>
      <c r="G73" s="330"/>
      <c r="H73" s="331"/>
      <c r="I73" s="1016">
        <f t="shared" si="6"/>
        <v>1534.5200000000018</v>
      </c>
      <c r="J73" s="756">
        <f t="shared" si="7"/>
        <v>338</v>
      </c>
      <c r="K73" s="60">
        <f t="shared" si="4"/>
        <v>0</v>
      </c>
      <c r="N73" s="133">
        <v>4.54</v>
      </c>
      <c r="O73" s="15"/>
      <c r="P73" s="538">
        <f t="shared" ref="P73:P108" si="13">O73*N73</f>
        <v>0</v>
      </c>
      <c r="Q73" s="747"/>
      <c r="R73" s="538">
        <f t="shared" si="11"/>
        <v>0</v>
      </c>
      <c r="S73" s="330"/>
      <c r="T73" s="331"/>
      <c r="U73" s="1016">
        <f t="shared" si="8"/>
        <v>1502.74</v>
      </c>
      <c r="V73" s="756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38">
        <f t="shared" si="12"/>
        <v>0</v>
      </c>
      <c r="E74" s="747"/>
      <c r="F74" s="538">
        <f t="shared" si="10"/>
        <v>0</v>
      </c>
      <c r="G74" s="330"/>
      <c r="H74" s="331"/>
      <c r="I74" s="1016">
        <f t="shared" si="6"/>
        <v>1534.5200000000018</v>
      </c>
      <c r="J74" s="756">
        <f t="shared" si="7"/>
        <v>338</v>
      </c>
      <c r="K74" s="60">
        <f t="shared" si="4"/>
        <v>0</v>
      </c>
      <c r="N74" s="133">
        <v>4.54</v>
      </c>
      <c r="O74" s="15"/>
      <c r="P74" s="538">
        <f t="shared" si="13"/>
        <v>0</v>
      </c>
      <c r="Q74" s="747"/>
      <c r="R74" s="538">
        <f t="shared" si="11"/>
        <v>0</v>
      </c>
      <c r="S74" s="330"/>
      <c r="T74" s="331"/>
      <c r="U74" s="1016">
        <f t="shared" si="8"/>
        <v>1502.74</v>
      </c>
      <c r="V74" s="756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38">
        <f t="shared" si="12"/>
        <v>0</v>
      </c>
      <c r="E75" s="747"/>
      <c r="F75" s="538">
        <f t="shared" si="10"/>
        <v>0</v>
      </c>
      <c r="G75" s="330"/>
      <c r="H75" s="331"/>
      <c r="I75" s="1016">
        <f t="shared" ref="I75:I107" si="14">I74-F75</f>
        <v>1534.5200000000018</v>
      </c>
      <c r="J75" s="756">
        <f t="shared" ref="J75:J106" si="15">J74-C75</f>
        <v>338</v>
      </c>
      <c r="K75" s="60">
        <f t="shared" si="4"/>
        <v>0</v>
      </c>
      <c r="N75" s="133">
        <v>4.54</v>
      </c>
      <c r="O75" s="15"/>
      <c r="P75" s="538">
        <f t="shared" si="13"/>
        <v>0</v>
      </c>
      <c r="Q75" s="747"/>
      <c r="R75" s="538">
        <f t="shared" si="11"/>
        <v>0</v>
      </c>
      <c r="S75" s="330"/>
      <c r="T75" s="331"/>
      <c r="U75" s="1016">
        <f t="shared" ref="U75:U107" si="16">U74-R75</f>
        <v>1502.74</v>
      </c>
      <c r="V75" s="756">
        <f t="shared" ref="V75:V106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38">
        <f t="shared" si="12"/>
        <v>0</v>
      </c>
      <c r="E76" s="747"/>
      <c r="F76" s="538">
        <f t="shared" si="10"/>
        <v>0</v>
      </c>
      <c r="G76" s="330"/>
      <c r="H76" s="331"/>
      <c r="I76" s="1016">
        <f t="shared" si="14"/>
        <v>1534.5200000000018</v>
      </c>
      <c r="J76" s="756">
        <f t="shared" si="15"/>
        <v>338</v>
      </c>
      <c r="K76" s="60">
        <f t="shared" si="4"/>
        <v>0</v>
      </c>
      <c r="N76" s="133">
        <v>4.54</v>
      </c>
      <c r="O76" s="15"/>
      <c r="P76" s="538">
        <f t="shared" si="13"/>
        <v>0</v>
      </c>
      <c r="Q76" s="747"/>
      <c r="R76" s="538">
        <f t="shared" si="11"/>
        <v>0</v>
      </c>
      <c r="S76" s="330"/>
      <c r="T76" s="331"/>
      <c r="U76" s="1016">
        <f t="shared" si="16"/>
        <v>1502.74</v>
      </c>
      <c r="V76" s="756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38">
        <f t="shared" si="12"/>
        <v>0</v>
      </c>
      <c r="E77" s="747"/>
      <c r="F77" s="538">
        <f t="shared" si="10"/>
        <v>0</v>
      </c>
      <c r="G77" s="330"/>
      <c r="H77" s="331"/>
      <c r="I77" s="1016">
        <f t="shared" si="14"/>
        <v>1534.5200000000018</v>
      </c>
      <c r="J77" s="756">
        <f t="shared" si="15"/>
        <v>338</v>
      </c>
      <c r="K77" s="60">
        <f t="shared" si="4"/>
        <v>0</v>
      </c>
      <c r="N77" s="133">
        <v>4.54</v>
      </c>
      <c r="O77" s="15"/>
      <c r="P77" s="538">
        <f t="shared" si="13"/>
        <v>0</v>
      </c>
      <c r="Q77" s="747"/>
      <c r="R77" s="538">
        <f t="shared" si="11"/>
        <v>0</v>
      </c>
      <c r="S77" s="330"/>
      <c r="T77" s="331"/>
      <c r="U77" s="1016">
        <f t="shared" si="16"/>
        <v>1502.74</v>
      </c>
      <c r="V77" s="756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38">
        <f t="shared" si="12"/>
        <v>0</v>
      </c>
      <c r="E78" s="747"/>
      <c r="F78" s="538">
        <f t="shared" si="10"/>
        <v>0</v>
      </c>
      <c r="G78" s="330"/>
      <c r="H78" s="331"/>
      <c r="I78" s="1016">
        <f t="shared" si="14"/>
        <v>1534.5200000000018</v>
      </c>
      <c r="J78" s="756">
        <f t="shared" si="15"/>
        <v>338</v>
      </c>
      <c r="K78" s="60">
        <f t="shared" si="4"/>
        <v>0</v>
      </c>
      <c r="N78" s="133">
        <v>4.54</v>
      </c>
      <c r="O78" s="15"/>
      <c r="P78" s="538">
        <f t="shared" si="13"/>
        <v>0</v>
      </c>
      <c r="Q78" s="747"/>
      <c r="R78" s="538">
        <f t="shared" si="11"/>
        <v>0</v>
      </c>
      <c r="S78" s="330"/>
      <c r="T78" s="331"/>
      <c r="U78" s="1016">
        <f t="shared" si="16"/>
        <v>1502.74</v>
      </c>
      <c r="V78" s="756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38">
        <f t="shared" si="12"/>
        <v>0</v>
      </c>
      <c r="E79" s="747"/>
      <c r="F79" s="538">
        <f t="shared" si="10"/>
        <v>0</v>
      </c>
      <c r="G79" s="330"/>
      <c r="H79" s="331"/>
      <c r="I79" s="1016">
        <f t="shared" si="14"/>
        <v>1534.5200000000018</v>
      </c>
      <c r="J79" s="756">
        <f t="shared" si="15"/>
        <v>338</v>
      </c>
      <c r="K79" s="60">
        <f t="shared" si="4"/>
        <v>0</v>
      </c>
      <c r="N79" s="133">
        <v>4.54</v>
      </c>
      <c r="O79" s="15"/>
      <c r="P79" s="538">
        <f t="shared" si="13"/>
        <v>0</v>
      </c>
      <c r="Q79" s="747"/>
      <c r="R79" s="538">
        <f t="shared" si="11"/>
        <v>0</v>
      </c>
      <c r="S79" s="330"/>
      <c r="T79" s="331"/>
      <c r="U79" s="1016">
        <f t="shared" si="16"/>
        <v>1502.74</v>
      </c>
      <c r="V79" s="756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38">
        <f t="shared" si="12"/>
        <v>0</v>
      </c>
      <c r="E80" s="747"/>
      <c r="F80" s="538">
        <f t="shared" si="10"/>
        <v>0</v>
      </c>
      <c r="G80" s="330"/>
      <c r="H80" s="331"/>
      <c r="I80" s="1016">
        <f t="shared" si="14"/>
        <v>1534.5200000000018</v>
      </c>
      <c r="J80" s="756">
        <f t="shared" si="15"/>
        <v>338</v>
      </c>
      <c r="K80" s="60">
        <f t="shared" si="4"/>
        <v>0</v>
      </c>
      <c r="N80" s="133">
        <v>4.54</v>
      </c>
      <c r="O80" s="15"/>
      <c r="P80" s="538">
        <f t="shared" si="13"/>
        <v>0</v>
      </c>
      <c r="Q80" s="747"/>
      <c r="R80" s="538">
        <f t="shared" si="11"/>
        <v>0</v>
      </c>
      <c r="S80" s="330"/>
      <c r="T80" s="331"/>
      <c r="U80" s="1016">
        <f t="shared" si="16"/>
        <v>1502.74</v>
      </c>
      <c r="V80" s="756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38">
        <f t="shared" si="12"/>
        <v>0</v>
      </c>
      <c r="E81" s="747"/>
      <c r="F81" s="538">
        <f t="shared" si="10"/>
        <v>0</v>
      </c>
      <c r="G81" s="330"/>
      <c r="H81" s="331"/>
      <c r="I81" s="1016">
        <f t="shared" si="14"/>
        <v>1534.5200000000018</v>
      </c>
      <c r="J81" s="756">
        <f t="shared" si="15"/>
        <v>338</v>
      </c>
      <c r="K81" s="60">
        <f t="shared" si="4"/>
        <v>0</v>
      </c>
      <c r="N81" s="133">
        <v>4.54</v>
      </c>
      <c r="O81" s="15"/>
      <c r="P81" s="538">
        <f t="shared" si="13"/>
        <v>0</v>
      </c>
      <c r="Q81" s="747"/>
      <c r="R81" s="538">
        <f t="shared" si="11"/>
        <v>0</v>
      </c>
      <c r="S81" s="330"/>
      <c r="T81" s="331"/>
      <c r="U81" s="1016">
        <f t="shared" si="16"/>
        <v>1502.74</v>
      </c>
      <c r="V81" s="756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38">
        <f t="shared" si="12"/>
        <v>0</v>
      </c>
      <c r="E82" s="747"/>
      <c r="F82" s="538">
        <f t="shared" si="10"/>
        <v>0</v>
      </c>
      <c r="G82" s="330"/>
      <c r="H82" s="331"/>
      <c r="I82" s="1016">
        <f t="shared" si="14"/>
        <v>1534.5200000000018</v>
      </c>
      <c r="J82" s="756">
        <f t="shared" si="15"/>
        <v>338</v>
      </c>
      <c r="K82" s="60">
        <f t="shared" si="4"/>
        <v>0</v>
      </c>
      <c r="N82" s="133">
        <v>4.54</v>
      </c>
      <c r="O82" s="15"/>
      <c r="P82" s="538">
        <f t="shared" si="13"/>
        <v>0</v>
      </c>
      <c r="Q82" s="747"/>
      <c r="R82" s="538">
        <f t="shared" si="11"/>
        <v>0</v>
      </c>
      <c r="S82" s="330"/>
      <c r="T82" s="331"/>
      <c r="U82" s="1016">
        <f t="shared" si="16"/>
        <v>1502.74</v>
      </c>
      <c r="V82" s="756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1534.5200000000018</v>
      </c>
      <c r="J83" s="73">
        <f t="shared" si="15"/>
        <v>338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1534.5200000000018</v>
      </c>
      <c r="J84" s="73">
        <f t="shared" si="15"/>
        <v>338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1534.5200000000018</v>
      </c>
      <c r="J85" s="73">
        <f t="shared" si="15"/>
        <v>338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1534.5200000000018</v>
      </c>
      <c r="J86" s="73">
        <f t="shared" si="15"/>
        <v>338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1534.5200000000018</v>
      </c>
      <c r="J87" s="73">
        <f t="shared" si="15"/>
        <v>338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1534.5200000000018</v>
      </c>
      <c r="J88" s="73">
        <f t="shared" si="15"/>
        <v>338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1534.5200000000018</v>
      </c>
      <c r="J89" s="73">
        <f t="shared" si="15"/>
        <v>338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1534.5200000000018</v>
      </c>
      <c r="J90" s="73">
        <f t="shared" si="15"/>
        <v>338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1534.5200000000018</v>
      </c>
      <c r="J91" s="73">
        <f t="shared" si="15"/>
        <v>338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1534.5200000000018</v>
      </c>
      <c r="J92" s="73">
        <f t="shared" si="15"/>
        <v>338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1534.5200000000018</v>
      </c>
      <c r="J93" s="73">
        <f t="shared" si="15"/>
        <v>338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1534.5200000000018</v>
      </c>
      <c r="J94" s="73">
        <f t="shared" si="15"/>
        <v>338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1534.5200000000018</v>
      </c>
      <c r="J95" s="73">
        <f t="shared" si="15"/>
        <v>338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1534.5200000000018</v>
      </c>
      <c r="J96" s="73">
        <f t="shared" si="15"/>
        <v>338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1534.5200000000018</v>
      </c>
      <c r="J97" s="73">
        <f t="shared" si="15"/>
        <v>338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1534.5200000000018</v>
      </c>
      <c r="J98" s="73">
        <f t="shared" si="15"/>
        <v>338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1534.5200000000018</v>
      </c>
      <c r="J99" s="73">
        <f t="shared" si="15"/>
        <v>338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1534.5200000000018</v>
      </c>
      <c r="J100" s="73">
        <f t="shared" si="15"/>
        <v>338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1534.5200000000018</v>
      </c>
      <c r="J101" s="73">
        <f t="shared" si="15"/>
        <v>338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1534.5200000000018</v>
      </c>
      <c r="J102" s="73">
        <f t="shared" si="15"/>
        <v>338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1534.5200000000018</v>
      </c>
      <c r="J103" s="73">
        <f t="shared" si="15"/>
        <v>338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1534.5200000000018</v>
      </c>
      <c r="J104" s="73">
        <f t="shared" si="15"/>
        <v>338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1534.5200000000018</v>
      </c>
      <c r="J105" s="73">
        <f t="shared" si="15"/>
        <v>338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1534.5200000000018</v>
      </c>
      <c r="J106" s="73">
        <f t="shared" si="15"/>
        <v>338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1534.5200000000018</v>
      </c>
      <c r="J107" s="73">
        <f>J83-C107</f>
        <v>338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1502.74</v>
      </c>
      <c r="V107" s="73">
        <f>V83-O107</f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2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2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549</v>
      </c>
      <c r="D109" s="6">
        <f>SUM(D9:D108)</f>
        <v>2492.4600000000005</v>
      </c>
      <c r="E109" s="13"/>
      <c r="F109" s="6">
        <f>SUM(F9:F108)</f>
        <v>2492.4600000000005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338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42" t="s">
        <v>19</v>
      </c>
      <c r="D112" s="1243"/>
      <c r="E112" s="39">
        <f>E4+E5-F109+E6+E7</f>
        <v>1534.5199999999995</v>
      </c>
      <c r="F112" s="6"/>
      <c r="G112" s="6"/>
      <c r="H112" s="17"/>
      <c r="I112" s="132"/>
      <c r="J112" s="73"/>
      <c r="O112" s="1242" t="s">
        <v>19</v>
      </c>
      <c r="P112" s="1243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07" t="s">
        <v>52</v>
      </c>
      <c r="B5" s="1244" t="s">
        <v>99</v>
      </c>
      <c r="C5" s="199"/>
      <c r="D5" s="149"/>
      <c r="E5" s="132"/>
      <c r="F5" s="73"/>
      <c r="G5" s="700"/>
      <c r="H5" s="138">
        <f>E4+E5-G5+E6+E7</f>
        <v>0</v>
      </c>
    </row>
    <row r="6" spans="1:10" ht="15.75" thickBot="1" x14ac:dyDescent="0.3">
      <c r="A6" s="1207"/>
      <c r="B6" s="1244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24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6"/>
    </row>
    <row r="9" spans="1:10" ht="15.75" thickTop="1" x14ac:dyDescent="0.25">
      <c r="A9" s="73"/>
      <c r="B9" s="564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73">
        <f>B9-C10</f>
        <v>0</v>
      </c>
      <c r="C10" s="828"/>
      <c r="D10" s="1001"/>
      <c r="E10" s="865"/>
      <c r="F10" s="705">
        <f t="shared" ref="F10:F29" si="0">D10</f>
        <v>0</v>
      </c>
      <c r="G10" s="703"/>
      <c r="H10" s="704"/>
      <c r="I10" s="740">
        <f>I9-F10</f>
        <v>0</v>
      </c>
      <c r="J10" s="738"/>
    </row>
    <row r="11" spans="1:10" x14ac:dyDescent="0.25">
      <c r="A11" s="55" t="s">
        <v>32</v>
      </c>
      <c r="B11" s="873">
        <f t="shared" ref="B11:B30" si="1">B10-C11</f>
        <v>0</v>
      </c>
      <c r="C11" s="828"/>
      <c r="D11" s="1002"/>
      <c r="E11" s="865"/>
      <c r="F11" s="705">
        <f t="shared" si="0"/>
        <v>0</v>
      </c>
      <c r="G11" s="703"/>
      <c r="H11" s="704"/>
      <c r="I11" s="740">
        <f t="shared" ref="I11:I30" si="2">I10-F11</f>
        <v>0</v>
      </c>
      <c r="J11" s="738"/>
    </row>
    <row r="12" spans="1:10" x14ac:dyDescent="0.25">
      <c r="A12" s="85"/>
      <c r="B12" s="873">
        <f t="shared" si="1"/>
        <v>0</v>
      </c>
      <c r="C12" s="828"/>
      <c r="D12" s="1002"/>
      <c r="E12" s="865"/>
      <c r="F12" s="705">
        <f t="shared" si="0"/>
        <v>0</v>
      </c>
      <c r="G12" s="703"/>
      <c r="H12" s="704"/>
      <c r="I12" s="740">
        <f t="shared" si="2"/>
        <v>0</v>
      </c>
      <c r="J12" s="738"/>
    </row>
    <row r="13" spans="1:10" x14ac:dyDescent="0.25">
      <c r="B13" s="873">
        <f t="shared" si="1"/>
        <v>0</v>
      </c>
      <c r="C13" s="828"/>
      <c r="D13" s="1002"/>
      <c r="E13" s="865"/>
      <c r="F13" s="705">
        <f t="shared" si="0"/>
        <v>0</v>
      </c>
      <c r="G13" s="703"/>
      <c r="H13" s="704"/>
      <c r="I13" s="740">
        <f t="shared" si="2"/>
        <v>0</v>
      </c>
      <c r="J13" s="738"/>
    </row>
    <row r="14" spans="1:10" x14ac:dyDescent="0.25">
      <c r="A14" s="55" t="s">
        <v>33</v>
      </c>
      <c r="B14" s="873">
        <f t="shared" si="1"/>
        <v>0</v>
      </c>
      <c r="C14" s="828"/>
      <c r="D14" s="1002"/>
      <c r="E14" s="865"/>
      <c r="F14" s="705">
        <f t="shared" si="0"/>
        <v>0</v>
      </c>
      <c r="G14" s="703"/>
      <c r="H14" s="704"/>
      <c r="I14" s="740">
        <f t="shared" si="2"/>
        <v>0</v>
      </c>
      <c r="J14" s="738"/>
    </row>
    <row r="15" spans="1:10" x14ac:dyDescent="0.25">
      <c r="B15" s="873">
        <f t="shared" si="1"/>
        <v>0</v>
      </c>
      <c r="C15" s="828"/>
      <c r="D15" s="1003"/>
      <c r="E15" s="865"/>
      <c r="F15" s="705">
        <f t="shared" si="0"/>
        <v>0</v>
      </c>
      <c r="G15" s="703"/>
      <c r="H15" s="704"/>
      <c r="I15" s="740">
        <f t="shared" si="2"/>
        <v>0</v>
      </c>
      <c r="J15" s="738"/>
    </row>
    <row r="16" spans="1:10" x14ac:dyDescent="0.25">
      <c r="B16" s="873">
        <f t="shared" si="1"/>
        <v>0</v>
      </c>
      <c r="C16" s="828"/>
      <c r="D16" s="1003"/>
      <c r="E16" s="865"/>
      <c r="F16" s="705">
        <f t="shared" si="0"/>
        <v>0</v>
      </c>
      <c r="G16" s="703"/>
      <c r="H16" s="704"/>
      <c r="I16" s="740">
        <f t="shared" si="2"/>
        <v>0</v>
      </c>
      <c r="J16" s="738"/>
    </row>
    <row r="17" spans="2:10" x14ac:dyDescent="0.25">
      <c r="B17" s="873">
        <f t="shared" si="1"/>
        <v>0</v>
      </c>
      <c r="C17" s="828"/>
      <c r="D17" s="1003"/>
      <c r="E17" s="865"/>
      <c r="F17" s="705">
        <f t="shared" si="0"/>
        <v>0</v>
      </c>
      <c r="G17" s="703"/>
      <c r="H17" s="704"/>
      <c r="I17" s="740">
        <f t="shared" si="2"/>
        <v>0</v>
      </c>
      <c r="J17" s="738"/>
    </row>
    <row r="18" spans="2:10" x14ac:dyDescent="0.25">
      <c r="B18" s="873">
        <f t="shared" si="1"/>
        <v>0</v>
      </c>
      <c r="C18" s="828"/>
      <c r="D18" s="1003"/>
      <c r="E18" s="865"/>
      <c r="F18" s="705">
        <f t="shared" si="0"/>
        <v>0</v>
      </c>
      <c r="G18" s="703"/>
      <c r="H18" s="704"/>
      <c r="I18" s="740">
        <f t="shared" si="2"/>
        <v>0</v>
      </c>
      <c r="J18" s="738"/>
    </row>
    <row r="19" spans="2:10" x14ac:dyDescent="0.25">
      <c r="B19" s="873">
        <f t="shared" si="1"/>
        <v>0</v>
      </c>
      <c r="C19" s="828"/>
      <c r="D19" s="1003"/>
      <c r="E19" s="865"/>
      <c r="F19" s="705">
        <f t="shared" si="0"/>
        <v>0</v>
      </c>
      <c r="G19" s="703"/>
      <c r="H19" s="704"/>
      <c r="I19" s="740">
        <f t="shared" si="2"/>
        <v>0</v>
      </c>
      <c r="J19" s="738"/>
    </row>
    <row r="20" spans="2:10" x14ac:dyDescent="0.25">
      <c r="B20" s="873">
        <f t="shared" si="1"/>
        <v>0</v>
      </c>
      <c r="C20" s="828"/>
      <c r="D20" s="1003"/>
      <c r="E20" s="865"/>
      <c r="F20" s="705">
        <f t="shared" si="0"/>
        <v>0</v>
      </c>
      <c r="G20" s="703"/>
      <c r="H20" s="704"/>
      <c r="I20" s="740">
        <f t="shared" si="2"/>
        <v>0</v>
      </c>
      <c r="J20" s="738"/>
    </row>
    <row r="21" spans="2:10" x14ac:dyDescent="0.25">
      <c r="B21" s="873">
        <f t="shared" si="1"/>
        <v>0</v>
      </c>
      <c r="C21" s="828"/>
      <c r="D21" s="1008"/>
      <c r="E21" s="865"/>
      <c r="F21" s="705">
        <f t="shared" si="0"/>
        <v>0</v>
      </c>
      <c r="G21" s="703"/>
      <c r="H21" s="704"/>
      <c r="I21" s="740">
        <f t="shared" si="2"/>
        <v>0</v>
      </c>
      <c r="J21" s="738"/>
    </row>
    <row r="22" spans="2:10" x14ac:dyDescent="0.25">
      <c r="B22" s="873">
        <f t="shared" si="1"/>
        <v>0</v>
      </c>
      <c r="C22" s="828"/>
      <c r="D22" s="1008"/>
      <c r="E22" s="865"/>
      <c r="F22" s="705">
        <f t="shared" si="0"/>
        <v>0</v>
      </c>
      <c r="G22" s="703"/>
      <c r="H22" s="704"/>
      <c r="I22" s="740">
        <f t="shared" si="2"/>
        <v>0</v>
      </c>
      <c r="J22" s="738"/>
    </row>
    <row r="23" spans="2:10" x14ac:dyDescent="0.25">
      <c r="B23" s="873">
        <f t="shared" si="1"/>
        <v>0</v>
      </c>
      <c r="C23" s="828"/>
      <c r="D23" s="1008"/>
      <c r="E23" s="865"/>
      <c r="F23" s="705">
        <f t="shared" si="0"/>
        <v>0</v>
      </c>
      <c r="G23" s="703"/>
      <c r="H23" s="704"/>
      <c r="I23" s="740">
        <f t="shared" si="2"/>
        <v>0</v>
      </c>
      <c r="J23" s="738"/>
    </row>
    <row r="24" spans="2:10" x14ac:dyDescent="0.25">
      <c r="B24" s="873">
        <f t="shared" si="1"/>
        <v>0</v>
      </c>
      <c r="C24" s="828"/>
      <c r="D24" s="1008"/>
      <c r="E24" s="865"/>
      <c r="F24" s="705">
        <f t="shared" si="0"/>
        <v>0</v>
      </c>
      <c r="G24" s="703"/>
      <c r="H24" s="704"/>
      <c r="I24" s="740">
        <f t="shared" si="2"/>
        <v>0</v>
      </c>
      <c r="J24" s="738"/>
    </row>
    <row r="25" spans="2:10" x14ac:dyDescent="0.25">
      <c r="B25" s="873">
        <f t="shared" si="1"/>
        <v>0</v>
      </c>
      <c r="C25" s="828"/>
      <c r="D25" s="1008"/>
      <c r="E25" s="865"/>
      <c r="F25" s="705">
        <f t="shared" si="0"/>
        <v>0</v>
      </c>
      <c r="G25" s="703"/>
      <c r="H25" s="704"/>
      <c r="I25" s="740">
        <f t="shared" si="2"/>
        <v>0</v>
      </c>
      <c r="J25" s="738"/>
    </row>
    <row r="26" spans="2:10" x14ac:dyDescent="0.25">
      <c r="B26" s="873">
        <f t="shared" si="1"/>
        <v>0</v>
      </c>
      <c r="C26" s="828"/>
      <c r="D26" s="1008"/>
      <c r="E26" s="865"/>
      <c r="F26" s="705">
        <f t="shared" si="0"/>
        <v>0</v>
      </c>
      <c r="G26" s="703"/>
      <c r="H26" s="704"/>
      <c r="I26" s="740">
        <f t="shared" si="2"/>
        <v>0</v>
      </c>
      <c r="J26" s="738"/>
    </row>
    <row r="27" spans="2:10" x14ac:dyDescent="0.25">
      <c r="B27" s="873">
        <f t="shared" si="1"/>
        <v>0</v>
      </c>
      <c r="C27" s="828"/>
      <c r="D27" s="1008"/>
      <c r="E27" s="865"/>
      <c r="F27" s="705">
        <f t="shared" si="0"/>
        <v>0</v>
      </c>
      <c r="G27" s="703"/>
      <c r="H27" s="704"/>
      <c r="I27" s="740">
        <f t="shared" si="2"/>
        <v>0</v>
      </c>
      <c r="J27" s="738"/>
    </row>
    <row r="28" spans="2:10" x14ac:dyDescent="0.25">
      <c r="B28" s="873">
        <f t="shared" si="1"/>
        <v>0</v>
      </c>
      <c r="C28" s="828"/>
      <c r="D28" s="850"/>
      <c r="E28" s="865"/>
      <c r="F28" s="705">
        <f t="shared" si="0"/>
        <v>0</v>
      </c>
      <c r="G28" s="703"/>
      <c r="H28" s="704"/>
      <c r="I28" s="740">
        <f t="shared" si="2"/>
        <v>0</v>
      </c>
      <c r="J28" s="738"/>
    </row>
    <row r="29" spans="2:10" x14ac:dyDescent="0.25">
      <c r="B29" s="873">
        <f t="shared" si="1"/>
        <v>0</v>
      </c>
      <c r="C29" s="828"/>
      <c r="D29" s="850"/>
      <c r="E29" s="865"/>
      <c r="F29" s="705">
        <f t="shared" si="0"/>
        <v>0</v>
      </c>
      <c r="G29" s="703"/>
      <c r="H29" s="704"/>
      <c r="I29" s="740">
        <f t="shared" si="2"/>
        <v>0</v>
      </c>
      <c r="J29" s="738"/>
    </row>
    <row r="30" spans="2:10" ht="15.75" thickBot="1" x14ac:dyDescent="0.3">
      <c r="B30" s="564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2" t="s">
        <v>19</v>
      </c>
      <c r="D34" s="124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J1" workbookViewId="0">
      <selection activeCell="AU5" sqref="AU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99" t="s">
        <v>329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DEL MES DE  NOVIEMBRE  2022</v>
      </c>
      <c r="L1" s="1199"/>
      <c r="M1" s="1199"/>
      <c r="N1" s="1199"/>
      <c r="O1" s="1199"/>
      <c r="P1" s="1199"/>
      <c r="Q1" s="1199"/>
      <c r="R1" s="11">
        <v>2</v>
      </c>
      <c r="U1" s="1203" t="s">
        <v>340</v>
      </c>
      <c r="V1" s="1203"/>
      <c r="W1" s="1203"/>
      <c r="X1" s="1203"/>
      <c r="Y1" s="1203"/>
      <c r="Z1" s="1203"/>
      <c r="AA1" s="1203"/>
      <c r="AB1" s="11">
        <v>3</v>
      </c>
      <c r="AE1" s="1203" t="s">
        <v>340</v>
      </c>
      <c r="AF1" s="1203"/>
      <c r="AG1" s="1203"/>
      <c r="AH1" s="1203"/>
      <c r="AI1" s="1203"/>
      <c r="AJ1" s="1203"/>
      <c r="AK1" s="1203"/>
      <c r="AL1" s="11">
        <v>4</v>
      </c>
      <c r="AO1" s="1203" t="s">
        <v>340</v>
      </c>
      <c r="AP1" s="1203"/>
      <c r="AQ1" s="1203"/>
      <c r="AR1" s="1203"/>
      <c r="AS1" s="1203"/>
      <c r="AT1" s="1203"/>
      <c r="AU1" s="1203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572"/>
      <c r="N4" s="134"/>
      <c r="O4" s="78"/>
      <c r="P4" s="62"/>
      <c r="Q4" s="155"/>
      <c r="R4" s="155"/>
      <c r="U4" s="12"/>
      <c r="V4" s="12"/>
      <c r="W4" s="416"/>
      <c r="X4" s="134"/>
      <c r="Y4" s="78"/>
      <c r="Z4" s="62"/>
      <c r="AA4" s="155"/>
      <c r="AB4" s="155"/>
      <c r="AE4" s="12"/>
      <c r="AF4" s="12"/>
      <c r="AG4" s="572"/>
      <c r="AH4" s="134"/>
      <c r="AI4" s="78"/>
      <c r="AJ4" s="62"/>
      <c r="AK4" s="155"/>
      <c r="AL4" s="155"/>
      <c r="AO4" s="12"/>
      <c r="AP4" s="12"/>
      <c r="AQ4" s="572"/>
      <c r="AR4" s="134"/>
      <c r="AS4" s="78"/>
      <c r="AT4" s="62"/>
      <c r="AU4" s="155"/>
      <c r="AV4" s="155"/>
    </row>
    <row r="5" spans="1:49" ht="22.5" customHeight="1" x14ac:dyDescent="0.25">
      <c r="A5" s="1211" t="s">
        <v>64</v>
      </c>
      <c r="B5" s="1249" t="s">
        <v>69</v>
      </c>
      <c r="C5" s="392">
        <v>85</v>
      </c>
      <c r="D5" s="134">
        <v>44862</v>
      </c>
      <c r="E5" s="844">
        <v>150</v>
      </c>
      <c r="F5" s="862">
        <v>15</v>
      </c>
      <c r="G5" s="5"/>
      <c r="K5" s="1232" t="s">
        <v>176</v>
      </c>
      <c r="L5" s="1247" t="s">
        <v>68</v>
      </c>
      <c r="M5" s="392">
        <v>100</v>
      </c>
      <c r="N5" s="134">
        <v>44837</v>
      </c>
      <c r="O5" s="208">
        <v>150</v>
      </c>
      <c r="P5" s="62">
        <v>15</v>
      </c>
      <c r="Q5" s="5"/>
      <c r="U5" s="1211" t="s">
        <v>375</v>
      </c>
      <c r="V5" s="1249" t="s">
        <v>69</v>
      </c>
      <c r="W5" s="392">
        <v>85</v>
      </c>
      <c r="X5" s="719">
        <v>44900</v>
      </c>
      <c r="Y5" s="1041">
        <v>150</v>
      </c>
      <c r="Z5" s="890">
        <v>15</v>
      </c>
      <c r="AA5" s="5"/>
      <c r="AE5" s="1232" t="s">
        <v>176</v>
      </c>
      <c r="AF5" s="1247" t="s">
        <v>68</v>
      </c>
      <c r="AG5" s="392">
        <v>230</v>
      </c>
      <c r="AH5" s="134">
        <v>44900</v>
      </c>
      <c r="AI5" s="208">
        <v>20</v>
      </c>
      <c r="AJ5" s="62">
        <v>1</v>
      </c>
      <c r="AK5" s="5"/>
      <c r="AO5" s="1232" t="s">
        <v>176</v>
      </c>
      <c r="AP5" s="1247" t="s">
        <v>68</v>
      </c>
      <c r="AQ5" s="392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211"/>
      <c r="B6" s="1249"/>
      <c r="C6" s="12"/>
      <c r="D6" s="12"/>
      <c r="E6" s="560"/>
      <c r="F6" s="144"/>
      <c r="G6" s="47">
        <f>F78</f>
        <v>100</v>
      </c>
      <c r="H6" s="7">
        <f>E6-G6+E7+E5-G5+E4</f>
        <v>50</v>
      </c>
      <c r="K6" s="1232"/>
      <c r="L6" s="1248"/>
      <c r="M6" s="392">
        <v>95</v>
      </c>
      <c r="N6" s="134">
        <v>44862</v>
      </c>
      <c r="O6" s="208">
        <v>100</v>
      </c>
      <c r="P6" s="62">
        <v>10</v>
      </c>
      <c r="Q6" s="47">
        <f>P78</f>
        <v>170</v>
      </c>
      <c r="R6" s="7">
        <f>O6-Q6+O7+O5-Q5+O4</f>
        <v>80</v>
      </c>
      <c r="U6" s="1211"/>
      <c r="V6" s="1249"/>
      <c r="W6" s="12"/>
      <c r="X6" s="12"/>
      <c r="Y6" s="560"/>
      <c r="Z6" s="144"/>
      <c r="AA6" s="47">
        <f>Z78</f>
        <v>0</v>
      </c>
      <c r="AB6" s="7">
        <f>Y6-AA6+Y7+Y5-AA5+Y4</f>
        <v>150</v>
      </c>
      <c r="AE6" s="1232"/>
      <c r="AF6" s="1248"/>
      <c r="AG6" s="392"/>
      <c r="AH6" s="134"/>
      <c r="AI6" s="208"/>
      <c r="AJ6" s="62"/>
      <c r="AK6" s="47">
        <f>AJ78</f>
        <v>0</v>
      </c>
      <c r="AL6" s="7">
        <f>AI6-AK6+AI7+AI5-AK5+AI4</f>
        <v>20</v>
      </c>
      <c r="AO6" s="1232"/>
      <c r="AP6" s="1248"/>
      <c r="AQ6" s="392"/>
      <c r="AR6" s="134"/>
      <c r="AS6" s="208"/>
      <c r="AT6" s="62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749"/>
      <c r="D7" s="750"/>
      <c r="E7" s="751"/>
      <c r="F7" s="752"/>
      <c r="L7" s="19"/>
      <c r="M7" s="231"/>
      <c r="N7" s="232"/>
      <c r="O7" s="78"/>
      <c r="P7" s="62"/>
      <c r="V7" s="19"/>
      <c r="W7" s="749"/>
      <c r="X7" s="750"/>
      <c r="Y7" s="751"/>
      <c r="Z7" s="752"/>
      <c r="AF7" s="19"/>
      <c r="AG7" s="231"/>
      <c r="AH7" s="232"/>
      <c r="AI7" s="78"/>
      <c r="AJ7" s="62"/>
      <c r="AP7" s="19"/>
      <c r="AQ7" s="231"/>
      <c r="AR7" s="232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250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202</v>
      </c>
      <c r="R9" s="71">
        <v>115</v>
      </c>
      <c r="S9" s="105">
        <f>O6-P9+O5+O7+O4</f>
        <v>240</v>
      </c>
      <c r="U9" s="80" t="s">
        <v>32</v>
      </c>
      <c r="V9" s="83">
        <f>Z6-W9+Z5+Z7+Z4</f>
        <v>15</v>
      </c>
      <c r="W9" s="15"/>
      <c r="X9" s="69"/>
      <c r="Y9" s="202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</v>
      </c>
      <c r="AG9" s="73"/>
      <c r="AH9" s="69"/>
      <c r="AI9" s="202"/>
      <c r="AJ9" s="69">
        <f>AH9</f>
        <v>0</v>
      </c>
      <c r="AK9" s="70"/>
      <c r="AL9" s="71"/>
      <c r="AM9" s="105">
        <f>AI6-AJ9+AI5+AI7+AI4</f>
        <v>20</v>
      </c>
      <c r="AO9" s="80" t="s">
        <v>32</v>
      </c>
      <c r="AP9" s="83">
        <f>AT6-AQ9+AT5+AT7+AT4</f>
        <v>15</v>
      </c>
      <c r="AQ9" s="73"/>
      <c r="AR9" s="69"/>
      <c r="AS9" s="202"/>
      <c r="AT9" s="69">
        <f>AR9</f>
        <v>0</v>
      </c>
      <c r="AU9" s="70"/>
      <c r="AV9" s="71"/>
      <c r="AW9" s="105">
        <f>AS6-AT9+AS5+AS7+AS4</f>
        <v>150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251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215</v>
      </c>
      <c r="R10" s="71">
        <v>115</v>
      </c>
      <c r="S10" s="105">
        <f>S9-P10</f>
        <v>230</v>
      </c>
      <c r="U10" s="194"/>
      <c r="V10" s="83">
        <f t="shared" ref="V10:V73" si="3">V9-W10</f>
        <v>15</v>
      </c>
      <c r="W10" s="73"/>
      <c r="X10" s="69"/>
      <c r="Y10" s="202"/>
      <c r="Z10" s="69">
        <f t="shared" ref="Z10:Z73" si="4">X10</f>
        <v>0</v>
      </c>
      <c r="AA10" s="70"/>
      <c r="AB10" s="71"/>
      <c r="AC10" s="105">
        <f>AC9-Z10</f>
        <v>150</v>
      </c>
      <c r="AE10" s="194"/>
      <c r="AF10" s="904">
        <f t="shared" ref="AF10:AF73" si="5">AF9-AG10</f>
        <v>1</v>
      </c>
      <c r="AG10" s="828"/>
      <c r="AH10" s="705"/>
      <c r="AI10" s="736"/>
      <c r="AJ10" s="705">
        <f>AH10</f>
        <v>0</v>
      </c>
      <c r="AK10" s="703"/>
      <c r="AL10" s="704"/>
      <c r="AM10" s="740">
        <f>AM9-AJ10</f>
        <v>20</v>
      </c>
      <c r="AN10" s="738"/>
      <c r="AO10" s="194"/>
      <c r="AP10" s="904">
        <f t="shared" ref="AP10:AP73" si="6">AP9-AQ10</f>
        <v>15</v>
      </c>
      <c r="AQ10" s="828"/>
      <c r="AR10" s="705"/>
      <c r="AS10" s="736"/>
      <c r="AT10" s="705">
        <f>AR10</f>
        <v>0</v>
      </c>
      <c r="AU10" s="703"/>
      <c r="AV10" s="704"/>
      <c r="AW10" s="740">
        <f>AW9-AT10</f>
        <v>150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261</v>
      </c>
      <c r="H11" s="71">
        <v>100</v>
      </c>
      <c r="I11" s="105">
        <f t="shared" ref="I11:I74" si="7">I10-F11</f>
        <v>120</v>
      </c>
      <c r="K11" s="182"/>
      <c r="L11" s="832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217</v>
      </c>
      <c r="R11" s="71">
        <v>115</v>
      </c>
      <c r="S11" s="831">
        <f t="shared" ref="S11:S74" si="8">S10-P11</f>
        <v>220</v>
      </c>
      <c r="U11" s="182"/>
      <c r="V11" s="83">
        <f t="shared" si="3"/>
        <v>15</v>
      </c>
      <c r="W11" s="62"/>
      <c r="X11" s="69"/>
      <c r="Y11" s="202"/>
      <c r="Z11" s="69">
        <f t="shared" si="4"/>
        <v>0</v>
      </c>
      <c r="AA11" s="70"/>
      <c r="AB11" s="71"/>
      <c r="AC11" s="105">
        <f t="shared" ref="AC11:AC74" si="9">AC10-Z11</f>
        <v>150</v>
      </c>
      <c r="AE11" s="182"/>
      <c r="AF11" s="904">
        <f t="shared" si="5"/>
        <v>1</v>
      </c>
      <c r="AG11" s="828"/>
      <c r="AH11" s="705"/>
      <c r="AI11" s="736"/>
      <c r="AJ11" s="705">
        <f>AH11</f>
        <v>0</v>
      </c>
      <c r="AK11" s="703"/>
      <c r="AL11" s="704"/>
      <c r="AM11" s="740">
        <f t="shared" ref="AM11:AM74" si="10">AM10-AJ11</f>
        <v>20</v>
      </c>
      <c r="AN11" s="738"/>
      <c r="AO11" s="182"/>
      <c r="AP11" s="904">
        <f t="shared" si="6"/>
        <v>15</v>
      </c>
      <c r="AQ11" s="828"/>
      <c r="AR11" s="705"/>
      <c r="AS11" s="736"/>
      <c r="AT11" s="705">
        <f>AR11</f>
        <v>0</v>
      </c>
      <c r="AU11" s="703"/>
      <c r="AV11" s="704"/>
      <c r="AW11" s="740">
        <f t="shared" ref="AW11:AW74" si="11">AW10-AT11</f>
        <v>150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273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46">
        <v>10</v>
      </c>
      <c r="O12" s="847">
        <v>44866</v>
      </c>
      <c r="P12" s="846">
        <f>N12</f>
        <v>10</v>
      </c>
      <c r="Q12" s="848" t="s">
        <v>235</v>
      </c>
      <c r="R12" s="849">
        <v>115</v>
      </c>
      <c r="S12" s="105">
        <f t="shared" si="8"/>
        <v>210</v>
      </c>
      <c r="U12" s="182"/>
      <c r="V12" s="83">
        <f t="shared" si="3"/>
        <v>15</v>
      </c>
      <c r="W12" s="62"/>
      <c r="X12" s="69"/>
      <c r="Y12" s="202"/>
      <c r="Z12" s="69">
        <f t="shared" si="4"/>
        <v>0</v>
      </c>
      <c r="AA12" s="70"/>
      <c r="AB12" s="71"/>
      <c r="AC12" s="105">
        <f t="shared" si="9"/>
        <v>150</v>
      </c>
      <c r="AE12" s="182"/>
      <c r="AF12" s="904">
        <f t="shared" si="5"/>
        <v>1</v>
      </c>
      <c r="AG12" s="828"/>
      <c r="AH12" s="705"/>
      <c r="AI12" s="736"/>
      <c r="AJ12" s="705">
        <f>AH12</f>
        <v>0</v>
      </c>
      <c r="AK12" s="703"/>
      <c r="AL12" s="704"/>
      <c r="AM12" s="740">
        <f t="shared" si="10"/>
        <v>20</v>
      </c>
      <c r="AN12" s="738"/>
      <c r="AO12" s="182"/>
      <c r="AP12" s="904">
        <f t="shared" si="6"/>
        <v>15</v>
      </c>
      <c r="AQ12" s="828"/>
      <c r="AR12" s="705"/>
      <c r="AS12" s="736"/>
      <c r="AT12" s="705">
        <f>AR12</f>
        <v>0</v>
      </c>
      <c r="AU12" s="703"/>
      <c r="AV12" s="704"/>
      <c r="AW12" s="740">
        <f t="shared" si="11"/>
        <v>150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279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46">
        <v>10</v>
      </c>
      <c r="O13" s="847">
        <v>44867</v>
      </c>
      <c r="P13" s="846">
        <f>N13</f>
        <v>10</v>
      </c>
      <c r="Q13" s="848" t="s">
        <v>239</v>
      </c>
      <c r="R13" s="849">
        <v>115</v>
      </c>
      <c r="S13" s="105">
        <f t="shared" si="8"/>
        <v>200</v>
      </c>
      <c r="U13" s="82" t="s">
        <v>33</v>
      </c>
      <c r="V13" s="83">
        <f t="shared" si="3"/>
        <v>15</v>
      </c>
      <c r="W13" s="62"/>
      <c r="X13" s="69"/>
      <c r="Y13" s="202"/>
      <c r="Z13" s="69">
        <f t="shared" si="4"/>
        <v>0</v>
      </c>
      <c r="AA13" s="70"/>
      <c r="AB13" s="71"/>
      <c r="AC13" s="105">
        <f t="shared" si="9"/>
        <v>150</v>
      </c>
      <c r="AE13" s="82" t="s">
        <v>33</v>
      </c>
      <c r="AF13" s="904">
        <f t="shared" si="5"/>
        <v>1</v>
      </c>
      <c r="AG13" s="828"/>
      <c r="AH13" s="705"/>
      <c r="AI13" s="736"/>
      <c r="AJ13" s="705">
        <f>AH13</f>
        <v>0</v>
      </c>
      <c r="AK13" s="703"/>
      <c r="AL13" s="704"/>
      <c r="AM13" s="740">
        <f t="shared" si="10"/>
        <v>20</v>
      </c>
      <c r="AN13" s="738"/>
      <c r="AO13" s="82" t="s">
        <v>33</v>
      </c>
      <c r="AP13" s="904">
        <f t="shared" si="6"/>
        <v>15</v>
      </c>
      <c r="AQ13" s="828"/>
      <c r="AR13" s="705"/>
      <c r="AS13" s="736"/>
      <c r="AT13" s="705">
        <f>AR13</f>
        <v>0</v>
      </c>
      <c r="AU13" s="703"/>
      <c r="AV13" s="704"/>
      <c r="AW13" s="740">
        <f t="shared" si="11"/>
        <v>150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291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46">
        <v>10</v>
      </c>
      <c r="O14" s="847">
        <v>44868</v>
      </c>
      <c r="P14" s="846">
        <f t="shared" ref="P14:P76" si="12">N14</f>
        <v>10</v>
      </c>
      <c r="Q14" s="848" t="s">
        <v>241</v>
      </c>
      <c r="R14" s="849">
        <v>115</v>
      </c>
      <c r="S14" s="105">
        <f t="shared" si="8"/>
        <v>190</v>
      </c>
      <c r="U14" s="73"/>
      <c r="V14" s="83">
        <f t="shared" si="3"/>
        <v>15</v>
      </c>
      <c r="W14" s="62"/>
      <c r="X14" s="69"/>
      <c r="Y14" s="202"/>
      <c r="Z14" s="69">
        <f t="shared" si="4"/>
        <v>0</v>
      </c>
      <c r="AA14" s="70"/>
      <c r="AB14" s="71"/>
      <c r="AC14" s="105">
        <f t="shared" si="9"/>
        <v>150</v>
      </c>
      <c r="AE14" s="73"/>
      <c r="AF14" s="904">
        <f t="shared" si="5"/>
        <v>1</v>
      </c>
      <c r="AG14" s="828"/>
      <c r="AH14" s="705"/>
      <c r="AI14" s="736"/>
      <c r="AJ14" s="705">
        <f t="shared" ref="AJ14:AJ76" si="13">AH14</f>
        <v>0</v>
      </c>
      <c r="AK14" s="703"/>
      <c r="AL14" s="704"/>
      <c r="AM14" s="740">
        <f t="shared" si="10"/>
        <v>20</v>
      </c>
      <c r="AN14" s="738"/>
      <c r="AO14" s="73"/>
      <c r="AP14" s="904">
        <f t="shared" si="6"/>
        <v>15</v>
      </c>
      <c r="AQ14" s="828"/>
      <c r="AR14" s="705"/>
      <c r="AS14" s="736"/>
      <c r="AT14" s="705">
        <f t="shared" ref="AT14:AT76" si="14">AR14</f>
        <v>0</v>
      </c>
      <c r="AU14" s="703"/>
      <c r="AV14" s="704"/>
      <c r="AW14" s="740">
        <f t="shared" si="11"/>
        <v>150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298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46">
        <v>10</v>
      </c>
      <c r="O15" s="847">
        <v>44869</v>
      </c>
      <c r="P15" s="846">
        <f t="shared" si="12"/>
        <v>10</v>
      </c>
      <c r="Q15" s="848" t="s">
        <v>242</v>
      </c>
      <c r="R15" s="849">
        <v>115</v>
      </c>
      <c r="S15" s="105">
        <f t="shared" si="8"/>
        <v>180</v>
      </c>
      <c r="U15" s="73"/>
      <c r="V15" s="83">
        <f t="shared" si="3"/>
        <v>15</v>
      </c>
      <c r="W15" s="62"/>
      <c r="X15" s="69"/>
      <c r="Y15" s="202"/>
      <c r="Z15" s="69">
        <f t="shared" si="4"/>
        <v>0</v>
      </c>
      <c r="AA15" s="70"/>
      <c r="AB15" s="71"/>
      <c r="AC15" s="105">
        <f t="shared" si="9"/>
        <v>150</v>
      </c>
      <c r="AE15" s="73" t="s">
        <v>22</v>
      </c>
      <c r="AF15" s="904">
        <f t="shared" si="5"/>
        <v>1</v>
      </c>
      <c r="AG15" s="828"/>
      <c r="AH15" s="705"/>
      <c r="AI15" s="736"/>
      <c r="AJ15" s="705">
        <f t="shared" si="13"/>
        <v>0</v>
      </c>
      <c r="AK15" s="703"/>
      <c r="AL15" s="704"/>
      <c r="AM15" s="740">
        <f t="shared" si="10"/>
        <v>20</v>
      </c>
      <c r="AN15" s="738"/>
      <c r="AO15" s="73" t="s">
        <v>22</v>
      </c>
      <c r="AP15" s="904">
        <f t="shared" si="6"/>
        <v>15</v>
      </c>
      <c r="AQ15" s="828"/>
      <c r="AR15" s="705"/>
      <c r="AS15" s="736"/>
      <c r="AT15" s="705">
        <f t="shared" si="14"/>
        <v>0</v>
      </c>
      <c r="AU15" s="703"/>
      <c r="AV15" s="704"/>
      <c r="AW15" s="740">
        <f t="shared" si="11"/>
        <v>150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303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46">
        <v>10</v>
      </c>
      <c r="O16" s="847">
        <v>44872</v>
      </c>
      <c r="P16" s="846">
        <f t="shared" si="12"/>
        <v>10</v>
      </c>
      <c r="Q16" s="848" t="s">
        <v>250</v>
      </c>
      <c r="R16" s="849">
        <v>115</v>
      </c>
      <c r="S16" s="105">
        <f t="shared" si="8"/>
        <v>170</v>
      </c>
      <c r="V16" s="83">
        <f t="shared" si="3"/>
        <v>15</v>
      </c>
      <c r="W16" s="73"/>
      <c r="X16" s="69"/>
      <c r="Y16" s="202"/>
      <c r="Z16" s="69">
        <f t="shared" si="4"/>
        <v>0</v>
      </c>
      <c r="AA16" s="70"/>
      <c r="AB16" s="71"/>
      <c r="AC16" s="105">
        <f t="shared" si="9"/>
        <v>150</v>
      </c>
      <c r="AF16" s="904">
        <f t="shared" si="5"/>
        <v>1</v>
      </c>
      <c r="AG16" s="828"/>
      <c r="AH16" s="705"/>
      <c r="AI16" s="736"/>
      <c r="AJ16" s="705">
        <f t="shared" si="13"/>
        <v>0</v>
      </c>
      <c r="AK16" s="703"/>
      <c r="AL16" s="704"/>
      <c r="AM16" s="740">
        <f t="shared" si="10"/>
        <v>20</v>
      </c>
      <c r="AN16" s="738"/>
      <c r="AP16" s="904">
        <f t="shared" si="6"/>
        <v>15</v>
      </c>
      <c r="AQ16" s="828"/>
      <c r="AR16" s="705"/>
      <c r="AS16" s="736"/>
      <c r="AT16" s="705">
        <f t="shared" si="14"/>
        <v>0</v>
      </c>
      <c r="AU16" s="703"/>
      <c r="AV16" s="704"/>
      <c r="AW16" s="740">
        <f t="shared" si="11"/>
        <v>150</v>
      </c>
    </row>
    <row r="17" spans="1:49" x14ac:dyDescent="0.25">
      <c r="B17" s="832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314</v>
      </c>
      <c r="H17" s="71">
        <v>100</v>
      </c>
      <c r="I17" s="831">
        <f t="shared" si="7"/>
        <v>50</v>
      </c>
      <c r="L17" s="83">
        <f t="shared" si="2"/>
        <v>16</v>
      </c>
      <c r="M17" s="15">
        <v>1</v>
      </c>
      <c r="N17" s="846">
        <v>10</v>
      </c>
      <c r="O17" s="847">
        <v>44873</v>
      </c>
      <c r="P17" s="846">
        <f t="shared" si="12"/>
        <v>10</v>
      </c>
      <c r="Q17" s="848" t="s">
        <v>251</v>
      </c>
      <c r="R17" s="849">
        <v>115</v>
      </c>
      <c r="S17" s="105">
        <f t="shared" si="8"/>
        <v>160</v>
      </c>
      <c r="V17" s="904">
        <f t="shared" si="3"/>
        <v>15</v>
      </c>
      <c r="W17" s="717"/>
      <c r="X17" s="705"/>
      <c r="Y17" s="736"/>
      <c r="Z17" s="705">
        <f t="shared" si="4"/>
        <v>0</v>
      </c>
      <c r="AA17" s="703"/>
      <c r="AB17" s="704"/>
      <c r="AC17" s="740">
        <f t="shared" si="9"/>
        <v>150</v>
      </c>
      <c r="AF17" s="904">
        <f t="shared" si="5"/>
        <v>1</v>
      </c>
      <c r="AG17" s="828"/>
      <c r="AH17" s="705"/>
      <c r="AI17" s="736"/>
      <c r="AJ17" s="705">
        <f t="shared" si="13"/>
        <v>0</v>
      </c>
      <c r="AK17" s="703"/>
      <c r="AL17" s="704"/>
      <c r="AM17" s="740">
        <f t="shared" si="10"/>
        <v>20</v>
      </c>
      <c r="AN17" s="738"/>
      <c r="AP17" s="904">
        <f t="shared" si="6"/>
        <v>15</v>
      </c>
      <c r="AQ17" s="828"/>
      <c r="AR17" s="705"/>
      <c r="AS17" s="736"/>
      <c r="AT17" s="705">
        <f t="shared" si="14"/>
        <v>0</v>
      </c>
      <c r="AU17" s="703"/>
      <c r="AV17" s="704"/>
      <c r="AW17" s="740">
        <f t="shared" si="11"/>
        <v>150</v>
      </c>
    </row>
    <row r="18" spans="1:49" x14ac:dyDescent="0.25">
      <c r="A18" s="122"/>
      <c r="B18" s="83">
        <f t="shared" si="0"/>
        <v>5</v>
      </c>
      <c r="C18" s="73"/>
      <c r="D18" s="538"/>
      <c r="E18" s="735"/>
      <c r="F18" s="538">
        <f t="shared" si="1"/>
        <v>0</v>
      </c>
      <c r="G18" s="330"/>
      <c r="H18" s="331"/>
      <c r="I18" s="745">
        <f t="shared" si="7"/>
        <v>50</v>
      </c>
      <c r="K18" s="122"/>
      <c r="L18" s="83">
        <f t="shared" si="2"/>
        <v>15</v>
      </c>
      <c r="M18" s="15">
        <v>1</v>
      </c>
      <c r="N18" s="846">
        <v>10</v>
      </c>
      <c r="O18" s="847">
        <v>44875</v>
      </c>
      <c r="P18" s="846">
        <f t="shared" si="12"/>
        <v>10</v>
      </c>
      <c r="Q18" s="848" t="s">
        <v>261</v>
      </c>
      <c r="R18" s="849">
        <v>115</v>
      </c>
      <c r="S18" s="105">
        <f t="shared" si="8"/>
        <v>150</v>
      </c>
      <c r="U18" s="122"/>
      <c r="V18" s="904">
        <f t="shared" si="3"/>
        <v>15</v>
      </c>
      <c r="W18" s="717"/>
      <c r="X18" s="1005"/>
      <c r="Y18" s="1009"/>
      <c r="Z18" s="1005">
        <f t="shared" si="4"/>
        <v>0</v>
      </c>
      <c r="AA18" s="1006"/>
      <c r="AB18" s="1007"/>
      <c r="AC18" s="1011">
        <f t="shared" si="9"/>
        <v>150</v>
      </c>
      <c r="AE18" s="122"/>
      <c r="AF18" s="904">
        <f t="shared" si="5"/>
        <v>1</v>
      </c>
      <c r="AG18" s="828"/>
      <c r="AH18" s="705"/>
      <c r="AI18" s="736"/>
      <c r="AJ18" s="705">
        <f t="shared" si="13"/>
        <v>0</v>
      </c>
      <c r="AK18" s="703"/>
      <c r="AL18" s="704"/>
      <c r="AM18" s="740">
        <f t="shared" si="10"/>
        <v>20</v>
      </c>
      <c r="AN18" s="738"/>
      <c r="AO18" s="122"/>
      <c r="AP18" s="904">
        <f t="shared" si="6"/>
        <v>15</v>
      </c>
      <c r="AQ18" s="828"/>
      <c r="AR18" s="705"/>
      <c r="AS18" s="736"/>
      <c r="AT18" s="705">
        <f t="shared" si="14"/>
        <v>0</v>
      </c>
      <c r="AU18" s="703"/>
      <c r="AV18" s="704"/>
      <c r="AW18" s="740">
        <f t="shared" si="11"/>
        <v>150</v>
      </c>
    </row>
    <row r="19" spans="1:49" x14ac:dyDescent="0.25">
      <c r="A19" s="122"/>
      <c r="B19" s="83">
        <f t="shared" si="0"/>
        <v>5</v>
      </c>
      <c r="C19" s="15"/>
      <c r="D19" s="538"/>
      <c r="E19" s="735"/>
      <c r="F19" s="538">
        <f t="shared" si="1"/>
        <v>0</v>
      </c>
      <c r="G19" s="330"/>
      <c r="H19" s="331"/>
      <c r="I19" s="745">
        <f t="shared" si="7"/>
        <v>50</v>
      </c>
      <c r="K19" s="122"/>
      <c r="L19" s="83">
        <f t="shared" si="2"/>
        <v>14</v>
      </c>
      <c r="M19" s="15">
        <v>1</v>
      </c>
      <c r="N19" s="846">
        <v>10</v>
      </c>
      <c r="O19" s="847">
        <v>44877</v>
      </c>
      <c r="P19" s="846">
        <f t="shared" si="12"/>
        <v>10</v>
      </c>
      <c r="Q19" s="848" t="s">
        <v>266</v>
      </c>
      <c r="R19" s="849">
        <v>115</v>
      </c>
      <c r="S19" s="105">
        <f t="shared" si="8"/>
        <v>140</v>
      </c>
      <c r="U19" s="122"/>
      <c r="V19" s="83">
        <f t="shared" si="3"/>
        <v>15</v>
      </c>
      <c r="W19" s="15"/>
      <c r="X19" s="538"/>
      <c r="Y19" s="735"/>
      <c r="Z19" s="538">
        <f t="shared" si="4"/>
        <v>0</v>
      </c>
      <c r="AA19" s="330"/>
      <c r="AB19" s="331"/>
      <c r="AC19" s="745">
        <f t="shared" si="9"/>
        <v>150</v>
      </c>
      <c r="AE19" s="122"/>
      <c r="AF19" s="904">
        <f t="shared" si="5"/>
        <v>1</v>
      </c>
      <c r="AG19" s="828"/>
      <c r="AH19" s="705"/>
      <c r="AI19" s="736"/>
      <c r="AJ19" s="705">
        <f t="shared" si="13"/>
        <v>0</v>
      </c>
      <c r="AK19" s="703"/>
      <c r="AL19" s="704"/>
      <c r="AM19" s="740">
        <f t="shared" si="10"/>
        <v>20</v>
      </c>
      <c r="AN19" s="738"/>
      <c r="AO19" s="122"/>
      <c r="AP19" s="904">
        <f t="shared" si="6"/>
        <v>15</v>
      </c>
      <c r="AQ19" s="828"/>
      <c r="AR19" s="705"/>
      <c r="AS19" s="736"/>
      <c r="AT19" s="705">
        <f t="shared" si="14"/>
        <v>0</v>
      </c>
      <c r="AU19" s="703"/>
      <c r="AV19" s="704"/>
      <c r="AW19" s="740">
        <f t="shared" si="11"/>
        <v>150</v>
      </c>
    </row>
    <row r="20" spans="1:49" x14ac:dyDescent="0.25">
      <c r="A20" s="122"/>
      <c r="B20" s="83">
        <f t="shared" si="0"/>
        <v>5</v>
      </c>
      <c r="C20" s="15"/>
      <c r="D20" s="538"/>
      <c r="E20" s="735"/>
      <c r="F20" s="538">
        <f t="shared" si="1"/>
        <v>0</v>
      </c>
      <c r="G20" s="330"/>
      <c r="H20" s="331"/>
      <c r="I20" s="745">
        <f t="shared" si="7"/>
        <v>50</v>
      </c>
      <c r="K20" s="122"/>
      <c r="L20" s="83">
        <f t="shared" si="2"/>
        <v>13</v>
      </c>
      <c r="M20" s="15">
        <v>1</v>
      </c>
      <c r="N20" s="846">
        <v>10</v>
      </c>
      <c r="O20" s="847">
        <v>44879</v>
      </c>
      <c r="P20" s="846">
        <f t="shared" si="12"/>
        <v>10</v>
      </c>
      <c r="Q20" s="848" t="s">
        <v>273</v>
      </c>
      <c r="R20" s="849">
        <v>115</v>
      </c>
      <c r="S20" s="105">
        <f t="shared" si="8"/>
        <v>130</v>
      </c>
      <c r="U20" s="122"/>
      <c r="V20" s="83">
        <f t="shared" si="3"/>
        <v>15</v>
      </c>
      <c r="W20" s="15"/>
      <c r="X20" s="538"/>
      <c r="Y20" s="735"/>
      <c r="Z20" s="538">
        <f t="shared" si="4"/>
        <v>0</v>
      </c>
      <c r="AA20" s="330"/>
      <c r="AB20" s="331"/>
      <c r="AC20" s="745">
        <f t="shared" si="9"/>
        <v>150</v>
      </c>
      <c r="AE20" s="122"/>
      <c r="AF20" s="904">
        <f t="shared" si="5"/>
        <v>1</v>
      </c>
      <c r="AG20" s="828"/>
      <c r="AH20" s="705"/>
      <c r="AI20" s="736"/>
      <c r="AJ20" s="705">
        <f t="shared" si="13"/>
        <v>0</v>
      </c>
      <c r="AK20" s="703"/>
      <c r="AL20" s="704"/>
      <c r="AM20" s="740">
        <f t="shared" si="10"/>
        <v>20</v>
      </c>
      <c r="AN20" s="738"/>
      <c r="AO20" s="122"/>
      <c r="AP20" s="904">
        <f t="shared" si="6"/>
        <v>15</v>
      </c>
      <c r="AQ20" s="828"/>
      <c r="AR20" s="705"/>
      <c r="AS20" s="736"/>
      <c r="AT20" s="705">
        <f t="shared" si="14"/>
        <v>0</v>
      </c>
      <c r="AU20" s="703"/>
      <c r="AV20" s="704"/>
      <c r="AW20" s="740">
        <f t="shared" si="11"/>
        <v>150</v>
      </c>
    </row>
    <row r="21" spans="1:49" x14ac:dyDescent="0.25">
      <c r="A21" s="122"/>
      <c r="B21" s="83">
        <f t="shared" si="0"/>
        <v>5</v>
      </c>
      <c r="C21" s="15"/>
      <c r="D21" s="538"/>
      <c r="E21" s="735"/>
      <c r="F21" s="538">
        <f t="shared" si="1"/>
        <v>0</v>
      </c>
      <c r="G21" s="330"/>
      <c r="H21" s="331"/>
      <c r="I21" s="745">
        <f t="shared" si="7"/>
        <v>50</v>
      </c>
      <c r="K21" s="122"/>
      <c r="L21" s="83">
        <f t="shared" si="2"/>
        <v>12</v>
      </c>
      <c r="M21" s="15">
        <v>1</v>
      </c>
      <c r="N21" s="846">
        <v>10</v>
      </c>
      <c r="O21" s="847">
        <v>44880</v>
      </c>
      <c r="P21" s="846">
        <f t="shared" si="12"/>
        <v>10</v>
      </c>
      <c r="Q21" s="848" t="s">
        <v>277</v>
      </c>
      <c r="R21" s="849">
        <v>115</v>
      </c>
      <c r="S21" s="105">
        <f t="shared" si="8"/>
        <v>120</v>
      </c>
      <c r="U21" s="122"/>
      <c r="V21" s="83">
        <f t="shared" si="3"/>
        <v>15</v>
      </c>
      <c r="W21" s="15"/>
      <c r="X21" s="538"/>
      <c r="Y21" s="735"/>
      <c r="Z21" s="538">
        <f t="shared" si="4"/>
        <v>0</v>
      </c>
      <c r="AA21" s="330"/>
      <c r="AB21" s="331"/>
      <c r="AC21" s="745">
        <f t="shared" si="9"/>
        <v>150</v>
      </c>
      <c r="AE21" s="122"/>
      <c r="AF21" s="904">
        <f t="shared" si="5"/>
        <v>1</v>
      </c>
      <c r="AG21" s="828"/>
      <c r="AH21" s="705"/>
      <c r="AI21" s="736"/>
      <c r="AJ21" s="705">
        <f t="shared" si="13"/>
        <v>0</v>
      </c>
      <c r="AK21" s="703"/>
      <c r="AL21" s="704"/>
      <c r="AM21" s="740">
        <f t="shared" si="10"/>
        <v>20</v>
      </c>
      <c r="AN21" s="738"/>
      <c r="AO21" s="122"/>
      <c r="AP21" s="904">
        <f t="shared" si="6"/>
        <v>15</v>
      </c>
      <c r="AQ21" s="828"/>
      <c r="AR21" s="705"/>
      <c r="AS21" s="736"/>
      <c r="AT21" s="705">
        <f t="shared" si="14"/>
        <v>0</v>
      </c>
      <c r="AU21" s="703"/>
      <c r="AV21" s="704"/>
      <c r="AW21" s="740">
        <f t="shared" si="11"/>
        <v>150</v>
      </c>
    </row>
    <row r="22" spans="1:49" x14ac:dyDescent="0.25">
      <c r="A22" s="122"/>
      <c r="B22" s="233">
        <f t="shared" si="0"/>
        <v>5</v>
      </c>
      <c r="C22" s="15"/>
      <c r="D22" s="538"/>
      <c r="E22" s="735"/>
      <c r="F22" s="538">
        <f t="shared" si="1"/>
        <v>0</v>
      </c>
      <c r="G22" s="330"/>
      <c r="H22" s="331"/>
      <c r="I22" s="745">
        <f t="shared" si="7"/>
        <v>50</v>
      </c>
      <c r="K22" s="122"/>
      <c r="L22" s="233">
        <f t="shared" si="2"/>
        <v>11</v>
      </c>
      <c r="M22" s="15">
        <v>1</v>
      </c>
      <c r="N22" s="846">
        <v>10</v>
      </c>
      <c r="O22" s="847">
        <v>44881</v>
      </c>
      <c r="P22" s="846">
        <f t="shared" si="12"/>
        <v>10</v>
      </c>
      <c r="Q22" s="848" t="s">
        <v>279</v>
      </c>
      <c r="R22" s="849">
        <v>115</v>
      </c>
      <c r="S22" s="105">
        <f t="shared" si="8"/>
        <v>110</v>
      </c>
      <c r="U22" s="122"/>
      <c r="V22" s="233">
        <f t="shared" si="3"/>
        <v>15</v>
      </c>
      <c r="W22" s="15"/>
      <c r="X22" s="538"/>
      <c r="Y22" s="735"/>
      <c r="Z22" s="538">
        <f t="shared" si="4"/>
        <v>0</v>
      </c>
      <c r="AA22" s="330"/>
      <c r="AB22" s="331"/>
      <c r="AC22" s="745">
        <f t="shared" si="9"/>
        <v>150</v>
      </c>
      <c r="AE22" s="122"/>
      <c r="AF22" s="1067">
        <f t="shared" si="5"/>
        <v>1</v>
      </c>
      <c r="AG22" s="828"/>
      <c r="AH22" s="705"/>
      <c r="AI22" s="736"/>
      <c r="AJ22" s="705">
        <f t="shared" si="13"/>
        <v>0</v>
      </c>
      <c r="AK22" s="703"/>
      <c r="AL22" s="704"/>
      <c r="AM22" s="740">
        <f t="shared" si="10"/>
        <v>20</v>
      </c>
      <c r="AN22" s="738"/>
      <c r="AO22" s="122"/>
      <c r="AP22" s="1067">
        <f t="shared" si="6"/>
        <v>15</v>
      </c>
      <c r="AQ22" s="828"/>
      <c r="AR22" s="705"/>
      <c r="AS22" s="736"/>
      <c r="AT22" s="705">
        <f t="shared" si="14"/>
        <v>0</v>
      </c>
      <c r="AU22" s="703"/>
      <c r="AV22" s="704"/>
      <c r="AW22" s="740">
        <f t="shared" si="11"/>
        <v>150</v>
      </c>
    </row>
    <row r="23" spans="1:49" x14ac:dyDescent="0.25">
      <c r="A23" s="123"/>
      <c r="B23" s="233">
        <f t="shared" si="0"/>
        <v>5</v>
      </c>
      <c r="C23" s="15"/>
      <c r="D23" s="538"/>
      <c r="E23" s="735"/>
      <c r="F23" s="538">
        <f t="shared" si="1"/>
        <v>0</v>
      </c>
      <c r="G23" s="330"/>
      <c r="H23" s="331"/>
      <c r="I23" s="745">
        <f t="shared" si="7"/>
        <v>50</v>
      </c>
      <c r="K23" s="123"/>
      <c r="L23" s="233">
        <f t="shared" si="2"/>
        <v>10</v>
      </c>
      <c r="M23" s="15">
        <v>1</v>
      </c>
      <c r="N23" s="846">
        <v>10</v>
      </c>
      <c r="O23" s="847">
        <v>44884</v>
      </c>
      <c r="P23" s="846">
        <f t="shared" si="12"/>
        <v>10</v>
      </c>
      <c r="Q23" s="848" t="s">
        <v>291</v>
      </c>
      <c r="R23" s="849">
        <v>115</v>
      </c>
      <c r="S23" s="105">
        <f t="shared" si="8"/>
        <v>100</v>
      </c>
      <c r="U23" s="123"/>
      <c r="V23" s="233">
        <f t="shared" si="3"/>
        <v>15</v>
      </c>
      <c r="W23" s="15"/>
      <c r="X23" s="538"/>
      <c r="Y23" s="735"/>
      <c r="Z23" s="538">
        <f t="shared" si="4"/>
        <v>0</v>
      </c>
      <c r="AA23" s="330"/>
      <c r="AB23" s="331"/>
      <c r="AC23" s="745">
        <f t="shared" si="9"/>
        <v>150</v>
      </c>
      <c r="AE23" s="123"/>
      <c r="AF23" s="1067">
        <f t="shared" si="5"/>
        <v>1</v>
      </c>
      <c r="AG23" s="828"/>
      <c r="AH23" s="705"/>
      <c r="AI23" s="736"/>
      <c r="AJ23" s="705">
        <f t="shared" si="13"/>
        <v>0</v>
      </c>
      <c r="AK23" s="703"/>
      <c r="AL23" s="704"/>
      <c r="AM23" s="740">
        <f t="shared" si="10"/>
        <v>20</v>
      </c>
      <c r="AN23" s="738"/>
      <c r="AO23" s="123"/>
      <c r="AP23" s="1067">
        <f t="shared" si="6"/>
        <v>15</v>
      </c>
      <c r="AQ23" s="828"/>
      <c r="AR23" s="705"/>
      <c r="AS23" s="736"/>
      <c r="AT23" s="705">
        <f t="shared" si="14"/>
        <v>0</v>
      </c>
      <c r="AU23" s="703"/>
      <c r="AV23" s="704"/>
      <c r="AW23" s="740">
        <f t="shared" si="11"/>
        <v>150</v>
      </c>
    </row>
    <row r="24" spans="1:49" x14ac:dyDescent="0.25">
      <c r="A24" s="122"/>
      <c r="B24" s="233">
        <f t="shared" si="0"/>
        <v>5</v>
      </c>
      <c r="C24" s="15"/>
      <c r="D24" s="538"/>
      <c r="E24" s="735"/>
      <c r="F24" s="538">
        <f t="shared" si="1"/>
        <v>0</v>
      </c>
      <c r="G24" s="330"/>
      <c r="H24" s="331"/>
      <c r="I24" s="745">
        <f t="shared" si="7"/>
        <v>50</v>
      </c>
      <c r="K24" s="122"/>
      <c r="L24" s="233">
        <f t="shared" si="2"/>
        <v>9</v>
      </c>
      <c r="M24" s="15">
        <v>1</v>
      </c>
      <c r="N24" s="846">
        <v>10</v>
      </c>
      <c r="O24" s="847">
        <v>44888</v>
      </c>
      <c r="P24" s="846">
        <f t="shared" si="12"/>
        <v>10</v>
      </c>
      <c r="Q24" s="848" t="s">
        <v>298</v>
      </c>
      <c r="R24" s="849">
        <v>115</v>
      </c>
      <c r="S24" s="105">
        <f t="shared" si="8"/>
        <v>90</v>
      </c>
      <c r="U24" s="122"/>
      <c r="V24" s="233">
        <f t="shared" si="3"/>
        <v>15</v>
      </c>
      <c r="W24" s="15"/>
      <c r="X24" s="538"/>
      <c r="Y24" s="735"/>
      <c r="Z24" s="538">
        <f t="shared" si="4"/>
        <v>0</v>
      </c>
      <c r="AA24" s="330"/>
      <c r="AB24" s="331"/>
      <c r="AC24" s="745">
        <f t="shared" si="9"/>
        <v>150</v>
      </c>
      <c r="AE24" s="122"/>
      <c r="AF24" s="1067">
        <f t="shared" si="5"/>
        <v>1</v>
      </c>
      <c r="AG24" s="828"/>
      <c r="AH24" s="705"/>
      <c r="AI24" s="736"/>
      <c r="AJ24" s="705">
        <f t="shared" si="13"/>
        <v>0</v>
      </c>
      <c r="AK24" s="703"/>
      <c r="AL24" s="704"/>
      <c r="AM24" s="740">
        <f t="shared" si="10"/>
        <v>20</v>
      </c>
      <c r="AN24" s="738"/>
      <c r="AO24" s="122"/>
      <c r="AP24" s="1067">
        <f t="shared" si="6"/>
        <v>15</v>
      </c>
      <c r="AQ24" s="828"/>
      <c r="AR24" s="705"/>
      <c r="AS24" s="736"/>
      <c r="AT24" s="705">
        <f t="shared" si="14"/>
        <v>0</v>
      </c>
      <c r="AU24" s="703"/>
      <c r="AV24" s="704"/>
      <c r="AW24" s="740">
        <f t="shared" si="11"/>
        <v>150</v>
      </c>
    </row>
    <row r="25" spans="1:49" x14ac:dyDescent="0.25">
      <c r="A25" s="122"/>
      <c r="B25" s="233">
        <f t="shared" si="0"/>
        <v>5</v>
      </c>
      <c r="C25" s="15"/>
      <c r="D25" s="538"/>
      <c r="E25" s="735"/>
      <c r="F25" s="538">
        <f t="shared" si="1"/>
        <v>0</v>
      </c>
      <c r="G25" s="330"/>
      <c r="H25" s="331"/>
      <c r="I25" s="745">
        <f t="shared" si="7"/>
        <v>50</v>
      </c>
      <c r="K25" s="122"/>
      <c r="L25" s="861">
        <f t="shared" si="2"/>
        <v>8</v>
      </c>
      <c r="M25" s="15">
        <v>1</v>
      </c>
      <c r="N25" s="846">
        <v>10</v>
      </c>
      <c r="O25" s="847">
        <v>44889</v>
      </c>
      <c r="P25" s="846">
        <f t="shared" si="12"/>
        <v>10</v>
      </c>
      <c r="Q25" s="848" t="s">
        <v>303</v>
      </c>
      <c r="R25" s="849">
        <v>115</v>
      </c>
      <c r="S25" s="831">
        <f t="shared" si="8"/>
        <v>80</v>
      </c>
      <c r="U25" s="122"/>
      <c r="V25" s="233">
        <f t="shared" si="3"/>
        <v>15</v>
      </c>
      <c r="W25" s="15"/>
      <c r="X25" s="538"/>
      <c r="Y25" s="735"/>
      <c r="Z25" s="538">
        <f t="shared" si="4"/>
        <v>0</v>
      </c>
      <c r="AA25" s="330"/>
      <c r="AB25" s="331"/>
      <c r="AC25" s="745">
        <f t="shared" si="9"/>
        <v>150</v>
      </c>
      <c r="AE25" s="122"/>
      <c r="AF25" s="1067">
        <f t="shared" si="5"/>
        <v>1</v>
      </c>
      <c r="AG25" s="828"/>
      <c r="AH25" s="705"/>
      <c r="AI25" s="736"/>
      <c r="AJ25" s="705">
        <f t="shared" si="13"/>
        <v>0</v>
      </c>
      <c r="AK25" s="703"/>
      <c r="AL25" s="704"/>
      <c r="AM25" s="740">
        <f t="shared" si="10"/>
        <v>20</v>
      </c>
      <c r="AN25" s="738"/>
      <c r="AO25" s="122"/>
      <c r="AP25" s="1067">
        <f t="shared" si="6"/>
        <v>15</v>
      </c>
      <c r="AQ25" s="828"/>
      <c r="AR25" s="705"/>
      <c r="AS25" s="736"/>
      <c r="AT25" s="705">
        <f t="shared" si="14"/>
        <v>0</v>
      </c>
      <c r="AU25" s="703"/>
      <c r="AV25" s="704"/>
      <c r="AW25" s="740">
        <f t="shared" si="11"/>
        <v>150</v>
      </c>
    </row>
    <row r="26" spans="1:49" x14ac:dyDescent="0.25">
      <c r="A26" s="122"/>
      <c r="B26" s="182">
        <f t="shared" si="0"/>
        <v>5</v>
      </c>
      <c r="C26" s="15"/>
      <c r="D26" s="538"/>
      <c r="E26" s="735"/>
      <c r="F26" s="538">
        <f t="shared" si="1"/>
        <v>0</v>
      </c>
      <c r="G26" s="330"/>
      <c r="H26" s="331"/>
      <c r="I26" s="745">
        <f t="shared" si="7"/>
        <v>50</v>
      </c>
      <c r="K26" s="122"/>
      <c r="L26" s="182">
        <f t="shared" si="2"/>
        <v>8</v>
      </c>
      <c r="M26" s="15"/>
      <c r="N26" s="538"/>
      <c r="O26" s="735"/>
      <c r="P26" s="538">
        <f t="shared" si="12"/>
        <v>0</v>
      </c>
      <c r="Q26" s="330"/>
      <c r="R26" s="331"/>
      <c r="S26" s="105">
        <f t="shared" si="8"/>
        <v>80</v>
      </c>
      <c r="U26" s="122"/>
      <c r="V26" s="182">
        <f t="shared" si="3"/>
        <v>15</v>
      </c>
      <c r="W26" s="15"/>
      <c r="X26" s="538"/>
      <c r="Y26" s="735"/>
      <c r="Z26" s="538">
        <f t="shared" si="4"/>
        <v>0</v>
      </c>
      <c r="AA26" s="330"/>
      <c r="AB26" s="331"/>
      <c r="AC26" s="745">
        <f t="shared" si="9"/>
        <v>150</v>
      </c>
      <c r="AE26" s="122"/>
      <c r="AF26" s="896">
        <f t="shared" si="5"/>
        <v>1</v>
      </c>
      <c r="AG26" s="828"/>
      <c r="AH26" s="705"/>
      <c r="AI26" s="736"/>
      <c r="AJ26" s="705">
        <f t="shared" si="13"/>
        <v>0</v>
      </c>
      <c r="AK26" s="703"/>
      <c r="AL26" s="704"/>
      <c r="AM26" s="740">
        <f t="shared" si="10"/>
        <v>20</v>
      </c>
      <c r="AN26" s="738"/>
      <c r="AO26" s="122"/>
      <c r="AP26" s="896">
        <f t="shared" si="6"/>
        <v>15</v>
      </c>
      <c r="AQ26" s="828"/>
      <c r="AR26" s="705"/>
      <c r="AS26" s="736"/>
      <c r="AT26" s="705">
        <f t="shared" si="14"/>
        <v>0</v>
      </c>
      <c r="AU26" s="703"/>
      <c r="AV26" s="704"/>
      <c r="AW26" s="740">
        <f t="shared" si="11"/>
        <v>150</v>
      </c>
    </row>
    <row r="27" spans="1:49" x14ac:dyDescent="0.25">
      <c r="A27" s="122"/>
      <c r="B27" s="233">
        <f t="shared" si="0"/>
        <v>5</v>
      </c>
      <c r="C27" s="15"/>
      <c r="D27" s="538"/>
      <c r="E27" s="735"/>
      <c r="F27" s="538">
        <f t="shared" si="1"/>
        <v>0</v>
      </c>
      <c r="G27" s="330"/>
      <c r="H27" s="331"/>
      <c r="I27" s="745">
        <f t="shared" si="7"/>
        <v>50</v>
      </c>
      <c r="K27" s="122"/>
      <c r="L27" s="233">
        <f t="shared" si="2"/>
        <v>8</v>
      </c>
      <c r="M27" s="15"/>
      <c r="N27" s="538"/>
      <c r="O27" s="735"/>
      <c r="P27" s="538">
        <f t="shared" si="12"/>
        <v>0</v>
      </c>
      <c r="Q27" s="330"/>
      <c r="R27" s="331"/>
      <c r="S27" s="105">
        <f t="shared" si="8"/>
        <v>80</v>
      </c>
      <c r="U27" s="122"/>
      <c r="V27" s="233">
        <f t="shared" si="3"/>
        <v>15</v>
      </c>
      <c r="W27" s="15"/>
      <c r="X27" s="538"/>
      <c r="Y27" s="735"/>
      <c r="Z27" s="538">
        <f t="shared" si="4"/>
        <v>0</v>
      </c>
      <c r="AA27" s="330"/>
      <c r="AB27" s="331"/>
      <c r="AC27" s="745">
        <f t="shared" si="9"/>
        <v>150</v>
      </c>
      <c r="AE27" s="122"/>
      <c r="AF27" s="1067">
        <f t="shared" si="5"/>
        <v>1</v>
      </c>
      <c r="AG27" s="828"/>
      <c r="AH27" s="705"/>
      <c r="AI27" s="736"/>
      <c r="AJ27" s="705">
        <f t="shared" si="13"/>
        <v>0</v>
      </c>
      <c r="AK27" s="703"/>
      <c r="AL27" s="704"/>
      <c r="AM27" s="740">
        <f t="shared" si="10"/>
        <v>20</v>
      </c>
      <c r="AN27" s="738"/>
      <c r="AO27" s="122"/>
      <c r="AP27" s="1067">
        <f t="shared" si="6"/>
        <v>15</v>
      </c>
      <c r="AQ27" s="828"/>
      <c r="AR27" s="705"/>
      <c r="AS27" s="736"/>
      <c r="AT27" s="705">
        <f t="shared" si="14"/>
        <v>0</v>
      </c>
      <c r="AU27" s="703"/>
      <c r="AV27" s="704"/>
      <c r="AW27" s="740">
        <f t="shared" si="11"/>
        <v>150</v>
      </c>
    </row>
    <row r="28" spans="1:49" x14ac:dyDescent="0.25">
      <c r="A28" s="122"/>
      <c r="B28" s="182">
        <f t="shared" si="0"/>
        <v>5</v>
      </c>
      <c r="C28" s="15"/>
      <c r="D28" s="538"/>
      <c r="E28" s="735"/>
      <c r="F28" s="538">
        <f t="shared" si="1"/>
        <v>0</v>
      </c>
      <c r="G28" s="330"/>
      <c r="H28" s="331"/>
      <c r="I28" s="745">
        <f t="shared" si="7"/>
        <v>50</v>
      </c>
      <c r="K28" s="122"/>
      <c r="L28" s="182">
        <f t="shared" si="2"/>
        <v>8</v>
      </c>
      <c r="M28" s="15"/>
      <c r="N28" s="538"/>
      <c r="O28" s="735"/>
      <c r="P28" s="538">
        <f t="shared" si="12"/>
        <v>0</v>
      </c>
      <c r="Q28" s="330"/>
      <c r="R28" s="331"/>
      <c r="S28" s="105">
        <f t="shared" si="8"/>
        <v>80</v>
      </c>
      <c r="U28" s="122"/>
      <c r="V28" s="182">
        <f t="shared" si="3"/>
        <v>15</v>
      </c>
      <c r="W28" s="15"/>
      <c r="X28" s="538"/>
      <c r="Y28" s="735"/>
      <c r="Z28" s="538">
        <f t="shared" si="4"/>
        <v>0</v>
      </c>
      <c r="AA28" s="330"/>
      <c r="AB28" s="331"/>
      <c r="AC28" s="745">
        <f t="shared" si="9"/>
        <v>150</v>
      </c>
      <c r="AE28" s="122"/>
      <c r="AF28" s="896">
        <f t="shared" si="5"/>
        <v>1</v>
      </c>
      <c r="AG28" s="828"/>
      <c r="AH28" s="705"/>
      <c r="AI28" s="736"/>
      <c r="AJ28" s="705">
        <f t="shared" si="13"/>
        <v>0</v>
      </c>
      <c r="AK28" s="703"/>
      <c r="AL28" s="704"/>
      <c r="AM28" s="740">
        <f t="shared" si="10"/>
        <v>20</v>
      </c>
      <c r="AN28" s="738"/>
      <c r="AO28" s="122"/>
      <c r="AP28" s="896">
        <f t="shared" si="6"/>
        <v>15</v>
      </c>
      <c r="AQ28" s="828"/>
      <c r="AR28" s="705"/>
      <c r="AS28" s="736"/>
      <c r="AT28" s="705">
        <f t="shared" si="14"/>
        <v>0</v>
      </c>
      <c r="AU28" s="703"/>
      <c r="AV28" s="704"/>
      <c r="AW28" s="740">
        <f t="shared" si="11"/>
        <v>150</v>
      </c>
    </row>
    <row r="29" spans="1:49" x14ac:dyDescent="0.25">
      <c r="A29" s="122"/>
      <c r="B29" s="233">
        <f t="shared" si="0"/>
        <v>5</v>
      </c>
      <c r="C29" s="15"/>
      <c r="D29" s="538"/>
      <c r="E29" s="735"/>
      <c r="F29" s="538">
        <f t="shared" si="1"/>
        <v>0</v>
      </c>
      <c r="G29" s="330"/>
      <c r="H29" s="331"/>
      <c r="I29" s="745">
        <f t="shared" si="7"/>
        <v>50</v>
      </c>
      <c r="K29" s="122"/>
      <c r="L29" s="233">
        <f t="shared" si="2"/>
        <v>8</v>
      </c>
      <c r="M29" s="15"/>
      <c r="N29" s="538"/>
      <c r="O29" s="735"/>
      <c r="P29" s="538">
        <f t="shared" si="12"/>
        <v>0</v>
      </c>
      <c r="Q29" s="330"/>
      <c r="R29" s="331"/>
      <c r="S29" s="105">
        <f t="shared" si="8"/>
        <v>80</v>
      </c>
      <c r="U29" s="122"/>
      <c r="V29" s="233">
        <f t="shared" si="3"/>
        <v>15</v>
      </c>
      <c r="W29" s="15"/>
      <c r="X29" s="538"/>
      <c r="Y29" s="735"/>
      <c r="Z29" s="538">
        <f t="shared" si="4"/>
        <v>0</v>
      </c>
      <c r="AA29" s="330"/>
      <c r="AB29" s="331"/>
      <c r="AC29" s="745">
        <f t="shared" si="9"/>
        <v>150</v>
      </c>
      <c r="AE29" s="122"/>
      <c r="AF29" s="233">
        <f t="shared" si="5"/>
        <v>1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20</v>
      </c>
      <c r="AO29" s="122"/>
      <c r="AP29" s="233">
        <f t="shared" si="6"/>
        <v>15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150</v>
      </c>
    </row>
    <row r="30" spans="1:49" x14ac:dyDescent="0.25">
      <c r="A30" s="122"/>
      <c r="B30" s="233">
        <f t="shared" si="0"/>
        <v>5</v>
      </c>
      <c r="C30" s="15"/>
      <c r="D30" s="538"/>
      <c r="E30" s="735"/>
      <c r="F30" s="538">
        <f t="shared" si="1"/>
        <v>0</v>
      </c>
      <c r="G30" s="330"/>
      <c r="H30" s="331"/>
      <c r="I30" s="745">
        <f t="shared" si="7"/>
        <v>50</v>
      </c>
      <c r="K30" s="122"/>
      <c r="L30" s="233">
        <f t="shared" si="2"/>
        <v>8</v>
      </c>
      <c r="M30" s="15"/>
      <c r="N30" s="538"/>
      <c r="O30" s="735"/>
      <c r="P30" s="538">
        <f t="shared" si="12"/>
        <v>0</v>
      </c>
      <c r="Q30" s="330"/>
      <c r="R30" s="331"/>
      <c r="S30" s="105">
        <f t="shared" si="8"/>
        <v>80</v>
      </c>
      <c r="U30" s="122"/>
      <c r="V30" s="233">
        <f t="shared" si="3"/>
        <v>15</v>
      </c>
      <c r="W30" s="15"/>
      <c r="X30" s="538"/>
      <c r="Y30" s="735"/>
      <c r="Z30" s="538">
        <f t="shared" si="4"/>
        <v>0</v>
      </c>
      <c r="AA30" s="330"/>
      <c r="AB30" s="331"/>
      <c r="AC30" s="745">
        <f t="shared" si="9"/>
        <v>150</v>
      </c>
      <c r="AE30" s="122"/>
      <c r="AF30" s="233">
        <f t="shared" si="5"/>
        <v>1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20</v>
      </c>
      <c r="AO30" s="122"/>
      <c r="AP30" s="233">
        <f t="shared" si="6"/>
        <v>15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150</v>
      </c>
    </row>
    <row r="31" spans="1:49" x14ac:dyDescent="0.25">
      <c r="A31" s="122"/>
      <c r="B31" s="233">
        <f t="shared" si="0"/>
        <v>5</v>
      </c>
      <c r="C31" s="15"/>
      <c r="D31" s="538"/>
      <c r="E31" s="735"/>
      <c r="F31" s="538">
        <f t="shared" si="1"/>
        <v>0</v>
      </c>
      <c r="G31" s="330"/>
      <c r="H31" s="331"/>
      <c r="I31" s="745">
        <f t="shared" si="7"/>
        <v>50</v>
      </c>
      <c r="K31" s="122"/>
      <c r="L31" s="233">
        <f t="shared" si="2"/>
        <v>8</v>
      </c>
      <c r="M31" s="15"/>
      <c r="N31" s="538"/>
      <c r="O31" s="735"/>
      <c r="P31" s="538">
        <f t="shared" si="12"/>
        <v>0</v>
      </c>
      <c r="Q31" s="330"/>
      <c r="R31" s="331"/>
      <c r="S31" s="105">
        <f t="shared" si="8"/>
        <v>80</v>
      </c>
      <c r="U31" s="122"/>
      <c r="V31" s="233">
        <f t="shared" si="3"/>
        <v>15</v>
      </c>
      <c r="W31" s="15"/>
      <c r="X31" s="538"/>
      <c r="Y31" s="735"/>
      <c r="Z31" s="538">
        <f t="shared" si="4"/>
        <v>0</v>
      </c>
      <c r="AA31" s="330"/>
      <c r="AB31" s="331"/>
      <c r="AC31" s="745">
        <f t="shared" si="9"/>
        <v>150</v>
      </c>
      <c r="AE31" s="122"/>
      <c r="AF31" s="233">
        <f t="shared" si="5"/>
        <v>1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20</v>
      </c>
      <c r="AO31" s="122"/>
      <c r="AP31" s="233">
        <f t="shared" si="6"/>
        <v>15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150</v>
      </c>
    </row>
    <row r="32" spans="1:49" x14ac:dyDescent="0.25">
      <c r="A32" s="122"/>
      <c r="B32" s="233">
        <f t="shared" si="0"/>
        <v>5</v>
      </c>
      <c r="C32" s="15"/>
      <c r="D32" s="538"/>
      <c r="E32" s="735"/>
      <c r="F32" s="538">
        <f t="shared" si="1"/>
        <v>0</v>
      </c>
      <c r="G32" s="330"/>
      <c r="H32" s="331"/>
      <c r="I32" s="745">
        <f t="shared" si="7"/>
        <v>50</v>
      </c>
      <c r="K32" s="122"/>
      <c r="L32" s="233">
        <f t="shared" si="2"/>
        <v>8</v>
      </c>
      <c r="M32" s="15"/>
      <c r="N32" s="538"/>
      <c r="O32" s="735"/>
      <c r="P32" s="538">
        <f t="shared" si="12"/>
        <v>0</v>
      </c>
      <c r="Q32" s="330"/>
      <c r="R32" s="331"/>
      <c r="S32" s="105">
        <f t="shared" si="8"/>
        <v>80</v>
      </c>
      <c r="U32" s="122"/>
      <c r="V32" s="233">
        <f t="shared" si="3"/>
        <v>15</v>
      </c>
      <c r="W32" s="15"/>
      <c r="X32" s="538"/>
      <c r="Y32" s="735"/>
      <c r="Z32" s="538">
        <f t="shared" si="4"/>
        <v>0</v>
      </c>
      <c r="AA32" s="330"/>
      <c r="AB32" s="331"/>
      <c r="AC32" s="745">
        <f t="shared" si="9"/>
        <v>150</v>
      </c>
      <c r="AE32" s="122"/>
      <c r="AF32" s="233">
        <f t="shared" si="5"/>
        <v>1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20</v>
      </c>
      <c r="AO32" s="122"/>
      <c r="AP32" s="233">
        <f t="shared" si="6"/>
        <v>15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150</v>
      </c>
    </row>
    <row r="33" spans="1:49" x14ac:dyDescent="0.25">
      <c r="A33" s="122"/>
      <c r="B33" s="233">
        <f t="shared" si="0"/>
        <v>5</v>
      </c>
      <c r="C33" s="15"/>
      <c r="D33" s="538"/>
      <c r="E33" s="735"/>
      <c r="F33" s="538">
        <f t="shared" si="1"/>
        <v>0</v>
      </c>
      <c r="G33" s="330"/>
      <c r="H33" s="331"/>
      <c r="I33" s="745">
        <f t="shared" si="7"/>
        <v>50</v>
      </c>
      <c r="K33" s="122"/>
      <c r="L33" s="233">
        <f t="shared" si="2"/>
        <v>8</v>
      </c>
      <c r="M33" s="15"/>
      <c r="N33" s="538"/>
      <c r="O33" s="735"/>
      <c r="P33" s="538">
        <f t="shared" si="12"/>
        <v>0</v>
      </c>
      <c r="Q33" s="330"/>
      <c r="R33" s="331"/>
      <c r="S33" s="105">
        <f t="shared" si="8"/>
        <v>80</v>
      </c>
      <c r="U33" s="122"/>
      <c r="V33" s="233">
        <f t="shared" si="3"/>
        <v>15</v>
      </c>
      <c r="W33" s="15"/>
      <c r="X33" s="538"/>
      <c r="Y33" s="735"/>
      <c r="Z33" s="538">
        <f t="shared" si="4"/>
        <v>0</v>
      </c>
      <c r="AA33" s="330"/>
      <c r="AB33" s="331"/>
      <c r="AC33" s="745">
        <f t="shared" si="9"/>
        <v>150</v>
      </c>
      <c r="AE33" s="122"/>
      <c r="AF33" s="233">
        <f t="shared" si="5"/>
        <v>1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20</v>
      </c>
      <c r="AO33" s="122"/>
      <c r="AP33" s="233">
        <f t="shared" si="6"/>
        <v>15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150</v>
      </c>
    </row>
    <row r="34" spans="1:49" x14ac:dyDescent="0.25">
      <c r="A34" s="122"/>
      <c r="B34" s="233">
        <f t="shared" si="0"/>
        <v>5</v>
      </c>
      <c r="C34" s="15"/>
      <c r="D34" s="538"/>
      <c r="E34" s="735"/>
      <c r="F34" s="538">
        <f t="shared" si="1"/>
        <v>0</v>
      </c>
      <c r="G34" s="330"/>
      <c r="H34" s="331"/>
      <c r="I34" s="745">
        <f t="shared" si="7"/>
        <v>50</v>
      </c>
      <c r="K34" s="122"/>
      <c r="L34" s="233">
        <f t="shared" si="2"/>
        <v>8</v>
      </c>
      <c r="M34" s="15"/>
      <c r="N34" s="538"/>
      <c r="O34" s="735"/>
      <c r="P34" s="538">
        <f t="shared" si="12"/>
        <v>0</v>
      </c>
      <c r="Q34" s="330"/>
      <c r="R34" s="331"/>
      <c r="S34" s="105">
        <f t="shared" si="8"/>
        <v>80</v>
      </c>
      <c r="U34" s="122"/>
      <c r="V34" s="233">
        <f t="shared" si="3"/>
        <v>15</v>
      </c>
      <c r="W34" s="15"/>
      <c r="X34" s="538"/>
      <c r="Y34" s="735"/>
      <c r="Z34" s="538">
        <f t="shared" si="4"/>
        <v>0</v>
      </c>
      <c r="AA34" s="330"/>
      <c r="AB34" s="331"/>
      <c r="AC34" s="745">
        <f t="shared" si="9"/>
        <v>150</v>
      </c>
      <c r="AE34" s="122"/>
      <c r="AF34" s="233">
        <f t="shared" si="5"/>
        <v>1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20</v>
      </c>
      <c r="AO34" s="122"/>
      <c r="AP34" s="233">
        <f t="shared" si="6"/>
        <v>15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150</v>
      </c>
    </row>
    <row r="35" spans="1:49" x14ac:dyDescent="0.25">
      <c r="A35" s="122"/>
      <c r="B35" s="233">
        <f t="shared" si="0"/>
        <v>5</v>
      </c>
      <c r="C35" s="15"/>
      <c r="D35" s="538"/>
      <c r="E35" s="735"/>
      <c r="F35" s="538">
        <f t="shared" si="1"/>
        <v>0</v>
      </c>
      <c r="G35" s="330"/>
      <c r="H35" s="331"/>
      <c r="I35" s="745">
        <f t="shared" si="7"/>
        <v>50</v>
      </c>
      <c r="K35" s="122"/>
      <c r="L35" s="233">
        <f t="shared" si="2"/>
        <v>8</v>
      </c>
      <c r="M35" s="15"/>
      <c r="N35" s="538"/>
      <c r="O35" s="735"/>
      <c r="P35" s="538">
        <f t="shared" si="12"/>
        <v>0</v>
      </c>
      <c r="Q35" s="330"/>
      <c r="R35" s="331"/>
      <c r="S35" s="105">
        <f t="shared" si="8"/>
        <v>80</v>
      </c>
      <c r="U35" s="122"/>
      <c r="V35" s="233">
        <f t="shared" si="3"/>
        <v>15</v>
      </c>
      <c r="W35" s="15"/>
      <c r="X35" s="538"/>
      <c r="Y35" s="735"/>
      <c r="Z35" s="538">
        <f t="shared" si="4"/>
        <v>0</v>
      </c>
      <c r="AA35" s="330"/>
      <c r="AB35" s="331"/>
      <c r="AC35" s="745">
        <f t="shared" si="9"/>
        <v>150</v>
      </c>
      <c r="AE35" s="122"/>
      <c r="AF35" s="233">
        <f t="shared" si="5"/>
        <v>1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20</v>
      </c>
      <c r="AO35" s="122"/>
      <c r="AP35" s="233">
        <f t="shared" si="6"/>
        <v>15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150</v>
      </c>
    </row>
    <row r="36" spans="1:49" x14ac:dyDescent="0.25">
      <c r="A36" s="122" t="s">
        <v>22</v>
      </c>
      <c r="B36" s="233">
        <f t="shared" si="0"/>
        <v>5</v>
      </c>
      <c r="C36" s="15"/>
      <c r="D36" s="538"/>
      <c r="E36" s="735"/>
      <c r="F36" s="538">
        <f t="shared" si="1"/>
        <v>0</v>
      </c>
      <c r="G36" s="330"/>
      <c r="H36" s="331"/>
      <c r="I36" s="745">
        <f t="shared" si="7"/>
        <v>50</v>
      </c>
      <c r="K36" s="122" t="s">
        <v>22</v>
      </c>
      <c r="L36" s="233">
        <f t="shared" si="2"/>
        <v>8</v>
      </c>
      <c r="M36" s="15"/>
      <c r="N36" s="538"/>
      <c r="O36" s="735"/>
      <c r="P36" s="538">
        <f t="shared" si="12"/>
        <v>0</v>
      </c>
      <c r="Q36" s="330"/>
      <c r="R36" s="331"/>
      <c r="S36" s="105">
        <f t="shared" si="8"/>
        <v>80</v>
      </c>
      <c r="U36" s="122" t="s">
        <v>22</v>
      </c>
      <c r="V36" s="233">
        <f t="shared" si="3"/>
        <v>15</v>
      </c>
      <c r="W36" s="15"/>
      <c r="X36" s="538"/>
      <c r="Y36" s="735"/>
      <c r="Z36" s="538">
        <f t="shared" si="4"/>
        <v>0</v>
      </c>
      <c r="AA36" s="330"/>
      <c r="AB36" s="331"/>
      <c r="AC36" s="745">
        <f t="shared" si="9"/>
        <v>150</v>
      </c>
      <c r="AE36" s="122" t="s">
        <v>22</v>
      </c>
      <c r="AF36" s="233">
        <f t="shared" si="5"/>
        <v>1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20</v>
      </c>
      <c r="AO36" s="122" t="s">
        <v>22</v>
      </c>
      <c r="AP36" s="233">
        <f t="shared" si="6"/>
        <v>15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150</v>
      </c>
    </row>
    <row r="37" spans="1:49" x14ac:dyDescent="0.25">
      <c r="A37" s="123"/>
      <c r="B37" s="233">
        <f t="shared" si="0"/>
        <v>5</v>
      </c>
      <c r="C37" s="15"/>
      <c r="D37" s="538"/>
      <c r="E37" s="735"/>
      <c r="F37" s="538">
        <f t="shared" si="1"/>
        <v>0</v>
      </c>
      <c r="G37" s="330"/>
      <c r="H37" s="331"/>
      <c r="I37" s="745">
        <f t="shared" si="7"/>
        <v>50</v>
      </c>
      <c r="K37" s="123"/>
      <c r="L37" s="233">
        <f t="shared" si="2"/>
        <v>8</v>
      </c>
      <c r="M37" s="15"/>
      <c r="N37" s="538"/>
      <c r="O37" s="735"/>
      <c r="P37" s="538">
        <f t="shared" si="12"/>
        <v>0</v>
      </c>
      <c r="Q37" s="330"/>
      <c r="R37" s="331"/>
      <c r="S37" s="105">
        <f t="shared" si="8"/>
        <v>80</v>
      </c>
      <c r="U37" s="123"/>
      <c r="V37" s="233">
        <f t="shared" si="3"/>
        <v>15</v>
      </c>
      <c r="W37" s="15"/>
      <c r="X37" s="538"/>
      <c r="Y37" s="735"/>
      <c r="Z37" s="538">
        <f t="shared" si="4"/>
        <v>0</v>
      </c>
      <c r="AA37" s="330"/>
      <c r="AB37" s="331"/>
      <c r="AC37" s="745">
        <f t="shared" si="9"/>
        <v>150</v>
      </c>
      <c r="AE37" s="123"/>
      <c r="AF37" s="233">
        <f t="shared" si="5"/>
        <v>1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20</v>
      </c>
      <c r="AO37" s="123"/>
      <c r="AP37" s="233">
        <f t="shared" si="6"/>
        <v>15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150</v>
      </c>
    </row>
    <row r="38" spans="1:49" x14ac:dyDescent="0.25">
      <c r="A38" s="122"/>
      <c r="B38" s="233">
        <f t="shared" si="0"/>
        <v>5</v>
      </c>
      <c r="C38" s="15"/>
      <c r="D38" s="538"/>
      <c r="E38" s="735"/>
      <c r="F38" s="538">
        <f t="shared" si="1"/>
        <v>0</v>
      </c>
      <c r="G38" s="330"/>
      <c r="H38" s="331"/>
      <c r="I38" s="745">
        <f t="shared" si="7"/>
        <v>50</v>
      </c>
      <c r="K38" s="122"/>
      <c r="L38" s="233">
        <f t="shared" si="2"/>
        <v>8</v>
      </c>
      <c r="M38" s="15"/>
      <c r="N38" s="538"/>
      <c r="O38" s="735"/>
      <c r="P38" s="538">
        <f t="shared" si="12"/>
        <v>0</v>
      </c>
      <c r="Q38" s="330"/>
      <c r="R38" s="331"/>
      <c r="S38" s="105">
        <f t="shared" si="8"/>
        <v>80</v>
      </c>
      <c r="U38" s="122"/>
      <c r="V38" s="233">
        <f t="shared" si="3"/>
        <v>15</v>
      </c>
      <c r="W38" s="15"/>
      <c r="X38" s="538"/>
      <c r="Y38" s="735"/>
      <c r="Z38" s="538">
        <f t="shared" si="4"/>
        <v>0</v>
      </c>
      <c r="AA38" s="330"/>
      <c r="AB38" s="331"/>
      <c r="AC38" s="745">
        <f t="shared" si="9"/>
        <v>150</v>
      </c>
      <c r="AE38" s="122"/>
      <c r="AF38" s="233">
        <f t="shared" si="5"/>
        <v>1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20</v>
      </c>
      <c r="AO38" s="122"/>
      <c r="AP38" s="233">
        <f t="shared" si="6"/>
        <v>15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150</v>
      </c>
    </row>
    <row r="39" spans="1:49" x14ac:dyDescent="0.25">
      <c r="A39" s="122"/>
      <c r="B39" s="83">
        <f t="shared" si="0"/>
        <v>5</v>
      </c>
      <c r="C39" s="15"/>
      <c r="D39" s="538"/>
      <c r="E39" s="735"/>
      <c r="F39" s="538">
        <f t="shared" si="1"/>
        <v>0</v>
      </c>
      <c r="G39" s="330"/>
      <c r="H39" s="331"/>
      <c r="I39" s="745">
        <f t="shared" si="7"/>
        <v>50</v>
      </c>
      <c r="K39" s="122"/>
      <c r="L39" s="83">
        <f t="shared" si="2"/>
        <v>8</v>
      </c>
      <c r="M39" s="15"/>
      <c r="N39" s="538"/>
      <c r="O39" s="735"/>
      <c r="P39" s="538">
        <f t="shared" si="12"/>
        <v>0</v>
      </c>
      <c r="Q39" s="330"/>
      <c r="R39" s="331"/>
      <c r="S39" s="105">
        <f t="shared" si="8"/>
        <v>80</v>
      </c>
      <c r="U39" s="122"/>
      <c r="V39" s="83">
        <f t="shared" si="3"/>
        <v>15</v>
      </c>
      <c r="W39" s="15"/>
      <c r="X39" s="538"/>
      <c r="Y39" s="735"/>
      <c r="Z39" s="538">
        <f t="shared" si="4"/>
        <v>0</v>
      </c>
      <c r="AA39" s="330"/>
      <c r="AB39" s="331"/>
      <c r="AC39" s="745">
        <f t="shared" si="9"/>
        <v>150</v>
      </c>
      <c r="AE39" s="122"/>
      <c r="AF39" s="83">
        <f t="shared" si="5"/>
        <v>1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20</v>
      </c>
      <c r="AO39" s="122"/>
      <c r="AP39" s="83">
        <f t="shared" si="6"/>
        <v>15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150</v>
      </c>
    </row>
    <row r="40" spans="1:49" x14ac:dyDescent="0.25">
      <c r="A40" s="122"/>
      <c r="B40" s="83">
        <f t="shared" si="0"/>
        <v>5</v>
      </c>
      <c r="C40" s="15"/>
      <c r="D40" s="538"/>
      <c r="E40" s="735"/>
      <c r="F40" s="538">
        <f t="shared" si="1"/>
        <v>0</v>
      </c>
      <c r="G40" s="330"/>
      <c r="H40" s="331"/>
      <c r="I40" s="745">
        <f t="shared" si="7"/>
        <v>50</v>
      </c>
      <c r="K40" s="122"/>
      <c r="L40" s="83">
        <f t="shared" si="2"/>
        <v>8</v>
      </c>
      <c r="M40" s="15"/>
      <c r="N40" s="538"/>
      <c r="O40" s="735"/>
      <c r="P40" s="538">
        <f t="shared" si="12"/>
        <v>0</v>
      </c>
      <c r="Q40" s="330"/>
      <c r="R40" s="331"/>
      <c r="S40" s="105">
        <f t="shared" si="8"/>
        <v>80</v>
      </c>
      <c r="U40" s="122"/>
      <c r="V40" s="83">
        <f t="shared" si="3"/>
        <v>15</v>
      </c>
      <c r="W40" s="15"/>
      <c r="X40" s="538"/>
      <c r="Y40" s="735"/>
      <c r="Z40" s="538">
        <f t="shared" si="4"/>
        <v>0</v>
      </c>
      <c r="AA40" s="330"/>
      <c r="AB40" s="331"/>
      <c r="AC40" s="745">
        <f t="shared" si="9"/>
        <v>150</v>
      </c>
      <c r="AE40" s="122"/>
      <c r="AF40" s="83">
        <f t="shared" si="5"/>
        <v>1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20</v>
      </c>
      <c r="AO40" s="122"/>
      <c r="AP40" s="83">
        <f t="shared" si="6"/>
        <v>15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150</v>
      </c>
    </row>
    <row r="41" spans="1:49" x14ac:dyDescent="0.25">
      <c r="A41" s="122"/>
      <c r="B41" s="83">
        <f t="shared" si="0"/>
        <v>5</v>
      </c>
      <c r="C41" s="15"/>
      <c r="D41" s="538"/>
      <c r="E41" s="735"/>
      <c r="F41" s="538">
        <f t="shared" si="1"/>
        <v>0</v>
      </c>
      <c r="G41" s="330"/>
      <c r="H41" s="331"/>
      <c r="I41" s="745">
        <f t="shared" si="7"/>
        <v>50</v>
      </c>
      <c r="K41" s="122"/>
      <c r="L41" s="83">
        <f t="shared" si="2"/>
        <v>8</v>
      </c>
      <c r="M41" s="15"/>
      <c r="N41" s="538"/>
      <c r="O41" s="735"/>
      <c r="P41" s="538">
        <f t="shared" si="12"/>
        <v>0</v>
      </c>
      <c r="Q41" s="330"/>
      <c r="R41" s="331"/>
      <c r="S41" s="105">
        <f t="shared" si="8"/>
        <v>80</v>
      </c>
      <c r="U41" s="122"/>
      <c r="V41" s="83">
        <f t="shared" si="3"/>
        <v>15</v>
      </c>
      <c r="W41" s="15"/>
      <c r="X41" s="538"/>
      <c r="Y41" s="735"/>
      <c r="Z41" s="538">
        <f t="shared" si="4"/>
        <v>0</v>
      </c>
      <c r="AA41" s="330"/>
      <c r="AB41" s="331"/>
      <c r="AC41" s="745">
        <f t="shared" si="9"/>
        <v>150</v>
      </c>
      <c r="AE41" s="122"/>
      <c r="AF41" s="83">
        <f t="shared" si="5"/>
        <v>1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20</v>
      </c>
      <c r="AO41" s="122"/>
      <c r="AP41" s="83">
        <f t="shared" si="6"/>
        <v>15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150</v>
      </c>
    </row>
    <row r="42" spans="1:49" x14ac:dyDescent="0.25">
      <c r="A42" s="122"/>
      <c r="B42" s="83">
        <f t="shared" si="0"/>
        <v>5</v>
      </c>
      <c r="C42" s="15"/>
      <c r="D42" s="538"/>
      <c r="E42" s="735"/>
      <c r="F42" s="538">
        <f t="shared" si="1"/>
        <v>0</v>
      </c>
      <c r="G42" s="330"/>
      <c r="H42" s="331"/>
      <c r="I42" s="745">
        <f t="shared" si="7"/>
        <v>50</v>
      </c>
      <c r="K42" s="122"/>
      <c r="L42" s="83">
        <f t="shared" si="2"/>
        <v>8</v>
      </c>
      <c r="M42" s="15"/>
      <c r="N42" s="538"/>
      <c r="O42" s="735"/>
      <c r="P42" s="538">
        <f t="shared" si="12"/>
        <v>0</v>
      </c>
      <c r="Q42" s="330"/>
      <c r="R42" s="331"/>
      <c r="S42" s="105">
        <f t="shared" si="8"/>
        <v>80</v>
      </c>
      <c r="U42" s="122"/>
      <c r="V42" s="83">
        <f t="shared" si="3"/>
        <v>15</v>
      </c>
      <c r="W42" s="15"/>
      <c r="X42" s="538"/>
      <c r="Y42" s="735"/>
      <c r="Z42" s="538">
        <f t="shared" si="4"/>
        <v>0</v>
      </c>
      <c r="AA42" s="330"/>
      <c r="AB42" s="331"/>
      <c r="AC42" s="745">
        <f t="shared" si="9"/>
        <v>150</v>
      </c>
      <c r="AE42" s="122"/>
      <c r="AF42" s="83">
        <f t="shared" si="5"/>
        <v>1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20</v>
      </c>
      <c r="AO42" s="122"/>
      <c r="AP42" s="83">
        <f t="shared" si="6"/>
        <v>15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150</v>
      </c>
    </row>
    <row r="43" spans="1:49" x14ac:dyDescent="0.25">
      <c r="A43" s="122"/>
      <c r="B43" s="83">
        <f t="shared" si="0"/>
        <v>5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50</v>
      </c>
      <c r="K43" s="122"/>
      <c r="L43" s="83">
        <f t="shared" si="2"/>
        <v>8</v>
      </c>
      <c r="M43" s="15"/>
      <c r="N43" s="538"/>
      <c r="O43" s="735"/>
      <c r="P43" s="538">
        <f t="shared" si="12"/>
        <v>0</v>
      </c>
      <c r="Q43" s="330"/>
      <c r="R43" s="331"/>
      <c r="S43" s="105">
        <f t="shared" si="8"/>
        <v>80</v>
      </c>
      <c r="U43" s="122"/>
      <c r="V43" s="83">
        <f t="shared" si="3"/>
        <v>15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150</v>
      </c>
      <c r="AE43" s="122"/>
      <c r="AF43" s="83">
        <f t="shared" si="5"/>
        <v>1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20</v>
      </c>
      <c r="AO43" s="122"/>
      <c r="AP43" s="83">
        <f t="shared" si="6"/>
        <v>15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150</v>
      </c>
    </row>
    <row r="44" spans="1:49" x14ac:dyDescent="0.25">
      <c r="A44" s="122"/>
      <c r="B44" s="83">
        <f t="shared" si="0"/>
        <v>5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50</v>
      </c>
      <c r="K44" s="122"/>
      <c r="L44" s="83">
        <f t="shared" si="2"/>
        <v>8</v>
      </c>
      <c r="M44" s="15"/>
      <c r="N44" s="538"/>
      <c r="O44" s="735"/>
      <c r="P44" s="538">
        <f t="shared" si="12"/>
        <v>0</v>
      </c>
      <c r="Q44" s="330"/>
      <c r="R44" s="331"/>
      <c r="S44" s="105">
        <f t="shared" si="8"/>
        <v>80</v>
      </c>
      <c r="U44" s="122"/>
      <c r="V44" s="83">
        <f t="shared" si="3"/>
        <v>15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150</v>
      </c>
      <c r="AE44" s="122"/>
      <c r="AF44" s="83">
        <f t="shared" si="5"/>
        <v>1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20</v>
      </c>
      <c r="AO44" s="122"/>
      <c r="AP44" s="83">
        <f t="shared" si="6"/>
        <v>15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150</v>
      </c>
    </row>
    <row r="45" spans="1:49" x14ac:dyDescent="0.25">
      <c r="A45" s="122"/>
      <c r="B45" s="83">
        <f t="shared" si="0"/>
        <v>5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50</v>
      </c>
      <c r="K45" s="122"/>
      <c r="L45" s="83">
        <f t="shared" si="2"/>
        <v>8</v>
      </c>
      <c r="M45" s="15"/>
      <c r="N45" s="538"/>
      <c r="O45" s="735"/>
      <c r="P45" s="538">
        <f t="shared" si="12"/>
        <v>0</v>
      </c>
      <c r="Q45" s="330"/>
      <c r="R45" s="331"/>
      <c r="S45" s="105">
        <f t="shared" si="8"/>
        <v>80</v>
      </c>
      <c r="U45" s="122"/>
      <c r="V45" s="83">
        <f t="shared" si="3"/>
        <v>15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150</v>
      </c>
      <c r="AE45" s="122"/>
      <c r="AF45" s="83">
        <f t="shared" si="5"/>
        <v>1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20</v>
      </c>
      <c r="AO45" s="122"/>
      <c r="AP45" s="83">
        <f t="shared" si="6"/>
        <v>15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150</v>
      </c>
    </row>
    <row r="46" spans="1:49" x14ac:dyDescent="0.25">
      <c r="A46" s="122"/>
      <c r="B46" s="83">
        <f t="shared" si="0"/>
        <v>5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50</v>
      </c>
      <c r="K46" s="122"/>
      <c r="L46" s="83">
        <f t="shared" si="2"/>
        <v>8</v>
      </c>
      <c r="M46" s="15"/>
      <c r="N46" s="538"/>
      <c r="O46" s="735"/>
      <c r="P46" s="538">
        <f t="shared" si="12"/>
        <v>0</v>
      </c>
      <c r="Q46" s="330"/>
      <c r="R46" s="331"/>
      <c r="S46" s="105">
        <f t="shared" si="8"/>
        <v>80</v>
      </c>
      <c r="U46" s="122"/>
      <c r="V46" s="83">
        <f t="shared" si="3"/>
        <v>15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150</v>
      </c>
      <c r="AE46" s="122"/>
      <c r="AF46" s="83">
        <f t="shared" si="5"/>
        <v>1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20</v>
      </c>
      <c r="AO46" s="122"/>
      <c r="AP46" s="83">
        <f t="shared" si="6"/>
        <v>15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150</v>
      </c>
    </row>
    <row r="47" spans="1:49" x14ac:dyDescent="0.25">
      <c r="A47" s="122"/>
      <c r="B47" s="83">
        <f t="shared" si="0"/>
        <v>5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50</v>
      </c>
      <c r="K47" s="122"/>
      <c r="L47" s="83">
        <f t="shared" si="2"/>
        <v>8</v>
      </c>
      <c r="M47" s="15"/>
      <c r="N47" s="538"/>
      <c r="O47" s="735"/>
      <c r="P47" s="538">
        <f t="shared" si="12"/>
        <v>0</v>
      </c>
      <c r="Q47" s="330"/>
      <c r="R47" s="331"/>
      <c r="S47" s="105">
        <f t="shared" si="8"/>
        <v>80</v>
      </c>
      <c r="U47" s="122"/>
      <c r="V47" s="83">
        <f t="shared" si="3"/>
        <v>15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150</v>
      </c>
      <c r="AE47" s="122"/>
      <c r="AF47" s="83">
        <f t="shared" si="5"/>
        <v>1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20</v>
      </c>
      <c r="AO47" s="122"/>
      <c r="AP47" s="83">
        <f t="shared" si="6"/>
        <v>15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150</v>
      </c>
    </row>
    <row r="48" spans="1:49" x14ac:dyDescent="0.25">
      <c r="A48" s="122"/>
      <c r="B48" s="83">
        <f t="shared" si="0"/>
        <v>5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50</v>
      </c>
      <c r="K48" s="122"/>
      <c r="L48" s="83">
        <f t="shared" si="2"/>
        <v>8</v>
      </c>
      <c r="M48" s="15"/>
      <c r="N48" s="538"/>
      <c r="O48" s="735"/>
      <c r="P48" s="538">
        <f t="shared" si="12"/>
        <v>0</v>
      </c>
      <c r="Q48" s="330"/>
      <c r="R48" s="331"/>
      <c r="S48" s="105">
        <f t="shared" si="8"/>
        <v>80</v>
      </c>
      <c r="U48" s="122"/>
      <c r="V48" s="83">
        <f t="shared" si="3"/>
        <v>15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150</v>
      </c>
      <c r="AE48" s="122"/>
      <c r="AF48" s="83">
        <f t="shared" si="5"/>
        <v>1</v>
      </c>
      <c r="AG48" s="15"/>
      <c r="AH48" s="538"/>
      <c r="AI48" s="735"/>
      <c r="AJ48" s="538">
        <f t="shared" si="13"/>
        <v>0</v>
      </c>
      <c r="AK48" s="330"/>
      <c r="AL48" s="331"/>
      <c r="AM48" s="105">
        <f t="shared" si="10"/>
        <v>20</v>
      </c>
      <c r="AO48" s="122"/>
      <c r="AP48" s="83">
        <f t="shared" si="6"/>
        <v>15</v>
      </c>
      <c r="AQ48" s="15"/>
      <c r="AR48" s="538"/>
      <c r="AS48" s="735"/>
      <c r="AT48" s="538">
        <f t="shared" si="14"/>
        <v>0</v>
      </c>
      <c r="AU48" s="330"/>
      <c r="AV48" s="331"/>
      <c r="AW48" s="105">
        <f t="shared" si="11"/>
        <v>150</v>
      </c>
    </row>
    <row r="49" spans="1:49" x14ac:dyDescent="0.25">
      <c r="A49" s="122"/>
      <c r="B49" s="83">
        <f t="shared" si="0"/>
        <v>5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50</v>
      </c>
      <c r="K49" s="122"/>
      <c r="L49" s="83">
        <f t="shared" si="2"/>
        <v>8</v>
      </c>
      <c r="M49" s="15"/>
      <c r="N49" s="538"/>
      <c r="O49" s="735"/>
      <c r="P49" s="538">
        <f t="shared" si="12"/>
        <v>0</v>
      </c>
      <c r="Q49" s="330"/>
      <c r="R49" s="331"/>
      <c r="S49" s="105">
        <f t="shared" si="8"/>
        <v>80</v>
      </c>
      <c r="U49" s="122"/>
      <c r="V49" s="83">
        <f t="shared" si="3"/>
        <v>15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150</v>
      </c>
      <c r="AE49" s="122"/>
      <c r="AF49" s="83">
        <f t="shared" si="5"/>
        <v>1</v>
      </c>
      <c r="AG49" s="15"/>
      <c r="AH49" s="538"/>
      <c r="AI49" s="735"/>
      <c r="AJ49" s="538">
        <f t="shared" si="13"/>
        <v>0</v>
      </c>
      <c r="AK49" s="330"/>
      <c r="AL49" s="331"/>
      <c r="AM49" s="105">
        <f t="shared" si="10"/>
        <v>20</v>
      </c>
      <c r="AO49" s="122"/>
      <c r="AP49" s="83">
        <f t="shared" si="6"/>
        <v>15</v>
      </c>
      <c r="AQ49" s="15"/>
      <c r="AR49" s="538"/>
      <c r="AS49" s="735"/>
      <c r="AT49" s="538">
        <f t="shared" si="14"/>
        <v>0</v>
      </c>
      <c r="AU49" s="330"/>
      <c r="AV49" s="331"/>
      <c r="AW49" s="105">
        <f t="shared" si="11"/>
        <v>150</v>
      </c>
    </row>
    <row r="50" spans="1:49" x14ac:dyDescent="0.25">
      <c r="A50" s="122"/>
      <c r="B50" s="83">
        <f t="shared" si="0"/>
        <v>5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50</v>
      </c>
      <c r="K50" s="122"/>
      <c r="L50" s="83">
        <f t="shared" si="2"/>
        <v>8</v>
      </c>
      <c r="M50" s="15"/>
      <c r="N50" s="538"/>
      <c r="O50" s="735"/>
      <c r="P50" s="538">
        <f t="shared" si="12"/>
        <v>0</v>
      </c>
      <c r="Q50" s="330"/>
      <c r="R50" s="331"/>
      <c r="S50" s="105">
        <f t="shared" si="8"/>
        <v>80</v>
      </c>
      <c r="U50" s="122"/>
      <c r="V50" s="83">
        <f t="shared" si="3"/>
        <v>15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150</v>
      </c>
      <c r="AE50" s="122"/>
      <c r="AF50" s="83">
        <f t="shared" si="5"/>
        <v>1</v>
      </c>
      <c r="AG50" s="15"/>
      <c r="AH50" s="538"/>
      <c r="AI50" s="735"/>
      <c r="AJ50" s="538">
        <f t="shared" si="13"/>
        <v>0</v>
      </c>
      <c r="AK50" s="330"/>
      <c r="AL50" s="331"/>
      <c r="AM50" s="105">
        <f t="shared" si="10"/>
        <v>20</v>
      </c>
      <c r="AO50" s="122"/>
      <c r="AP50" s="83">
        <f t="shared" si="6"/>
        <v>15</v>
      </c>
      <c r="AQ50" s="15"/>
      <c r="AR50" s="538"/>
      <c r="AS50" s="735"/>
      <c r="AT50" s="538">
        <f t="shared" si="14"/>
        <v>0</v>
      </c>
      <c r="AU50" s="330"/>
      <c r="AV50" s="331"/>
      <c r="AW50" s="105">
        <f t="shared" si="11"/>
        <v>150</v>
      </c>
    </row>
    <row r="51" spans="1:49" x14ac:dyDescent="0.25">
      <c r="A51" s="122"/>
      <c r="B51" s="83">
        <f t="shared" si="0"/>
        <v>5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50</v>
      </c>
      <c r="K51" s="122"/>
      <c r="L51" s="83">
        <f t="shared" si="2"/>
        <v>8</v>
      </c>
      <c r="M51" s="15"/>
      <c r="N51" s="538"/>
      <c r="O51" s="735"/>
      <c r="P51" s="538">
        <f t="shared" si="12"/>
        <v>0</v>
      </c>
      <c r="Q51" s="330"/>
      <c r="R51" s="331"/>
      <c r="S51" s="105">
        <f t="shared" si="8"/>
        <v>80</v>
      </c>
      <c r="U51" s="122"/>
      <c r="V51" s="83">
        <f t="shared" si="3"/>
        <v>15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150</v>
      </c>
      <c r="AE51" s="122"/>
      <c r="AF51" s="83">
        <f t="shared" si="5"/>
        <v>1</v>
      </c>
      <c r="AG51" s="15"/>
      <c r="AH51" s="538"/>
      <c r="AI51" s="735"/>
      <c r="AJ51" s="538">
        <f t="shared" si="13"/>
        <v>0</v>
      </c>
      <c r="AK51" s="330"/>
      <c r="AL51" s="331"/>
      <c r="AM51" s="105">
        <f t="shared" si="10"/>
        <v>20</v>
      </c>
      <c r="AO51" s="122"/>
      <c r="AP51" s="83">
        <f t="shared" si="6"/>
        <v>15</v>
      </c>
      <c r="AQ51" s="15"/>
      <c r="AR51" s="538"/>
      <c r="AS51" s="735"/>
      <c r="AT51" s="538">
        <f t="shared" si="14"/>
        <v>0</v>
      </c>
      <c r="AU51" s="330"/>
      <c r="AV51" s="331"/>
      <c r="AW51" s="105">
        <f t="shared" si="11"/>
        <v>150</v>
      </c>
    </row>
    <row r="52" spans="1:49" x14ac:dyDescent="0.25">
      <c r="A52" s="122"/>
      <c r="B52" s="83">
        <f t="shared" si="0"/>
        <v>5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50</v>
      </c>
      <c r="K52" s="122"/>
      <c r="L52" s="83">
        <f t="shared" si="2"/>
        <v>8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80</v>
      </c>
      <c r="U52" s="122"/>
      <c r="V52" s="83">
        <f t="shared" si="3"/>
        <v>15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150</v>
      </c>
      <c r="AE52" s="122"/>
      <c r="AF52" s="83">
        <f t="shared" si="5"/>
        <v>1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20</v>
      </c>
      <c r="AO52" s="122"/>
      <c r="AP52" s="83">
        <f t="shared" si="6"/>
        <v>15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150</v>
      </c>
    </row>
    <row r="53" spans="1:49" x14ac:dyDescent="0.25">
      <c r="A53" s="122"/>
      <c r="B53" s="83">
        <f t="shared" si="0"/>
        <v>5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50</v>
      </c>
      <c r="K53" s="122"/>
      <c r="L53" s="83">
        <f t="shared" si="2"/>
        <v>8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80</v>
      </c>
      <c r="U53" s="122"/>
      <c r="V53" s="83">
        <f t="shared" si="3"/>
        <v>15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150</v>
      </c>
      <c r="AE53" s="122"/>
      <c r="AF53" s="83">
        <f t="shared" si="5"/>
        <v>1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20</v>
      </c>
      <c r="AO53" s="122"/>
      <c r="AP53" s="83">
        <f t="shared" si="6"/>
        <v>15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150</v>
      </c>
    </row>
    <row r="54" spans="1:49" x14ac:dyDescent="0.25">
      <c r="A54" s="122"/>
      <c r="B54" s="83">
        <f t="shared" si="0"/>
        <v>5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50</v>
      </c>
      <c r="K54" s="122"/>
      <c r="L54" s="83">
        <f t="shared" si="2"/>
        <v>8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80</v>
      </c>
      <c r="U54" s="122"/>
      <c r="V54" s="83">
        <f t="shared" si="3"/>
        <v>15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150</v>
      </c>
      <c r="AE54" s="122"/>
      <c r="AF54" s="83">
        <f t="shared" si="5"/>
        <v>1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20</v>
      </c>
      <c r="AO54" s="122"/>
      <c r="AP54" s="83">
        <f t="shared" si="6"/>
        <v>15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150</v>
      </c>
    </row>
    <row r="55" spans="1:49" x14ac:dyDescent="0.25">
      <c r="A55" s="122"/>
      <c r="B55" s="12">
        <f t="shared" si="0"/>
        <v>5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50</v>
      </c>
      <c r="K55" s="122"/>
      <c r="L55" s="12">
        <f t="shared" si="2"/>
        <v>8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80</v>
      </c>
      <c r="U55" s="122"/>
      <c r="V55" s="12">
        <f t="shared" si="3"/>
        <v>15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150</v>
      </c>
      <c r="AE55" s="122"/>
      <c r="AF55" s="12">
        <f t="shared" si="5"/>
        <v>1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20</v>
      </c>
      <c r="AO55" s="122"/>
      <c r="AP55" s="12">
        <f t="shared" si="6"/>
        <v>15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150</v>
      </c>
    </row>
    <row r="56" spans="1:49" x14ac:dyDescent="0.25">
      <c r="A56" s="122"/>
      <c r="B56" s="12">
        <f t="shared" si="0"/>
        <v>5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50</v>
      </c>
      <c r="K56" s="122"/>
      <c r="L56" s="12">
        <f t="shared" si="2"/>
        <v>8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80</v>
      </c>
      <c r="U56" s="122"/>
      <c r="V56" s="12">
        <f t="shared" si="3"/>
        <v>15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150</v>
      </c>
      <c r="AE56" s="122"/>
      <c r="AF56" s="12">
        <f t="shared" si="5"/>
        <v>1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20</v>
      </c>
      <c r="AO56" s="122"/>
      <c r="AP56" s="12">
        <f t="shared" si="6"/>
        <v>15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150</v>
      </c>
    </row>
    <row r="57" spans="1:49" x14ac:dyDescent="0.25">
      <c r="A57" s="122"/>
      <c r="B57" s="12">
        <f t="shared" si="0"/>
        <v>5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50</v>
      </c>
      <c r="K57" s="122"/>
      <c r="L57" s="12">
        <f t="shared" si="2"/>
        <v>8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80</v>
      </c>
      <c r="U57" s="122"/>
      <c r="V57" s="12">
        <f t="shared" si="3"/>
        <v>15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150</v>
      </c>
      <c r="AE57" s="122"/>
      <c r="AF57" s="12">
        <f t="shared" si="5"/>
        <v>1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20</v>
      </c>
      <c r="AO57" s="122"/>
      <c r="AP57" s="12">
        <f t="shared" si="6"/>
        <v>15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150</v>
      </c>
    </row>
    <row r="58" spans="1:49" x14ac:dyDescent="0.25">
      <c r="A58" s="122"/>
      <c r="B58" s="12">
        <f t="shared" si="0"/>
        <v>5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50</v>
      </c>
      <c r="K58" s="122"/>
      <c r="L58" s="12">
        <f t="shared" si="2"/>
        <v>8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80</v>
      </c>
      <c r="U58" s="122"/>
      <c r="V58" s="12">
        <f t="shared" si="3"/>
        <v>15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150</v>
      </c>
      <c r="AE58" s="122"/>
      <c r="AF58" s="12">
        <f t="shared" si="5"/>
        <v>1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20</v>
      </c>
      <c r="AO58" s="122"/>
      <c r="AP58" s="12">
        <f t="shared" si="6"/>
        <v>15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150</v>
      </c>
    </row>
    <row r="59" spans="1:49" x14ac:dyDescent="0.25">
      <c r="A59" s="122"/>
      <c r="B59" s="12">
        <f t="shared" si="0"/>
        <v>5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50</v>
      </c>
      <c r="K59" s="122"/>
      <c r="L59" s="12">
        <f t="shared" si="2"/>
        <v>8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80</v>
      </c>
      <c r="U59" s="122"/>
      <c r="V59" s="12">
        <f t="shared" si="3"/>
        <v>15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150</v>
      </c>
      <c r="AE59" s="122"/>
      <c r="AF59" s="12">
        <f t="shared" si="5"/>
        <v>1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20</v>
      </c>
      <c r="AO59" s="122"/>
      <c r="AP59" s="12">
        <f t="shared" si="6"/>
        <v>15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150</v>
      </c>
    </row>
    <row r="60" spans="1:49" x14ac:dyDescent="0.25">
      <c r="A60" s="122"/>
      <c r="B60" s="12">
        <f t="shared" si="0"/>
        <v>5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50</v>
      </c>
      <c r="K60" s="122"/>
      <c r="L60" s="12">
        <f t="shared" si="2"/>
        <v>8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80</v>
      </c>
      <c r="U60" s="122"/>
      <c r="V60" s="12">
        <f t="shared" si="3"/>
        <v>15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150</v>
      </c>
      <c r="AE60" s="122"/>
      <c r="AF60" s="12">
        <f t="shared" si="5"/>
        <v>1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20</v>
      </c>
      <c r="AO60" s="122"/>
      <c r="AP60" s="12">
        <f t="shared" si="6"/>
        <v>15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150</v>
      </c>
    </row>
    <row r="61" spans="1:49" x14ac:dyDescent="0.25">
      <c r="A61" s="122"/>
      <c r="B61" s="12">
        <f t="shared" si="0"/>
        <v>5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50</v>
      </c>
      <c r="K61" s="122"/>
      <c r="L61" s="12">
        <f t="shared" si="2"/>
        <v>8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80</v>
      </c>
      <c r="U61" s="122"/>
      <c r="V61" s="12">
        <f t="shared" si="3"/>
        <v>15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150</v>
      </c>
      <c r="AE61" s="122"/>
      <c r="AF61" s="12">
        <f t="shared" si="5"/>
        <v>1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20</v>
      </c>
      <c r="AO61" s="122"/>
      <c r="AP61" s="12">
        <f t="shared" si="6"/>
        <v>15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150</v>
      </c>
    </row>
    <row r="62" spans="1:49" x14ac:dyDescent="0.25">
      <c r="A62" s="122"/>
      <c r="B62" s="12">
        <f t="shared" si="0"/>
        <v>5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50</v>
      </c>
      <c r="K62" s="122"/>
      <c r="L62" s="12">
        <f t="shared" si="2"/>
        <v>8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80</v>
      </c>
      <c r="U62" s="122"/>
      <c r="V62" s="12">
        <f t="shared" si="3"/>
        <v>15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150</v>
      </c>
      <c r="AE62" s="122"/>
      <c r="AF62" s="12">
        <f t="shared" si="5"/>
        <v>1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20</v>
      </c>
      <c r="AO62" s="122"/>
      <c r="AP62" s="12">
        <f t="shared" si="6"/>
        <v>15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150</v>
      </c>
    </row>
    <row r="63" spans="1:49" x14ac:dyDescent="0.25">
      <c r="A63" s="122"/>
      <c r="B63" s="12">
        <f t="shared" si="0"/>
        <v>5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50</v>
      </c>
      <c r="K63" s="122"/>
      <c r="L63" s="12">
        <f t="shared" si="2"/>
        <v>8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80</v>
      </c>
      <c r="U63" s="122"/>
      <c r="V63" s="12">
        <f t="shared" si="3"/>
        <v>15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150</v>
      </c>
      <c r="AE63" s="122"/>
      <c r="AF63" s="12">
        <f t="shared" si="5"/>
        <v>1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20</v>
      </c>
      <c r="AO63" s="122"/>
      <c r="AP63" s="12">
        <f t="shared" si="6"/>
        <v>15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150</v>
      </c>
    </row>
    <row r="64" spans="1:49" x14ac:dyDescent="0.25">
      <c r="A64" s="122"/>
      <c r="B64" s="12">
        <f t="shared" si="0"/>
        <v>5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50</v>
      </c>
      <c r="K64" s="122"/>
      <c r="L64" s="12">
        <f t="shared" si="2"/>
        <v>8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80</v>
      </c>
      <c r="U64" s="122"/>
      <c r="V64" s="12">
        <f t="shared" si="3"/>
        <v>15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150</v>
      </c>
      <c r="AE64" s="122"/>
      <c r="AF64" s="12">
        <f t="shared" si="5"/>
        <v>1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20</v>
      </c>
      <c r="AO64" s="122"/>
      <c r="AP64" s="12">
        <f t="shared" si="6"/>
        <v>15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150</v>
      </c>
    </row>
    <row r="65" spans="1:49" x14ac:dyDescent="0.25">
      <c r="A65" s="122"/>
      <c r="B65" s="12">
        <f t="shared" si="0"/>
        <v>5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50</v>
      </c>
      <c r="K65" s="122"/>
      <c r="L65" s="12">
        <f t="shared" si="2"/>
        <v>8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80</v>
      </c>
      <c r="U65" s="122"/>
      <c r="V65" s="12">
        <f t="shared" si="3"/>
        <v>15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150</v>
      </c>
      <c r="AE65" s="122"/>
      <c r="AF65" s="12">
        <f t="shared" si="5"/>
        <v>1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20</v>
      </c>
      <c r="AO65" s="122"/>
      <c r="AP65" s="12">
        <f t="shared" si="6"/>
        <v>15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150</v>
      </c>
    </row>
    <row r="66" spans="1:49" x14ac:dyDescent="0.25">
      <c r="A66" s="122"/>
      <c r="B66" s="12">
        <f t="shared" si="0"/>
        <v>5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50</v>
      </c>
      <c r="K66" s="122"/>
      <c r="L66" s="12">
        <f t="shared" si="2"/>
        <v>8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80</v>
      </c>
      <c r="U66" s="122"/>
      <c r="V66" s="12">
        <f t="shared" si="3"/>
        <v>15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150</v>
      </c>
      <c r="AE66" s="122"/>
      <c r="AF66" s="12">
        <f t="shared" si="5"/>
        <v>1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20</v>
      </c>
      <c r="AO66" s="122"/>
      <c r="AP66" s="12">
        <f t="shared" si="6"/>
        <v>15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150</v>
      </c>
    </row>
    <row r="67" spans="1:49" x14ac:dyDescent="0.25">
      <c r="A67" s="122"/>
      <c r="B67" s="12">
        <f t="shared" si="0"/>
        <v>5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50</v>
      </c>
      <c r="K67" s="122"/>
      <c r="L67" s="12">
        <f t="shared" si="2"/>
        <v>8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80</v>
      </c>
      <c r="U67" s="122"/>
      <c r="V67" s="12">
        <f t="shared" si="3"/>
        <v>15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150</v>
      </c>
      <c r="AE67" s="122"/>
      <c r="AF67" s="12">
        <f t="shared" si="5"/>
        <v>1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20</v>
      </c>
      <c r="AO67" s="122"/>
      <c r="AP67" s="12">
        <f t="shared" si="6"/>
        <v>15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150</v>
      </c>
    </row>
    <row r="68" spans="1:49" x14ac:dyDescent="0.25">
      <c r="A68" s="122"/>
      <c r="B68" s="12">
        <f t="shared" si="0"/>
        <v>5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50</v>
      </c>
      <c r="K68" s="122"/>
      <c r="L68" s="12">
        <f t="shared" si="2"/>
        <v>8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80</v>
      </c>
      <c r="U68" s="122"/>
      <c r="V68" s="12">
        <f t="shared" si="3"/>
        <v>15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150</v>
      </c>
      <c r="AE68" s="122"/>
      <c r="AF68" s="12">
        <f t="shared" si="5"/>
        <v>1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20</v>
      </c>
      <c r="AO68" s="122"/>
      <c r="AP68" s="12">
        <f t="shared" si="6"/>
        <v>15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150</v>
      </c>
    </row>
    <row r="69" spans="1:49" x14ac:dyDescent="0.25">
      <c r="A69" s="122"/>
      <c r="B69" s="12">
        <f t="shared" si="0"/>
        <v>5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50</v>
      </c>
      <c r="K69" s="122"/>
      <c r="L69" s="12">
        <f t="shared" si="2"/>
        <v>8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80</v>
      </c>
      <c r="U69" s="122"/>
      <c r="V69" s="12">
        <f t="shared" si="3"/>
        <v>15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150</v>
      </c>
      <c r="AE69" s="122"/>
      <c r="AF69" s="12">
        <f t="shared" si="5"/>
        <v>1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20</v>
      </c>
      <c r="AO69" s="122"/>
      <c r="AP69" s="12">
        <f t="shared" si="6"/>
        <v>15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150</v>
      </c>
    </row>
    <row r="70" spans="1:49" x14ac:dyDescent="0.25">
      <c r="A70" s="122"/>
      <c r="B70" s="12">
        <f t="shared" si="0"/>
        <v>5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50</v>
      </c>
      <c r="K70" s="122"/>
      <c r="L70" s="12">
        <f t="shared" si="2"/>
        <v>8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80</v>
      </c>
      <c r="U70" s="122"/>
      <c r="V70" s="12">
        <f t="shared" si="3"/>
        <v>15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150</v>
      </c>
      <c r="AE70" s="122"/>
      <c r="AF70" s="12">
        <f t="shared" si="5"/>
        <v>1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20</v>
      </c>
      <c r="AO70" s="122"/>
      <c r="AP70" s="12">
        <f t="shared" si="6"/>
        <v>15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150</v>
      </c>
    </row>
    <row r="71" spans="1:49" x14ac:dyDescent="0.25">
      <c r="A71" s="122"/>
      <c r="B71" s="12">
        <f t="shared" si="0"/>
        <v>5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50</v>
      </c>
      <c r="K71" s="122"/>
      <c r="L71" s="12">
        <f t="shared" si="2"/>
        <v>8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80</v>
      </c>
      <c r="U71" s="122"/>
      <c r="V71" s="12">
        <f t="shared" si="3"/>
        <v>15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150</v>
      </c>
      <c r="AE71" s="122"/>
      <c r="AF71" s="12">
        <f t="shared" si="5"/>
        <v>1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20</v>
      </c>
      <c r="AO71" s="122"/>
      <c r="AP71" s="12">
        <f t="shared" si="6"/>
        <v>15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150</v>
      </c>
    </row>
    <row r="72" spans="1:49" x14ac:dyDescent="0.25">
      <c r="A72" s="122"/>
      <c r="B72" s="12">
        <f t="shared" si="0"/>
        <v>5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50</v>
      </c>
      <c r="K72" s="122"/>
      <c r="L72" s="12">
        <f t="shared" si="2"/>
        <v>8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80</v>
      </c>
      <c r="U72" s="122"/>
      <c r="V72" s="12">
        <f t="shared" si="3"/>
        <v>15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150</v>
      </c>
      <c r="AE72" s="122"/>
      <c r="AF72" s="12">
        <f t="shared" si="5"/>
        <v>1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20</v>
      </c>
      <c r="AO72" s="122"/>
      <c r="AP72" s="12">
        <f t="shared" si="6"/>
        <v>15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150</v>
      </c>
    </row>
    <row r="73" spans="1:49" x14ac:dyDescent="0.25">
      <c r="A73" s="122"/>
      <c r="B73" s="12">
        <f t="shared" si="0"/>
        <v>5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50</v>
      </c>
      <c r="K73" s="122"/>
      <c r="L73" s="12">
        <f t="shared" si="2"/>
        <v>8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80</v>
      </c>
      <c r="U73" s="122"/>
      <c r="V73" s="12">
        <f t="shared" si="3"/>
        <v>15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150</v>
      </c>
      <c r="AE73" s="122"/>
      <c r="AF73" s="12">
        <f t="shared" si="5"/>
        <v>1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20</v>
      </c>
      <c r="AO73" s="122"/>
      <c r="AP73" s="12">
        <f t="shared" si="6"/>
        <v>15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150</v>
      </c>
    </row>
    <row r="74" spans="1:49" x14ac:dyDescent="0.25">
      <c r="A74" s="122"/>
      <c r="B74" s="12">
        <f t="shared" ref="B74:B75" si="15">B73-C74</f>
        <v>5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50</v>
      </c>
      <c r="K74" s="122"/>
      <c r="L74" s="12">
        <f t="shared" ref="L74:L75" si="17">L73-M74</f>
        <v>8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80</v>
      </c>
      <c r="U74" s="122"/>
      <c r="V74" s="12">
        <f t="shared" ref="V74:V75" si="18">V73-W74</f>
        <v>15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150</v>
      </c>
      <c r="AE74" s="122"/>
      <c r="AF74" s="12">
        <f t="shared" ref="AF74:AF75" si="20">AF73-AG74</f>
        <v>1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20</v>
      </c>
      <c r="AO74" s="122"/>
      <c r="AP74" s="12">
        <f t="shared" ref="AP74:AP75" si="21">AP73-AQ74</f>
        <v>15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150</v>
      </c>
    </row>
    <row r="75" spans="1:49" x14ac:dyDescent="0.25">
      <c r="A75" s="122"/>
      <c r="B75" s="12">
        <f t="shared" si="15"/>
        <v>5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50</v>
      </c>
      <c r="K75" s="122"/>
      <c r="L75" s="12">
        <f t="shared" si="17"/>
        <v>8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80</v>
      </c>
      <c r="U75" s="122"/>
      <c r="V75" s="12">
        <f t="shared" si="18"/>
        <v>15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150</v>
      </c>
      <c r="AE75" s="122"/>
      <c r="AF75" s="12">
        <f t="shared" si="20"/>
        <v>1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20</v>
      </c>
      <c r="AO75" s="122"/>
      <c r="AP75" s="12">
        <f t="shared" si="21"/>
        <v>15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150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50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80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150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20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150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17</v>
      </c>
      <c r="N78" s="6">
        <f>SUM(N9:N77)</f>
        <v>170</v>
      </c>
      <c r="P78" s="6">
        <f>SUM(P9:P77)</f>
        <v>170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</v>
      </c>
      <c r="AR81" s="45" t="s">
        <v>4</v>
      </c>
      <c r="AS81" s="56">
        <f>AT5+AT6-AQ78+AT7</f>
        <v>15</v>
      </c>
    </row>
    <row r="82" spans="3:46" ht="15.75" thickBot="1" x14ac:dyDescent="0.3"/>
    <row r="83" spans="3:46" ht="15.75" thickBot="1" x14ac:dyDescent="0.3">
      <c r="C83" s="1201" t="s">
        <v>11</v>
      </c>
      <c r="D83" s="1202"/>
      <c r="E83" s="57">
        <f>E5+E6-F78+E7</f>
        <v>50</v>
      </c>
      <c r="F83" s="73"/>
      <c r="M83" s="1201" t="s">
        <v>11</v>
      </c>
      <c r="N83" s="1202"/>
      <c r="O83" s="57">
        <f>O5+O6-P78+O7</f>
        <v>80</v>
      </c>
      <c r="P83" s="73"/>
      <c r="W83" s="1201" t="s">
        <v>11</v>
      </c>
      <c r="X83" s="1202"/>
      <c r="Y83" s="57">
        <f>Y5+Y6-Z78+Y7</f>
        <v>150</v>
      </c>
      <c r="Z83" s="73"/>
      <c r="AG83" s="1201" t="s">
        <v>11</v>
      </c>
      <c r="AH83" s="1202"/>
      <c r="AI83" s="57">
        <f>AI5+AI6-AJ78+AI7</f>
        <v>20</v>
      </c>
      <c r="AJ83" s="73"/>
      <c r="AQ83" s="1201" t="s">
        <v>11</v>
      </c>
      <c r="AR83" s="1202"/>
      <c r="AS83" s="57">
        <f>AS5+AS6-AT78+AS7</f>
        <v>150</v>
      </c>
      <c r="AT83" s="73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2" sqref="F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99" t="s">
        <v>330</v>
      </c>
      <c r="B1" s="1199"/>
      <c r="C1" s="1199"/>
      <c r="D1" s="1199"/>
      <c r="E1" s="1199"/>
      <c r="F1" s="1199"/>
      <c r="G1" s="11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460.5</v>
      </c>
      <c r="F4" s="73">
        <v>18</v>
      </c>
      <c r="G4" s="73"/>
    </row>
    <row r="5" spans="1:10" ht="15" customHeight="1" x14ac:dyDescent="0.25">
      <c r="A5" s="1207" t="s">
        <v>222</v>
      </c>
      <c r="B5" s="1212" t="s">
        <v>100</v>
      </c>
      <c r="C5" s="199"/>
      <c r="D5" s="149">
        <v>44866</v>
      </c>
      <c r="E5" s="132">
        <v>18544</v>
      </c>
      <c r="F5" s="73">
        <v>650</v>
      </c>
      <c r="G5" s="132">
        <f>F31</f>
        <v>7519.6</v>
      </c>
      <c r="H5" s="138">
        <f>E4+E5-G5+E6+E7</f>
        <v>11484.9</v>
      </c>
    </row>
    <row r="6" spans="1:10" x14ac:dyDescent="0.25">
      <c r="A6" s="1207"/>
      <c r="B6" s="1212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43" t="s">
        <v>3</v>
      </c>
    </row>
    <row r="9" spans="1:10" ht="15.75" thickTop="1" x14ac:dyDescent="0.25">
      <c r="A9" s="73"/>
      <c r="B9" s="873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238</v>
      </c>
      <c r="H9" s="71">
        <v>50</v>
      </c>
      <c r="I9" s="874">
        <f>H9*F9</f>
        <v>32670</v>
      </c>
      <c r="J9" s="740">
        <f>E4+E5+E6+E7-F9</f>
        <v>18351.099999999999</v>
      </c>
    </row>
    <row r="10" spans="1:10" x14ac:dyDescent="0.25">
      <c r="B10" s="873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244</v>
      </c>
      <c r="H10" s="71">
        <v>50</v>
      </c>
      <c r="I10" s="875">
        <f t="shared" ref="I10:I30" si="1">H10*F10</f>
        <v>33260</v>
      </c>
      <c r="J10" s="740">
        <f>J9-F10</f>
        <v>17685.899999999998</v>
      </c>
    </row>
    <row r="11" spans="1:10" x14ac:dyDescent="0.25">
      <c r="A11" s="55" t="s">
        <v>32</v>
      </c>
      <c r="B11" s="873">
        <f t="shared" ref="B11:B30" si="2">B10-C11</f>
        <v>596</v>
      </c>
      <c r="C11" s="828">
        <v>24</v>
      </c>
      <c r="D11" s="702">
        <v>666.4</v>
      </c>
      <c r="E11" s="865">
        <v>44873</v>
      </c>
      <c r="F11" s="705">
        <f t="shared" ref="F11:F30" si="3">D11</f>
        <v>666.4</v>
      </c>
      <c r="G11" s="703" t="s">
        <v>252</v>
      </c>
      <c r="H11" s="704">
        <v>50</v>
      </c>
      <c r="I11" s="875">
        <f t="shared" si="1"/>
        <v>33320</v>
      </c>
      <c r="J11" s="740">
        <f t="shared" ref="J11:J12" si="4">J10-F11</f>
        <v>17019.499999999996</v>
      </c>
    </row>
    <row r="12" spans="1:10" x14ac:dyDescent="0.25">
      <c r="A12" s="85"/>
      <c r="B12" s="873">
        <f t="shared" si="2"/>
        <v>572</v>
      </c>
      <c r="C12" s="828">
        <v>24</v>
      </c>
      <c r="D12" s="702">
        <v>601</v>
      </c>
      <c r="E12" s="865">
        <v>44875</v>
      </c>
      <c r="F12" s="705">
        <f t="shared" si="3"/>
        <v>601</v>
      </c>
      <c r="G12" s="703" t="s">
        <v>261</v>
      </c>
      <c r="H12" s="704">
        <v>50</v>
      </c>
      <c r="I12" s="875">
        <f t="shared" si="1"/>
        <v>30050</v>
      </c>
      <c r="J12" s="740">
        <f t="shared" si="4"/>
        <v>16418.499999999996</v>
      </c>
    </row>
    <row r="13" spans="1:10" x14ac:dyDescent="0.25">
      <c r="B13" s="873">
        <f t="shared" si="2"/>
        <v>548</v>
      </c>
      <c r="C13" s="828">
        <v>24</v>
      </c>
      <c r="D13" s="702">
        <v>685.1</v>
      </c>
      <c r="E13" s="865">
        <v>44877</v>
      </c>
      <c r="F13" s="705">
        <f t="shared" si="3"/>
        <v>685.1</v>
      </c>
      <c r="G13" s="703" t="s">
        <v>271</v>
      </c>
      <c r="H13" s="704">
        <v>50</v>
      </c>
      <c r="I13" s="875">
        <f t="shared" si="1"/>
        <v>34255</v>
      </c>
      <c r="J13" s="740">
        <f>J12-F13</f>
        <v>15733.399999999996</v>
      </c>
    </row>
    <row r="14" spans="1:10" x14ac:dyDescent="0.25">
      <c r="A14" s="55" t="s">
        <v>33</v>
      </c>
      <c r="B14" s="873">
        <f t="shared" si="2"/>
        <v>524</v>
      </c>
      <c r="C14" s="828">
        <v>24</v>
      </c>
      <c r="D14" s="702">
        <v>701.7</v>
      </c>
      <c r="E14" s="865">
        <v>44879</v>
      </c>
      <c r="F14" s="705">
        <f t="shared" si="3"/>
        <v>701.7</v>
      </c>
      <c r="G14" s="703" t="s">
        <v>272</v>
      </c>
      <c r="H14" s="704">
        <v>50</v>
      </c>
      <c r="I14" s="875">
        <f t="shared" si="1"/>
        <v>35085</v>
      </c>
      <c r="J14" s="740">
        <f t="shared" ref="J14:J30" si="5">J13-F14</f>
        <v>15031.699999999995</v>
      </c>
    </row>
    <row r="15" spans="1:10" x14ac:dyDescent="0.25">
      <c r="A15" s="738"/>
      <c r="B15" s="873">
        <f t="shared" si="2"/>
        <v>500</v>
      </c>
      <c r="C15" s="828">
        <v>24</v>
      </c>
      <c r="D15" s="702">
        <v>739.6</v>
      </c>
      <c r="E15" s="865">
        <v>44881</v>
      </c>
      <c r="F15" s="705">
        <f t="shared" si="3"/>
        <v>739.6</v>
      </c>
      <c r="G15" s="703" t="s">
        <v>279</v>
      </c>
      <c r="H15" s="704">
        <v>50</v>
      </c>
      <c r="I15" s="875">
        <f t="shared" si="1"/>
        <v>36980</v>
      </c>
      <c r="J15" s="740">
        <f t="shared" si="5"/>
        <v>14292.099999999995</v>
      </c>
    </row>
    <row r="16" spans="1:10" ht="15.75" x14ac:dyDescent="0.25">
      <c r="A16" s="872"/>
      <c r="B16" s="873">
        <f t="shared" si="2"/>
        <v>476</v>
      </c>
      <c r="C16" s="828">
        <v>24</v>
      </c>
      <c r="D16" s="702">
        <v>688.6</v>
      </c>
      <c r="E16" s="865">
        <v>44883</v>
      </c>
      <c r="F16" s="705">
        <f t="shared" si="3"/>
        <v>688.6</v>
      </c>
      <c r="G16" s="703" t="s">
        <v>287</v>
      </c>
      <c r="H16" s="704">
        <v>50</v>
      </c>
      <c r="I16" s="875">
        <f t="shared" si="1"/>
        <v>34430</v>
      </c>
      <c r="J16" s="740">
        <f t="shared" si="5"/>
        <v>13603.499999999995</v>
      </c>
    </row>
    <row r="17" spans="1:10" ht="15.75" x14ac:dyDescent="0.25">
      <c r="A17" s="872"/>
      <c r="B17" s="873">
        <f t="shared" si="2"/>
        <v>452</v>
      </c>
      <c r="C17" s="828">
        <v>24</v>
      </c>
      <c r="D17" s="702">
        <v>712.8</v>
      </c>
      <c r="E17" s="865">
        <v>44884</v>
      </c>
      <c r="F17" s="705">
        <f t="shared" si="3"/>
        <v>712.8</v>
      </c>
      <c r="G17" s="703" t="s">
        <v>291</v>
      </c>
      <c r="H17" s="704">
        <v>50</v>
      </c>
      <c r="I17" s="875">
        <f t="shared" si="1"/>
        <v>35640</v>
      </c>
      <c r="J17" s="740">
        <f t="shared" si="5"/>
        <v>12890.699999999995</v>
      </c>
    </row>
    <row r="18" spans="1:10" ht="15.75" x14ac:dyDescent="0.25">
      <c r="A18" s="872"/>
      <c r="B18" s="873">
        <f t="shared" si="2"/>
        <v>428</v>
      </c>
      <c r="C18" s="828">
        <v>24</v>
      </c>
      <c r="D18" s="702">
        <v>714.4</v>
      </c>
      <c r="E18" s="865">
        <v>44888</v>
      </c>
      <c r="F18" s="705">
        <f t="shared" si="3"/>
        <v>714.4</v>
      </c>
      <c r="G18" s="703" t="s">
        <v>296</v>
      </c>
      <c r="H18" s="704">
        <v>50</v>
      </c>
      <c r="I18" s="875">
        <f t="shared" si="1"/>
        <v>35720</v>
      </c>
      <c r="J18" s="740">
        <f t="shared" si="5"/>
        <v>12176.299999999996</v>
      </c>
    </row>
    <row r="19" spans="1:10" x14ac:dyDescent="0.25">
      <c r="A19" s="738"/>
      <c r="B19" s="830">
        <f t="shared" si="2"/>
        <v>404</v>
      </c>
      <c r="C19" s="828">
        <v>24</v>
      </c>
      <c r="D19" s="702">
        <v>691.4</v>
      </c>
      <c r="E19" s="865">
        <v>44891</v>
      </c>
      <c r="F19" s="705">
        <f t="shared" si="3"/>
        <v>691.4</v>
      </c>
      <c r="G19" s="703" t="s">
        <v>313</v>
      </c>
      <c r="H19" s="704">
        <v>50</v>
      </c>
      <c r="I19" s="875">
        <f t="shared" si="1"/>
        <v>34570</v>
      </c>
      <c r="J19" s="831">
        <f t="shared" si="5"/>
        <v>11484.899999999996</v>
      </c>
    </row>
    <row r="20" spans="1:10" x14ac:dyDescent="0.25">
      <c r="A20" s="738"/>
      <c r="B20" s="873">
        <f t="shared" si="2"/>
        <v>404</v>
      </c>
      <c r="C20" s="828"/>
      <c r="D20" s="1003"/>
      <c r="E20" s="1004"/>
      <c r="F20" s="1005">
        <f t="shared" si="3"/>
        <v>0</v>
      </c>
      <c r="G20" s="1006"/>
      <c r="H20" s="1007"/>
      <c r="I20" s="875">
        <f t="shared" si="1"/>
        <v>0</v>
      </c>
      <c r="J20" s="740">
        <f t="shared" si="5"/>
        <v>11484.899999999996</v>
      </c>
    </row>
    <row r="21" spans="1:10" x14ac:dyDescent="0.25">
      <c r="B21" s="873">
        <f t="shared" si="2"/>
        <v>404</v>
      </c>
      <c r="C21" s="828"/>
      <c r="D21" s="1003"/>
      <c r="E21" s="1004"/>
      <c r="F21" s="1005">
        <f t="shared" si="3"/>
        <v>0</v>
      </c>
      <c r="G21" s="1006"/>
      <c r="H21" s="1007"/>
      <c r="I21" s="875">
        <f t="shared" si="1"/>
        <v>0</v>
      </c>
      <c r="J21" s="740">
        <f t="shared" si="5"/>
        <v>11484.899999999996</v>
      </c>
    </row>
    <row r="22" spans="1:10" x14ac:dyDescent="0.25">
      <c r="B22" s="873">
        <f t="shared" si="2"/>
        <v>404</v>
      </c>
      <c r="C22" s="828"/>
      <c r="D22" s="1003"/>
      <c r="E22" s="1004"/>
      <c r="F22" s="1005">
        <f t="shared" si="3"/>
        <v>0</v>
      </c>
      <c r="G22" s="1006"/>
      <c r="H22" s="1007"/>
      <c r="I22" s="875">
        <f t="shared" si="1"/>
        <v>0</v>
      </c>
      <c r="J22" s="740">
        <f t="shared" si="5"/>
        <v>11484.899999999996</v>
      </c>
    </row>
    <row r="23" spans="1:10" x14ac:dyDescent="0.25">
      <c r="B23" s="873">
        <f t="shared" si="2"/>
        <v>404</v>
      </c>
      <c r="C23" s="828"/>
      <c r="D23" s="1003"/>
      <c r="E23" s="1004"/>
      <c r="F23" s="1005">
        <f t="shared" si="3"/>
        <v>0</v>
      </c>
      <c r="G23" s="1006"/>
      <c r="H23" s="1007"/>
      <c r="I23" s="875">
        <f t="shared" si="1"/>
        <v>0</v>
      </c>
      <c r="J23" s="740">
        <f t="shared" si="5"/>
        <v>11484.899999999996</v>
      </c>
    </row>
    <row r="24" spans="1:10" x14ac:dyDescent="0.25">
      <c r="B24" s="873">
        <f t="shared" si="2"/>
        <v>404</v>
      </c>
      <c r="C24" s="828"/>
      <c r="D24" s="1003"/>
      <c r="E24" s="1004"/>
      <c r="F24" s="1005">
        <f t="shared" si="3"/>
        <v>0</v>
      </c>
      <c r="G24" s="1006"/>
      <c r="H24" s="1007"/>
      <c r="I24" s="875">
        <f t="shared" si="1"/>
        <v>0</v>
      </c>
      <c r="J24" s="740">
        <f t="shared" si="5"/>
        <v>11484.899999999996</v>
      </c>
    </row>
    <row r="25" spans="1:10" x14ac:dyDescent="0.25">
      <c r="B25" s="873">
        <f t="shared" si="2"/>
        <v>404</v>
      </c>
      <c r="C25" s="828"/>
      <c r="D25" s="1003"/>
      <c r="E25" s="1004"/>
      <c r="F25" s="1005">
        <f t="shared" si="3"/>
        <v>0</v>
      </c>
      <c r="G25" s="1006"/>
      <c r="H25" s="1007"/>
      <c r="I25" s="875">
        <f t="shared" si="1"/>
        <v>0</v>
      </c>
      <c r="J25" s="740">
        <f t="shared" si="5"/>
        <v>11484.899999999996</v>
      </c>
    </row>
    <row r="26" spans="1:10" x14ac:dyDescent="0.25">
      <c r="B26" s="873">
        <f t="shared" si="2"/>
        <v>404</v>
      </c>
      <c r="C26" s="828"/>
      <c r="D26" s="1003"/>
      <c r="E26" s="1004"/>
      <c r="F26" s="1005">
        <f t="shared" si="3"/>
        <v>0</v>
      </c>
      <c r="G26" s="1006"/>
      <c r="H26" s="1007"/>
      <c r="I26" s="875">
        <f t="shared" si="1"/>
        <v>0</v>
      </c>
      <c r="J26" s="740">
        <f t="shared" si="5"/>
        <v>11484.899999999996</v>
      </c>
    </row>
    <row r="27" spans="1:10" x14ac:dyDescent="0.25">
      <c r="B27" s="873">
        <f t="shared" si="2"/>
        <v>404</v>
      </c>
      <c r="C27" s="828"/>
      <c r="D27" s="1003"/>
      <c r="E27" s="1004"/>
      <c r="F27" s="1005">
        <f t="shared" si="3"/>
        <v>0</v>
      </c>
      <c r="G27" s="1006"/>
      <c r="H27" s="1007"/>
      <c r="I27" s="875">
        <f t="shared" si="1"/>
        <v>0</v>
      </c>
      <c r="J27" s="740">
        <f t="shared" si="5"/>
        <v>11484.899999999996</v>
      </c>
    </row>
    <row r="28" spans="1:10" x14ac:dyDescent="0.25">
      <c r="B28" s="873">
        <f t="shared" si="2"/>
        <v>404</v>
      </c>
      <c r="C28" s="828"/>
      <c r="D28" s="1005"/>
      <c r="E28" s="1004"/>
      <c r="F28" s="1005">
        <f t="shared" si="3"/>
        <v>0</v>
      </c>
      <c r="G28" s="1006"/>
      <c r="H28" s="1007"/>
      <c r="I28" s="875">
        <f t="shared" si="1"/>
        <v>0</v>
      </c>
      <c r="J28" s="740">
        <f t="shared" si="5"/>
        <v>11484.899999999996</v>
      </c>
    </row>
    <row r="29" spans="1:10" ht="15.75" thickBot="1" x14ac:dyDescent="0.3">
      <c r="B29" s="873">
        <f t="shared" si="2"/>
        <v>404</v>
      </c>
      <c r="C29" s="828"/>
      <c r="D29" s="1005"/>
      <c r="E29" s="1004"/>
      <c r="F29" s="1005">
        <f t="shared" si="3"/>
        <v>0</v>
      </c>
      <c r="G29" s="1006"/>
      <c r="H29" s="1007"/>
      <c r="I29" s="876">
        <f t="shared" si="1"/>
        <v>0</v>
      </c>
      <c r="J29" s="740">
        <f t="shared" si="5"/>
        <v>11484.899999999996</v>
      </c>
    </row>
    <row r="30" spans="1:10" ht="15.75" thickBot="1" x14ac:dyDescent="0.3">
      <c r="B30" s="873">
        <f t="shared" si="2"/>
        <v>404</v>
      </c>
      <c r="C30" s="877"/>
      <c r="D30" s="1019">
        <f t="shared" ref="D30" si="6">C30*B30</f>
        <v>0</v>
      </c>
      <c r="E30" s="1020"/>
      <c r="F30" s="1019">
        <f t="shared" si="3"/>
        <v>0</v>
      </c>
      <c r="G30" s="1021"/>
      <c r="H30" s="1022"/>
      <c r="I30" s="878">
        <f t="shared" si="1"/>
        <v>0</v>
      </c>
      <c r="J30" s="740">
        <f t="shared" si="5"/>
        <v>11484.899999999996</v>
      </c>
    </row>
    <row r="31" spans="1:10" ht="16.5" thickTop="1" x14ac:dyDescent="0.25">
      <c r="B31" s="738"/>
      <c r="C31" s="828">
        <f>SUM(C9:C30)</f>
        <v>264</v>
      </c>
      <c r="D31" s="879">
        <f>SUM(D9:D30)</f>
        <v>7519.6</v>
      </c>
      <c r="E31" s="880"/>
      <c r="F31" s="705">
        <f>SUM(F9:F30)</f>
        <v>7519.6</v>
      </c>
      <c r="G31" s="881"/>
      <c r="H31" s="878"/>
      <c r="I31" s="882">
        <f>SUM(I9:I30)</f>
        <v>375980</v>
      </c>
      <c r="J31" s="738"/>
    </row>
    <row r="32" spans="1:10" ht="15.75" thickBot="1" x14ac:dyDescent="0.3">
      <c r="B32" s="738"/>
      <c r="C32" s="828"/>
      <c r="D32" s="883"/>
      <c r="E32" s="880"/>
      <c r="F32" s="883"/>
      <c r="G32" s="881"/>
      <c r="H32" s="878"/>
      <c r="I32" s="738"/>
      <c r="J32" s="738"/>
    </row>
    <row r="33" spans="2:10" x14ac:dyDescent="0.25">
      <c r="B33" s="738"/>
      <c r="C33" s="884" t="s">
        <v>4</v>
      </c>
      <c r="D33" s="885">
        <f>F4+F5+F6+F7-C31</f>
        <v>404</v>
      </c>
      <c r="E33" s="886"/>
      <c r="F33" s="883"/>
      <c r="G33" s="881"/>
      <c r="H33" s="878"/>
      <c r="I33" s="738"/>
      <c r="J33" s="738"/>
    </row>
    <row r="34" spans="2:10" x14ac:dyDescent="0.25">
      <c r="B34" s="738"/>
      <c r="C34" s="1250" t="s">
        <v>19</v>
      </c>
      <c r="D34" s="1251"/>
      <c r="E34" s="887">
        <f>E4+E5+E6+E7-F31</f>
        <v>11484.9</v>
      </c>
      <c r="F34" s="883"/>
      <c r="G34" s="883"/>
      <c r="H34" s="878"/>
      <c r="I34" s="738"/>
      <c r="J34" s="738"/>
    </row>
    <row r="35" spans="2:10" ht="15.75" thickBot="1" x14ac:dyDescent="0.3">
      <c r="C35" s="44"/>
      <c r="D35" s="43"/>
      <c r="E35" s="41"/>
      <c r="F35" s="6"/>
      <c r="G35" s="31"/>
      <c r="H35" s="17"/>
    </row>
    <row r="36" spans="2:10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W1" workbookViewId="0">
      <pane ySplit="9" topLeftCell="A10" activePane="bottomLeft" state="frozen"/>
      <selection pane="bottomLeft" activeCell="AJ17" sqref="AJ1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52" t="s">
        <v>331</v>
      </c>
      <c r="B1" s="1252"/>
      <c r="C1" s="1252"/>
      <c r="D1" s="1252"/>
      <c r="E1" s="1252"/>
      <c r="F1" s="1252"/>
      <c r="G1" s="1252"/>
      <c r="H1" s="1252"/>
      <c r="I1" s="1252"/>
      <c r="J1" s="99">
        <v>1</v>
      </c>
      <c r="L1" s="1252" t="str">
        <f>A1</f>
        <v>INVENTARIO      DEL MES DE   NOVIEMBRE       2022</v>
      </c>
      <c r="M1" s="1252"/>
      <c r="N1" s="1252"/>
      <c r="O1" s="1252"/>
      <c r="P1" s="1252"/>
      <c r="Q1" s="1252"/>
      <c r="R1" s="1252"/>
      <c r="S1" s="1252"/>
      <c r="T1" s="1252"/>
      <c r="U1" s="99">
        <v>2</v>
      </c>
      <c r="W1" s="1252" t="str">
        <f>L1</f>
        <v>INVENTARIO      DEL MES DE   NOVIEMBRE       2022</v>
      </c>
      <c r="X1" s="1252"/>
      <c r="Y1" s="1252"/>
      <c r="Z1" s="1252"/>
      <c r="AA1" s="1252"/>
      <c r="AB1" s="1252"/>
      <c r="AC1" s="1252"/>
      <c r="AD1" s="1252"/>
      <c r="AE1" s="1252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8"/>
      <c r="B4" s="558"/>
      <c r="C4" s="236"/>
      <c r="D4" s="595"/>
      <c r="E4" s="596"/>
      <c r="F4" s="241"/>
      <c r="G4" s="73"/>
      <c r="L4" s="558"/>
      <c r="M4" s="558"/>
      <c r="N4" s="236">
        <v>80</v>
      </c>
      <c r="O4" s="336">
        <v>44819</v>
      </c>
      <c r="P4" s="863">
        <v>1299.74</v>
      </c>
      <c r="Q4" s="864">
        <v>48</v>
      </c>
      <c r="R4" s="73"/>
      <c r="W4" s="895"/>
      <c r="X4" s="738"/>
      <c r="Y4" s="891"/>
      <c r="Z4" s="892"/>
      <c r="AA4" s="893"/>
      <c r="AB4" s="894"/>
      <c r="AC4" s="73"/>
    </row>
    <row r="5" spans="1:32" ht="15" customHeight="1" x14ac:dyDescent="0.25">
      <c r="A5" s="1254" t="s">
        <v>52</v>
      </c>
      <c r="B5" s="1255" t="s">
        <v>87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54" t="s">
        <v>52</v>
      </c>
      <c r="M5" s="1255" t="s">
        <v>87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3" t="s">
        <v>222</v>
      </c>
      <c r="X5" s="1256" t="s">
        <v>87</v>
      </c>
      <c r="Y5" s="891"/>
      <c r="Z5" s="892">
        <v>44867</v>
      </c>
      <c r="AA5" s="893">
        <v>18564</v>
      </c>
      <c r="AB5" s="894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54"/>
      <c r="B6" s="1212"/>
      <c r="C6" s="236">
        <v>85</v>
      </c>
      <c r="D6" s="336">
        <v>44764</v>
      </c>
      <c r="E6" s="255">
        <v>4005.63</v>
      </c>
      <c r="F6" s="241">
        <v>160</v>
      </c>
      <c r="G6" s="73"/>
      <c r="L6" s="1254"/>
      <c r="M6" s="1212"/>
      <c r="N6" s="236"/>
      <c r="O6" s="336"/>
      <c r="P6" s="255"/>
      <c r="Q6" s="241"/>
      <c r="R6" s="73"/>
      <c r="W6" s="1253"/>
      <c r="X6" s="1257"/>
      <c r="Y6" s="891"/>
      <c r="Z6" s="892"/>
      <c r="AA6" s="893"/>
      <c r="AB6" s="894"/>
      <c r="AC6" s="73"/>
    </row>
    <row r="7" spans="1:32" ht="15.75" customHeight="1" thickBot="1" x14ac:dyDescent="0.35">
      <c r="A7" s="1254"/>
      <c r="B7" s="1212"/>
      <c r="C7" s="236"/>
      <c r="D7" s="336"/>
      <c r="E7" s="255">
        <v>1.05</v>
      </c>
      <c r="F7" s="241"/>
      <c r="G7" s="73"/>
      <c r="I7" s="372"/>
      <c r="J7" s="372"/>
      <c r="L7" s="1254"/>
      <c r="M7" s="1212"/>
      <c r="N7" s="236"/>
      <c r="O7" s="336"/>
      <c r="P7" s="255"/>
      <c r="Q7" s="241"/>
      <c r="R7" s="73"/>
      <c r="T7" s="372"/>
      <c r="U7" s="372"/>
      <c r="W7" s="1253"/>
      <c r="X7" s="1258"/>
      <c r="Y7" s="891"/>
      <c r="Z7" s="892"/>
      <c r="AA7" s="893"/>
      <c r="AB7" s="894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45" t="s">
        <v>47</v>
      </c>
      <c r="J8" s="1259" t="s">
        <v>4</v>
      </c>
      <c r="M8" s="413"/>
      <c r="N8" s="236"/>
      <c r="O8" s="336"/>
      <c r="P8" s="239"/>
      <c r="Q8" s="240"/>
      <c r="R8" s="73"/>
      <c r="T8" s="1245" t="s">
        <v>47</v>
      </c>
      <c r="U8" s="1259" t="s">
        <v>4</v>
      </c>
      <c r="W8" s="3"/>
      <c r="X8" s="413"/>
      <c r="Y8" s="236"/>
      <c r="Z8" s="336"/>
      <c r="AA8" s="239"/>
      <c r="AB8" s="240"/>
      <c r="AC8" s="73"/>
      <c r="AE8" s="1245" t="s">
        <v>47</v>
      </c>
      <c r="AF8" s="1259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6"/>
      <c r="J9" s="126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46"/>
      <c r="U9" s="1260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46"/>
      <c r="AF9" s="1260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844">
        <f>P4+P5+P6-Q10+P7+P8</f>
        <v>1299.74</v>
      </c>
      <c r="U10" s="845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844">
        <f>AA4+AA5+AA6-AB10+AA7+AA8</f>
        <v>18564</v>
      </c>
      <c r="AF10" s="845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39">
        <v>110.66</v>
      </c>
      <c r="E24" s="637">
        <v>44776</v>
      </c>
      <c r="F24" s="632">
        <f t="shared" si="6"/>
        <v>110.66</v>
      </c>
      <c r="G24" s="633" t="s">
        <v>122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39">
        <v>56.86</v>
      </c>
      <c r="E25" s="637">
        <v>44778</v>
      </c>
      <c r="F25" s="632">
        <f t="shared" si="6"/>
        <v>56.86</v>
      </c>
      <c r="G25" s="633" t="s">
        <v>123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39">
        <v>104.61</v>
      </c>
      <c r="E26" s="637">
        <v>44781</v>
      </c>
      <c r="F26" s="632">
        <f t="shared" si="6"/>
        <v>104.61</v>
      </c>
      <c r="G26" s="633" t="s">
        <v>124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39">
        <v>56.75</v>
      </c>
      <c r="E27" s="637">
        <v>44783</v>
      </c>
      <c r="F27" s="632">
        <f t="shared" si="6"/>
        <v>56.75</v>
      </c>
      <c r="G27" s="633" t="s">
        <v>125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39">
        <v>101.28</v>
      </c>
      <c r="E28" s="637">
        <v>44784</v>
      </c>
      <c r="F28" s="632">
        <f t="shared" si="6"/>
        <v>101.28</v>
      </c>
      <c r="G28" s="633" t="s">
        <v>126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39">
        <v>25.62</v>
      </c>
      <c r="E29" s="637">
        <v>44785</v>
      </c>
      <c r="F29" s="632">
        <f t="shared" si="6"/>
        <v>25.62</v>
      </c>
      <c r="G29" s="633" t="s">
        <v>127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39">
        <v>53.43</v>
      </c>
      <c r="E30" s="637">
        <v>44785</v>
      </c>
      <c r="F30" s="632">
        <f t="shared" si="6"/>
        <v>53.43</v>
      </c>
      <c r="G30" s="633" t="s">
        <v>127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39">
        <v>56.1</v>
      </c>
      <c r="E31" s="637">
        <v>44786</v>
      </c>
      <c r="F31" s="632">
        <f t="shared" si="6"/>
        <v>56.1</v>
      </c>
      <c r="G31" s="633" t="s">
        <v>129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39">
        <v>56.8</v>
      </c>
      <c r="E32" s="637">
        <v>44788</v>
      </c>
      <c r="F32" s="632">
        <f t="shared" si="6"/>
        <v>56.8</v>
      </c>
      <c r="G32" s="633" t="s">
        <v>132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39">
        <v>105.74</v>
      </c>
      <c r="E33" s="637">
        <v>44788</v>
      </c>
      <c r="F33" s="632">
        <f t="shared" si="6"/>
        <v>105.74</v>
      </c>
      <c r="G33" s="633" t="s">
        <v>133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39">
        <f>27.67+21.86</f>
        <v>49.53</v>
      </c>
      <c r="E34" s="637">
        <v>44790</v>
      </c>
      <c r="F34" s="632">
        <f t="shared" si="6"/>
        <v>49.53</v>
      </c>
      <c r="G34" s="633" t="s">
        <v>134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39">
        <v>107.94</v>
      </c>
      <c r="E35" s="637">
        <v>44792</v>
      </c>
      <c r="F35" s="632">
        <f t="shared" si="6"/>
        <v>107.94</v>
      </c>
      <c r="G35" s="633" t="s">
        <v>135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39">
        <v>102.16</v>
      </c>
      <c r="E36" s="637">
        <v>44792</v>
      </c>
      <c r="F36" s="632">
        <f t="shared" si="6"/>
        <v>102.16</v>
      </c>
      <c r="G36" s="633" t="s">
        <v>136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39">
        <v>104.16</v>
      </c>
      <c r="E37" s="637">
        <v>44793</v>
      </c>
      <c r="F37" s="632">
        <f t="shared" si="6"/>
        <v>104.16</v>
      </c>
      <c r="G37" s="633" t="s">
        <v>137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39">
        <v>50.52</v>
      </c>
      <c r="E38" s="637">
        <v>44795</v>
      </c>
      <c r="F38" s="632">
        <f t="shared" si="6"/>
        <v>50.52</v>
      </c>
      <c r="G38" s="633" t="s">
        <v>138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39">
        <v>49.23</v>
      </c>
      <c r="E39" s="637">
        <v>44798</v>
      </c>
      <c r="F39" s="632">
        <f t="shared" si="6"/>
        <v>49.23</v>
      </c>
      <c r="G39" s="633" t="s">
        <v>140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39">
        <v>157.43</v>
      </c>
      <c r="E40" s="637">
        <v>44798</v>
      </c>
      <c r="F40" s="632">
        <f t="shared" si="6"/>
        <v>157.43</v>
      </c>
      <c r="G40" s="633" t="s">
        <v>141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686">
        <v>49.65</v>
      </c>
      <c r="E41" s="684">
        <v>44802</v>
      </c>
      <c r="F41" s="683">
        <f t="shared" si="6"/>
        <v>49.65</v>
      </c>
      <c r="G41" s="685" t="s">
        <v>148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686">
        <v>55.2</v>
      </c>
      <c r="E42" s="684">
        <v>44803</v>
      </c>
      <c r="F42" s="683">
        <f t="shared" si="6"/>
        <v>55.2</v>
      </c>
      <c r="G42" s="685" t="s">
        <v>149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686">
        <v>80.010000000000005</v>
      </c>
      <c r="E43" s="684">
        <v>44805</v>
      </c>
      <c r="F43" s="683">
        <f t="shared" si="6"/>
        <v>80.010000000000005</v>
      </c>
      <c r="G43" s="685" t="s">
        <v>150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686">
        <v>49.1</v>
      </c>
      <c r="E44" s="684">
        <v>44806</v>
      </c>
      <c r="F44" s="683">
        <f t="shared" si="6"/>
        <v>49.1</v>
      </c>
      <c r="G44" s="685" t="s">
        <v>151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686">
        <v>48.15</v>
      </c>
      <c r="E45" s="684">
        <v>44810</v>
      </c>
      <c r="F45" s="683">
        <f t="shared" si="6"/>
        <v>48.15</v>
      </c>
      <c r="G45" s="685" t="s">
        <v>153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686">
        <v>46.83</v>
      </c>
      <c r="E46" s="684">
        <v>44810</v>
      </c>
      <c r="F46" s="683">
        <f t="shared" si="6"/>
        <v>46.83</v>
      </c>
      <c r="G46" s="685" t="s">
        <v>155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686">
        <v>48.3</v>
      </c>
      <c r="E47" s="684">
        <v>44810</v>
      </c>
      <c r="F47" s="683">
        <f t="shared" si="6"/>
        <v>48.3</v>
      </c>
      <c r="G47" s="685" t="s">
        <v>156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686">
        <v>111.02</v>
      </c>
      <c r="E48" s="684">
        <v>44810</v>
      </c>
      <c r="F48" s="683">
        <f t="shared" si="6"/>
        <v>111.02</v>
      </c>
      <c r="G48" s="685" t="s">
        <v>157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686">
        <v>53.14</v>
      </c>
      <c r="E49" s="684">
        <v>44813</v>
      </c>
      <c r="F49" s="683">
        <f t="shared" si="6"/>
        <v>53.14</v>
      </c>
      <c r="G49" s="685" t="s">
        <v>154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686">
        <v>51.27</v>
      </c>
      <c r="E50" s="684">
        <v>44817</v>
      </c>
      <c r="F50" s="683">
        <f t="shared" si="6"/>
        <v>51.27</v>
      </c>
      <c r="G50" s="685" t="s">
        <v>158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686">
        <v>43.22</v>
      </c>
      <c r="E51" s="684">
        <v>44819</v>
      </c>
      <c r="F51" s="683">
        <f t="shared" si="6"/>
        <v>43.22</v>
      </c>
      <c r="G51" s="685" t="s">
        <v>161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686">
        <v>60.07</v>
      </c>
      <c r="E52" s="684">
        <v>44819</v>
      </c>
      <c r="F52" s="683">
        <f t="shared" si="6"/>
        <v>60.07</v>
      </c>
      <c r="G52" s="685" t="s">
        <v>163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686">
        <v>26.45</v>
      </c>
      <c r="E53" s="684">
        <v>44819</v>
      </c>
      <c r="F53" s="683">
        <f t="shared" si="6"/>
        <v>26.45</v>
      </c>
      <c r="G53" s="685" t="s">
        <v>164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686">
        <v>119.46</v>
      </c>
      <c r="E54" s="684">
        <v>44823</v>
      </c>
      <c r="F54" s="683">
        <f t="shared" si="6"/>
        <v>119.46</v>
      </c>
      <c r="G54" s="685" t="s">
        <v>165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686">
        <v>103.05</v>
      </c>
      <c r="E55" s="684">
        <v>44824</v>
      </c>
      <c r="F55" s="683">
        <f t="shared" si="6"/>
        <v>103.05</v>
      </c>
      <c r="G55" s="685" t="s">
        <v>166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686">
        <v>31.03</v>
      </c>
      <c r="E56" s="684">
        <v>44824</v>
      </c>
      <c r="F56" s="683">
        <f t="shared" si="6"/>
        <v>31.03</v>
      </c>
      <c r="G56" s="685" t="s">
        <v>167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686">
        <v>49.28</v>
      </c>
      <c r="E57" s="684">
        <v>44825</v>
      </c>
      <c r="F57" s="683">
        <f t="shared" si="6"/>
        <v>49.28</v>
      </c>
      <c r="G57" s="685" t="s">
        <v>168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686">
        <v>108.75</v>
      </c>
      <c r="E58" s="684">
        <v>44825</v>
      </c>
      <c r="F58" s="683">
        <f t="shared" si="6"/>
        <v>108.75</v>
      </c>
      <c r="G58" s="685" t="s">
        <v>169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686">
        <v>99.85</v>
      </c>
      <c r="E59" s="684">
        <v>44825</v>
      </c>
      <c r="F59" s="683">
        <f t="shared" si="6"/>
        <v>99.85</v>
      </c>
      <c r="G59" s="685" t="s">
        <v>170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686">
        <v>81.430000000000007</v>
      </c>
      <c r="E60" s="684">
        <v>44826</v>
      </c>
      <c r="F60" s="683">
        <f t="shared" si="6"/>
        <v>81.430000000000007</v>
      </c>
      <c r="G60" s="685" t="s">
        <v>171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686">
        <v>118.27</v>
      </c>
      <c r="E61" s="684">
        <v>44831</v>
      </c>
      <c r="F61" s="683">
        <f t="shared" si="6"/>
        <v>118.27</v>
      </c>
      <c r="G61" s="685" t="s">
        <v>173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686">
        <v>53.64</v>
      </c>
      <c r="E62" s="684">
        <v>44835</v>
      </c>
      <c r="F62" s="683">
        <f t="shared" si="6"/>
        <v>53.64</v>
      </c>
      <c r="G62" s="685" t="s">
        <v>174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53">
        <v>50.31</v>
      </c>
      <c r="E63" s="574">
        <v>44838</v>
      </c>
      <c r="F63" s="538">
        <f t="shared" si="6"/>
        <v>50.31</v>
      </c>
      <c r="G63" s="330" t="s">
        <v>183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53">
        <v>58.25</v>
      </c>
      <c r="E64" s="574">
        <v>44840</v>
      </c>
      <c r="F64" s="538">
        <f t="shared" si="6"/>
        <v>58.25</v>
      </c>
      <c r="G64" s="330" t="s">
        <v>184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53">
        <v>220.52</v>
      </c>
      <c r="E65" s="574">
        <v>44840</v>
      </c>
      <c r="F65" s="538">
        <f t="shared" si="6"/>
        <v>220.52</v>
      </c>
      <c r="G65" s="330" t="s">
        <v>186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53">
        <v>23.95</v>
      </c>
      <c r="E66" s="574">
        <v>44841</v>
      </c>
      <c r="F66" s="538">
        <f t="shared" si="6"/>
        <v>23.95</v>
      </c>
      <c r="G66" s="330" t="s">
        <v>187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53">
        <v>149.43</v>
      </c>
      <c r="E67" s="574">
        <v>44842</v>
      </c>
      <c r="F67" s="538">
        <f t="shared" si="6"/>
        <v>149.43</v>
      </c>
      <c r="G67" s="330" t="s">
        <v>188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53">
        <v>113.59</v>
      </c>
      <c r="E68" s="574">
        <v>44845</v>
      </c>
      <c r="F68" s="538">
        <f t="shared" si="6"/>
        <v>113.59</v>
      </c>
      <c r="G68" s="330" t="s">
        <v>191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53">
        <v>111.26</v>
      </c>
      <c r="E69" s="574">
        <v>44853</v>
      </c>
      <c r="F69" s="538">
        <f t="shared" si="6"/>
        <v>111.26</v>
      </c>
      <c r="G69" s="330" t="s">
        <v>199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>
        <f t="shared" ref="Q69:Q100" si="13">O69</f>
        <v>0</v>
      </c>
      <c r="R69" s="70"/>
      <c r="S69" s="71"/>
      <c r="T69" s="208">
        <f t="shared" ref="T69:T100" si="14">T68-Q69</f>
        <v>1299.74</v>
      </c>
      <c r="U69" s="127">
        <f t="shared" ref="U69:U100" si="15">U68-N69</f>
        <v>48</v>
      </c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6">AE68-AB69</f>
        <v>18564</v>
      </c>
      <c r="AF69" s="127">
        <f t="shared" ref="AF69:AF91" si="17">AF68-Y69</f>
        <v>922</v>
      </c>
    </row>
    <row r="70" spans="1:32" x14ac:dyDescent="0.25">
      <c r="A70" s="2"/>
      <c r="B70" s="83"/>
      <c r="C70" s="15">
        <v>5</v>
      </c>
      <c r="D70" s="753">
        <v>123.65</v>
      </c>
      <c r="E70" s="574">
        <v>44853</v>
      </c>
      <c r="F70" s="538">
        <f t="shared" si="6"/>
        <v>123.65</v>
      </c>
      <c r="G70" s="330" t="s">
        <v>200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>
        <f t="shared" si="13"/>
        <v>0</v>
      </c>
      <c r="R70" s="70"/>
      <c r="S70" s="71"/>
      <c r="T70" s="208">
        <f t="shared" si="14"/>
        <v>1299.74</v>
      </c>
      <c r="U70" s="127">
        <f t="shared" si="15"/>
        <v>48</v>
      </c>
      <c r="W70" s="2"/>
      <c r="X70" s="83"/>
      <c r="Y70" s="15"/>
      <c r="Z70" s="151"/>
      <c r="AA70" s="246"/>
      <c r="AB70" s="69"/>
      <c r="AC70" s="70"/>
      <c r="AD70" s="71"/>
      <c r="AE70" s="208">
        <f t="shared" si="16"/>
        <v>18564</v>
      </c>
      <c r="AF70" s="127">
        <f t="shared" si="17"/>
        <v>922</v>
      </c>
    </row>
    <row r="71" spans="1:32" x14ac:dyDescent="0.25">
      <c r="A71" s="2"/>
      <c r="B71" s="83"/>
      <c r="C71" s="15">
        <v>4</v>
      </c>
      <c r="D71" s="753">
        <v>102.95</v>
      </c>
      <c r="E71" s="574">
        <v>44854</v>
      </c>
      <c r="F71" s="538">
        <f t="shared" si="6"/>
        <v>102.95</v>
      </c>
      <c r="G71" s="330" t="s">
        <v>203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>
        <f t="shared" si="13"/>
        <v>0</v>
      </c>
      <c r="R71" s="70"/>
      <c r="S71" s="71"/>
      <c r="T71" s="208">
        <f t="shared" si="14"/>
        <v>1299.74</v>
      </c>
      <c r="U71" s="127">
        <f t="shared" si="15"/>
        <v>48</v>
      </c>
      <c r="W71" s="2"/>
      <c r="X71" s="83"/>
      <c r="Y71" s="15"/>
      <c r="Z71" s="151"/>
      <c r="AA71" s="246"/>
      <c r="AB71" s="69"/>
      <c r="AC71" s="70"/>
      <c r="AD71" s="71"/>
      <c r="AE71" s="208">
        <f t="shared" si="16"/>
        <v>18564</v>
      </c>
      <c r="AF71" s="127">
        <f t="shared" si="17"/>
        <v>922</v>
      </c>
    </row>
    <row r="72" spans="1:32" x14ac:dyDescent="0.25">
      <c r="A72" s="2"/>
      <c r="B72" s="83"/>
      <c r="C72" s="15">
        <v>4</v>
      </c>
      <c r="D72" s="753">
        <v>105.15</v>
      </c>
      <c r="E72" s="574">
        <v>44855</v>
      </c>
      <c r="F72" s="538">
        <f t="shared" si="6"/>
        <v>105.15</v>
      </c>
      <c r="G72" s="330" t="s">
        <v>205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>
        <f t="shared" si="13"/>
        <v>0</v>
      </c>
      <c r="R72" s="70"/>
      <c r="S72" s="71"/>
      <c r="T72" s="208">
        <f t="shared" si="14"/>
        <v>1299.74</v>
      </c>
      <c r="U72" s="127">
        <f t="shared" si="15"/>
        <v>48</v>
      </c>
      <c r="W72" s="2"/>
      <c r="X72" s="83"/>
      <c r="Y72" s="15"/>
      <c r="Z72" s="151"/>
      <c r="AA72" s="246"/>
      <c r="AB72" s="69"/>
      <c r="AC72" s="70"/>
      <c r="AD72" s="71"/>
      <c r="AE72" s="208">
        <f t="shared" si="16"/>
        <v>18564</v>
      </c>
      <c r="AF72" s="127">
        <f t="shared" si="17"/>
        <v>922</v>
      </c>
    </row>
    <row r="73" spans="1:32" x14ac:dyDescent="0.25">
      <c r="A73" s="2"/>
      <c r="B73" s="83"/>
      <c r="C73" s="15">
        <v>2</v>
      </c>
      <c r="D73" s="753">
        <v>56.1</v>
      </c>
      <c r="E73" s="574">
        <v>44856</v>
      </c>
      <c r="F73" s="538">
        <f t="shared" si="6"/>
        <v>56.1</v>
      </c>
      <c r="G73" s="330" t="s">
        <v>207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>
        <f t="shared" si="13"/>
        <v>0</v>
      </c>
      <c r="R73" s="70"/>
      <c r="S73" s="71"/>
      <c r="T73" s="208">
        <f t="shared" si="14"/>
        <v>1299.74</v>
      </c>
      <c r="U73" s="127">
        <f t="shared" si="15"/>
        <v>48</v>
      </c>
      <c r="W73" s="2"/>
      <c r="X73" s="83"/>
      <c r="Y73" s="15"/>
      <c r="Z73" s="151"/>
      <c r="AA73" s="246"/>
      <c r="AB73" s="69"/>
      <c r="AC73" s="70"/>
      <c r="AD73" s="71"/>
      <c r="AE73" s="208">
        <f t="shared" si="16"/>
        <v>18564</v>
      </c>
      <c r="AF73" s="127">
        <f t="shared" si="17"/>
        <v>922</v>
      </c>
    </row>
    <row r="74" spans="1:32" x14ac:dyDescent="0.25">
      <c r="A74" s="2"/>
      <c r="B74" s="83"/>
      <c r="C74" s="15">
        <v>5</v>
      </c>
      <c r="D74" s="753">
        <v>114.44</v>
      </c>
      <c r="E74" s="574">
        <v>44860</v>
      </c>
      <c r="F74" s="538">
        <f t="shared" si="6"/>
        <v>114.44</v>
      </c>
      <c r="G74" s="330" t="s">
        <v>212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>
        <f t="shared" si="13"/>
        <v>0</v>
      </c>
      <c r="R74" s="70"/>
      <c r="S74" s="71"/>
      <c r="T74" s="208">
        <f t="shared" si="14"/>
        <v>1299.74</v>
      </c>
      <c r="U74" s="127">
        <f t="shared" si="15"/>
        <v>48</v>
      </c>
      <c r="W74" s="2"/>
      <c r="X74" s="83"/>
      <c r="Y74" s="15"/>
      <c r="Z74" s="151"/>
      <c r="AA74" s="246"/>
      <c r="AB74" s="69"/>
      <c r="AC74" s="70"/>
      <c r="AD74" s="71"/>
      <c r="AE74" s="208">
        <f t="shared" si="16"/>
        <v>18564</v>
      </c>
      <c r="AF74" s="127">
        <f t="shared" si="17"/>
        <v>922</v>
      </c>
    </row>
    <row r="75" spans="1:32" x14ac:dyDescent="0.25">
      <c r="A75" s="2"/>
      <c r="B75" s="83"/>
      <c r="C75" s="15">
        <v>5</v>
      </c>
      <c r="D75" s="753">
        <v>114.31</v>
      </c>
      <c r="E75" s="574">
        <v>44862</v>
      </c>
      <c r="F75" s="538">
        <f t="shared" si="6"/>
        <v>114.31</v>
      </c>
      <c r="G75" s="330" t="s">
        <v>214</v>
      </c>
      <c r="H75" s="331">
        <v>84</v>
      </c>
      <c r="I75" s="844">
        <f t="shared" si="11"/>
        <v>1819.0800000000013</v>
      </c>
      <c r="J75" s="845">
        <f t="shared" si="12"/>
        <v>75</v>
      </c>
      <c r="L75" s="2"/>
      <c r="M75" s="83"/>
      <c r="N75" s="15"/>
      <c r="O75" s="151"/>
      <c r="P75" s="246"/>
      <c r="Q75" s="69">
        <f t="shared" si="13"/>
        <v>0</v>
      </c>
      <c r="R75" s="70"/>
      <c r="S75" s="71"/>
      <c r="T75" s="208">
        <f t="shared" si="14"/>
        <v>1299.74</v>
      </c>
      <c r="U75" s="127">
        <f t="shared" si="15"/>
        <v>48</v>
      </c>
      <c r="W75" s="2"/>
      <c r="X75" s="83"/>
      <c r="Y75" s="15"/>
      <c r="Z75" s="151"/>
      <c r="AA75" s="246"/>
      <c r="AB75" s="69"/>
      <c r="AC75" s="70"/>
      <c r="AD75" s="71"/>
      <c r="AE75" s="208">
        <f t="shared" si="16"/>
        <v>18564</v>
      </c>
      <c r="AF75" s="127">
        <f t="shared" si="17"/>
        <v>922</v>
      </c>
    </row>
    <row r="76" spans="1:32" x14ac:dyDescent="0.25">
      <c r="A76" s="2"/>
      <c r="B76" s="83"/>
      <c r="C76" s="15">
        <v>7</v>
      </c>
      <c r="D76" s="954">
        <v>160.03</v>
      </c>
      <c r="E76" s="858">
        <v>44866</v>
      </c>
      <c r="F76" s="846">
        <f t="shared" si="6"/>
        <v>160.03</v>
      </c>
      <c r="G76" s="848" t="s">
        <v>236</v>
      </c>
      <c r="H76" s="849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>
        <f t="shared" si="13"/>
        <v>0</v>
      </c>
      <c r="R76" s="70"/>
      <c r="S76" s="71"/>
      <c r="T76" s="208">
        <f t="shared" si="14"/>
        <v>1299.74</v>
      </c>
      <c r="U76" s="127">
        <f t="shared" si="15"/>
        <v>48</v>
      </c>
      <c r="W76" s="2"/>
      <c r="X76" s="83"/>
      <c r="Y76" s="15"/>
      <c r="Z76" s="151"/>
      <c r="AA76" s="246"/>
      <c r="AB76" s="69"/>
      <c r="AC76" s="70"/>
      <c r="AD76" s="71"/>
      <c r="AE76" s="208">
        <f t="shared" si="16"/>
        <v>18564</v>
      </c>
      <c r="AF76" s="127">
        <f t="shared" si="17"/>
        <v>922</v>
      </c>
    </row>
    <row r="77" spans="1:32" x14ac:dyDescent="0.25">
      <c r="A77" s="2"/>
      <c r="B77" s="83"/>
      <c r="C77" s="15">
        <v>4</v>
      </c>
      <c r="D77" s="954">
        <v>106.31</v>
      </c>
      <c r="E77" s="858">
        <v>44867</v>
      </c>
      <c r="F77" s="846">
        <f t="shared" si="6"/>
        <v>106.31</v>
      </c>
      <c r="G77" s="848" t="s">
        <v>237</v>
      </c>
      <c r="H77" s="849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>
        <f t="shared" si="13"/>
        <v>0</v>
      </c>
      <c r="R77" s="70"/>
      <c r="S77" s="71"/>
      <c r="T77" s="208">
        <f t="shared" si="14"/>
        <v>1299.74</v>
      </c>
      <c r="U77" s="127">
        <f t="shared" si="15"/>
        <v>48</v>
      </c>
      <c r="W77" s="2"/>
      <c r="X77" s="83"/>
      <c r="Y77" s="15"/>
      <c r="Z77" s="151"/>
      <c r="AA77" s="246"/>
      <c r="AB77" s="69"/>
      <c r="AC77" s="70"/>
      <c r="AD77" s="71"/>
      <c r="AE77" s="208">
        <f t="shared" si="16"/>
        <v>18564</v>
      </c>
      <c r="AF77" s="127">
        <f t="shared" si="17"/>
        <v>922</v>
      </c>
    </row>
    <row r="78" spans="1:32" x14ac:dyDescent="0.25">
      <c r="A78" s="2"/>
      <c r="B78" s="83"/>
      <c r="C78" s="15">
        <v>8</v>
      </c>
      <c r="D78" s="954">
        <v>204.06</v>
      </c>
      <c r="E78" s="858">
        <v>44869</v>
      </c>
      <c r="F78" s="846">
        <f t="shared" si="6"/>
        <v>204.06</v>
      </c>
      <c r="G78" s="848" t="s">
        <v>242</v>
      </c>
      <c r="H78" s="849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>
        <f t="shared" si="13"/>
        <v>0</v>
      </c>
      <c r="R78" s="70"/>
      <c r="S78" s="71"/>
      <c r="T78" s="208">
        <f t="shared" si="14"/>
        <v>1299.74</v>
      </c>
      <c r="U78" s="127">
        <f t="shared" si="15"/>
        <v>48</v>
      </c>
      <c r="W78" s="2"/>
      <c r="X78" s="83"/>
      <c r="Y78" s="15"/>
      <c r="Z78" s="151"/>
      <c r="AA78" s="246"/>
      <c r="AB78" s="69"/>
      <c r="AC78" s="70"/>
      <c r="AD78" s="71"/>
      <c r="AE78" s="208">
        <f t="shared" si="16"/>
        <v>18564</v>
      </c>
      <c r="AF78" s="127">
        <f t="shared" si="17"/>
        <v>922</v>
      </c>
    </row>
    <row r="79" spans="1:32" x14ac:dyDescent="0.25">
      <c r="A79" s="2"/>
      <c r="B79" s="83"/>
      <c r="C79" s="15">
        <v>5</v>
      </c>
      <c r="D79" s="954">
        <v>127.98</v>
      </c>
      <c r="E79" s="858">
        <v>44874</v>
      </c>
      <c r="F79" s="846">
        <f t="shared" si="6"/>
        <v>127.98</v>
      </c>
      <c r="G79" s="848" t="s">
        <v>255</v>
      </c>
      <c r="H79" s="849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>
        <f t="shared" si="13"/>
        <v>0</v>
      </c>
      <c r="R79" s="70"/>
      <c r="S79" s="71"/>
      <c r="T79" s="208">
        <f t="shared" si="14"/>
        <v>1299.74</v>
      </c>
      <c r="U79" s="127">
        <f t="shared" si="15"/>
        <v>48</v>
      </c>
      <c r="W79" s="2"/>
      <c r="X79" s="83"/>
      <c r="Y79" s="15"/>
      <c r="Z79" s="151"/>
      <c r="AA79" s="246"/>
      <c r="AB79" s="69"/>
      <c r="AC79" s="70"/>
      <c r="AD79" s="71"/>
      <c r="AE79" s="208">
        <f t="shared" si="16"/>
        <v>18564</v>
      </c>
      <c r="AF79" s="127">
        <f t="shared" si="17"/>
        <v>922</v>
      </c>
    </row>
    <row r="80" spans="1:32" x14ac:dyDescent="0.25">
      <c r="A80" s="2"/>
      <c r="B80" s="83"/>
      <c r="C80" s="15">
        <v>1</v>
      </c>
      <c r="D80" s="954">
        <v>26.52</v>
      </c>
      <c r="E80" s="858">
        <v>44875</v>
      </c>
      <c r="F80" s="846">
        <f t="shared" si="6"/>
        <v>26.52</v>
      </c>
      <c r="G80" s="848" t="s">
        <v>259</v>
      </c>
      <c r="H80" s="849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>
        <f t="shared" si="13"/>
        <v>0</v>
      </c>
      <c r="R80" s="70"/>
      <c r="S80" s="71"/>
      <c r="T80" s="208">
        <f t="shared" si="14"/>
        <v>1299.74</v>
      </c>
      <c r="U80" s="127">
        <f t="shared" si="15"/>
        <v>48</v>
      </c>
      <c r="W80" s="2"/>
      <c r="X80" s="83"/>
      <c r="Y80" s="15"/>
      <c r="Z80" s="151"/>
      <c r="AA80" s="246"/>
      <c r="AB80" s="69"/>
      <c r="AC80" s="70"/>
      <c r="AD80" s="71"/>
      <c r="AE80" s="208">
        <f t="shared" si="16"/>
        <v>18564</v>
      </c>
      <c r="AF80" s="127">
        <f t="shared" si="17"/>
        <v>922</v>
      </c>
    </row>
    <row r="81" spans="1:32" x14ac:dyDescent="0.25">
      <c r="A81" s="2"/>
      <c r="B81" s="83"/>
      <c r="C81" s="15">
        <v>1</v>
      </c>
      <c r="D81" s="954">
        <v>19.899999999999999</v>
      </c>
      <c r="E81" s="858">
        <v>44875</v>
      </c>
      <c r="F81" s="846">
        <f t="shared" si="6"/>
        <v>19.899999999999999</v>
      </c>
      <c r="G81" s="848" t="s">
        <v>260</v>
      </c>
      <c r="H81" s="849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>
        <f t="shared" si="13"/>
        <v>0</v>
      </c>
      <c r="R81" s="70"/>
      <c r="S81" s="71"/>
      <c r="T81" s="208">
        <f t="shared" si="14"/>
        <v>1299.74</v>
      </c>
      <c r="U81" s="127">
        <f t="shared" si="15"/>
        <v>48</v>
      </c>
      <c r="W81" s="2"/>
      <c r="X81" s="83"/>
      <c r="Y81" s="15"/>
      <c r="Z81" s="151"/>
      <c r="AA81" s="246"/>
      <c r="AB81" s="69"/>
      <c r="AC81" s="70"/>
      <c r="AD81" s="71"/>
      <c r="AE81" s="208">
        <f t="shared" si="16"/>
        <v>18564</v>
      </c>
      <c r="AF81" s="127">
        <f t="shared" si="17"/>
        <v>922</v>
      </c>
    </row>
    <row r="82" spans="1:32" x14ac:dyDescent="0.25">
      <c r="A82" s="2"/>
      <c r="B82" s="83"/>
      <c r="C82" s="15">
        <v>2</v>
      </c>
      <c r="D82" s="954">
        <v>50.72</v>
      </c>
      <c r="E82" s="858">
        <v>44877</v>
      </c>
      <c r="F82" s="846">
        <f t="shared" si="6"/>
        <v>50.72</v>
      </c>
      <c r="G82" s="848" t="s">
        <v>267</v>
      </c>
      <c r="H82" s="849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>
        <f t="shared" si="13"/>
        <v>0</v>
      </c>
      <c r="R82" s="70"/>
      <c r="S82" s="71"/>
      <c r="T82" s="208">
        <f t="shared" si="14"/>
        <v>1299.74</v>
      </c>
      <c r="U82" s="127">
        <f t="shared" si="15"/>
        <v>48</v>
      </c>
      <c r="W82" s="2"/>
      <c r="X82" s="83"/>
      <c r="Y82" s="15"/>
      <c r="Z82" s="151"/>
      <c r="AA82" s="246"/>
      <c r="AB82" s="69"/>
      <c r="AC82" s="70"/>
      <c r="AD82" s="71"/>
      <c r="AE82" s="208">
        <f t="shared" si="16"/>
        <v>18564</v>
      </c>
      <c r="AF82" s="127">
        <f t="shared" si="17"/>
        <v>922</v>
      </c>
    </row>
    <row r="83" spans="1:32" x14ac:dyDescent="0.25">
      <c r="A83" s="2"/>
      <c r="B83" s="83"/>
      <c r="C83" s="15">
        <v>4</v>
      </c>
      <c r="D83" s="954">
        <v>108.24</v>
      </c>
      <c r="E83" s="858">
        <v>44877</v>
      </c>
      <c r="F83" s="846">
        <f t="shared" si="6"/>
        <v>108.24</v>
      </c>
      <c r="G83" s="848" t="s">
        <v>270</v>
      </c>
      <c r="H83" s="849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>
        <f t="shared" si="13"/>
        <v>0</v>
      </c>
      <c r="R83" s="70"/>
      <c r="S83" s="71"/>
      <c r="T83" s="208">
        <f t="shared" si="14"/>
        <v>1299.74</v>
      </c>
      <c r="U83" s="127">
        <f t="shared" si="15"/>
        <v>48</v>
      </c>
      <c r="W83" s="2"/>
      <c r="X83" s="83"/>
      <c r="Y83" s="15"/>
      <c r="Z83" s="151"/>
      <c r="AA83" s="246"/>
      <c r="AB83" s="69"/>
      <c r="AC83" s="70"/>
      <c r="AD83" s="71"/>
      <c r="AE83" s="208">
        <f t="shared" si="16"/>
        <v>18564</v>
      </c>
      <c r="AF83" s="127">
        <f t="shared" si="17"/>
        <v>922</v>
      </c>
    </row>
    <row r="84" spans="1:32" x14ac:dyDescent="0.25">
      <c r="A84" s="2"/>
      <c r="B84" s="83"/>
      <c r="C84" s="15">
        <v>4</v>
      </c>
      <c r="D84" s="954">
        <v>105.45</v>
      </c>
      <c r="E84" s="858">
        <v>44880</v>
      </c>
      <c r="F84" s="846">
        <f t="shared" si="6"/>
        <v>105.45</v>
      </c>
      <c r="G84" s="848" t="s">
        <v>278</v>
      </c>
      <c r="H84" s="849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>
        <f t="shared" si="13"/>
        <v>0</v>
      </c>
      <c r="R84" s="70"/>
      <c r="S84" s="71"/>
      <c r="T84" s="208">
        <f t="shared" si="14"/>
        <v>1299.74</v>
      </c>
      <c r="U84" s="127">
        <f t="shared" si="15"/>
        <v>48</v>
      </c>
      <c r="W84" s="2"/>
      <c r="X84" s="83"/>
      <c r="Y84" s="15"/>
      <c r="Z84" s="151"/>
      <c r="AA84" s="246"/>
      <c r="AB84" s="69"/>
      <c r="AC84" s="70"/>
      <c r="AD84" s="71"/>
      <c r="AE84" s="208">
        <f t="shared" si="16"/>
        <v>18564</v>
      </c>
      <c r="AF84" s="127">
        <f t="shared" si="17"/>
        <v>922</v>
      </c>
    </row>
    <row r="85" spans="1:32" x14ac:dyDescent="0.25">
      <c r="A85" s="2"/>
      <c r="B85" s="83"/>
      <c r="C85" s="15">
        <v>3</v>
      </c>
      <c r="D85" s="954">
        <v>79.87</v>
      </c>
      <c r="E85" s="858">
        <v>44881</v>
      </c>
      <c r="F85" s="846">
        <f t="shared" si="6"/>
        <v>79.87</v>
      </c>
      <c r="G85" s="848" t="s">
        <v>280</v>
      </c>
      <c r="H85" s="849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>
        <f t="shared" si="13"/>
        <v>0</v>
      </c>
      <c r="R85" s="70"/>
      <c r="S85" s="71"/>
      <c r="T85" s="208">
        <f t="shared" si="14"/>
        <v>1299.74</v>
      </c>
      <c r="U85" s="127">
        <f t="shared" si="15"/>
        <v>48</v>
      </c>
      <c r="W85" s="2"/>
      <c r="X85" s="83"/>
      <c r="Y85" s="15"/>
      <c r="Z85" s="151"/>
      <c r="AA85" s="246"/>
      <c r="AB85" s="69"/>
      <c r="AC85" s="70"/>
      <c r="AD85" s="71"/>
      <c r="AE85" s="208">
        <f t="shared" si="16"/>
        <v>18564</v>
      </c>
      <c r="AF85" s="127">
        <f t="shared" si="17"/>
        <v>922</v>
      </c>
    </row>
    <row r="86" spans="1:32" x14ac:dyDescent="0.25">
      <c r="A86" s="2"/>
      <c r="B86" s="83"/>
      <c r="C86" s="15">
        <v>2</v>
      </c>
      <c r="D86" s="954">
        <v>54.7</v>
      </c>
      <c r="E86" s="858">
        <v>44883</v>
      </c>
      <c r="F86" s="846">
        <f t="shared" si="6"/>
        <v>54.7</v>
      </c>
      <c r="G86" s="848" t="s">
        <v>286</v>
      </c>
      <c r="H86" s="849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>
        <f t="shared" si="13"/>
        <v>0</v>
      </c>
      <c r="R86" s="70"/>
      <c r="S86" s="71"/>
      <c r="T86" s="208">
        <f t="shared" si="14"/>
        <v>1299.74</v>
      </c>
      <c r="U86" s="127">
        <f t="shared" si="15"/>
        <v>48</v>
      </c>
      <c r="W86" s="2"/>
      <c r="X86" s="83"/>
      <c r="Y86" s="15"/>
      <c r="Z86" s="151"/>
      <c r="AA86" s="246"/>
      <c r="AB86" s="69"/>
      <c r="AC86" s="70"/>
      <c r="AD86" s="71"/>
      <c r="AE86" s="208">
        <f t="shared" si="16"/>
        <v>18564</v>
      </c>
      <c r="AF86" s="127">
        <f t="shared" si="17"/>
        <v>922</v>
      </c>
    </row>
    <row r="87" spans="1:32" x14ac:dyDescent="0.25">
      <c r="A87" s="2"/>
      <c r="B87" s="83"/>
      <c r="C87" s="15">
        <v>8</v>
      </c>
      <c r="D87" s="954">
        <v>213.28</v>
      </c>
      <c r="E87" s="858">
        <v>44883</v>
      </c>
      <c r="F87" s="846">
        <f t="shared" si="6"/>
        <v>213.28</v>
      </c>
      <c r="G87" s="848" t="s">
        <v>287</v>
      </c>
      <c r="H87" s="849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>
        <f t="shared" si="13"/>
        <v>0</v>
      </c>
      <c r="R87" s="70"/>
      <c r="S87" s="71"/>
      <c r="T87" s="208">
        <f t="shared" si="14"/>
        <v>1299.74</v>
      </c>
      <c r="U87" s="127">
        <f t="shared" si="15"/>
        <v>48</v>
      </c>
      <c r="W87" s="2"/>
      <c r="X87" s="83"/>
      <c r="Y87" s="15"/>
      <c r="Z87" s="151"/>
      <c r="AA87" s="246"/>
      <c r="AB87" s="69"/>
      <c r="AC87" s="70"/>
      <c r="AD87" s="71"/>
      <c r="AE87" s="208">
        <f t="shared" si="16"/>
        <v>18564</v>
      </c>
      <c r="AF87" s="127">
        <f t="shared" si="17"/>
        <v>922</v>
      </c>
    </row>
    <row r="88" spans="1:32" x14ac:dyDescent="0.25">
      <c r="A88" s="2"/>
      <c r="B88" s="83"/>
      <c r="C88" s="15">
        <v>1</v>
      </c>
      <c r="D88" s="954">
        <v>26.14</v>
      </c>
      <c r="E88" s="858">
        <v>44883</v>
      </c>
      <c r="F88" s="846">
        <f t="shared" si="6"/>
        <v>26.14</v>
      </c>
      <c r="G88" s="848" t="s">
        <v>290</v>
      </c>
      <c r="H88" s="849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>
        <f t="shared" si="13"/>
        <v>0</v>
      </c>
      <c r="R88" s="70"/>
      <c r="S88" s="71"/>
      <c r="T88" s="208">
        <f t="shared" si="14"/>
        <v>1299.74</v>
      </c>
      <c r="U88" s="127">
        <f t="shared" si="15"/>
        <v>48</v>
      </c>
      <c r="W88" s="2"/>
      <c r="X88" s="83"/>
      <c r="Y88" s="15"/>
      <c r="Z88" s="151"/>
      <c r="AA88" s="246"/>
      <c r="AB88" s="69"/>
      <c r="AC88" s="70"/>
      <c r="AD88" s="71"/>
      <c r="AE88" s="208">
        <f t="shared" si="16"/>
        <v>18564</v>
      </c>
      <c r="AF88" s="127">
        <f t="shared" si="17"/>
        <v>922</v>
      </c>
    </row>
    <row r="89" spans="1:32" x14ac:dyDescent="0.25">
      <c r="A89" s="2"/>
      <c r="B89" s="83"/>
      <c r="C89" s="15">
        <v>5</v>
      </c>
      <c r="D89" s="954">
        <v>137.38999999999999</v>
      </c>
      <c r="E89" s="858">
        <v>44889</v>
      </c>
      <c r="F89" s="846">
        <f t="shared" si="6"/>
        <v>137.38999999999999</v>
      </c>
      <c r="G89" s="848" t="s">
        <v>303</v>
      </c>
      <c r="H89" s="849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>
        <f t="shared" si="13"/>
        <v>0</v>
      </c>
      <c r="R89" s="70"/>
      <c r="S89" s="71"/>
      <c r="T89" s="208">
        <f t="shared" si="14"/>
        <v>1299.74</v>
      </c>
      <c r="U89" s="127">
        <f t="shared" si="15"/>
        <v>48</v>
      </c>
      <c r="W89" s="2"/>
      <c r="X89" s="83"/>
      <c r="Y89" s="15"/>
      <c r="Z89" s="151"/>
      <c r="AA89" s="246"/>
      <c r="AB89" s="69"/>
      <c r="AC89" s="70"/>
      <c r="AD89" s="71"/>
      <c r="AE89" s="208">
        <f t="shared" si="16"/>
        <v>18564</v>
      </c>
      <c r="AF89" s="127">
        <f t="shared" si="17"/>
        <v>922</v>
      </c>
    </row>
    <row r="90" spans="1:32" x14ac:dyDescent="0.25">
      <c r="A90" s="2"/>
      <c r="B90" s="83"/>
      <c r="C90" s="15">
        <v>3</v>
      </c>
      <c r="D90" s="954">
        <v>72.59</v>
      </c>
      <c r="E90" s="858">
        <v>44890</v>
      </c>
      <c r="F90" s="846">
        <f t="shared" si="6"/>
        <v>72.59</v>
      </c>
      <c r="G90" s="848" t="s">
        <v>306</v>
      </c>
      <c r="H90" s="849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>
        <f t="shared" si="13"/>
        <v>0</v>
      </c>
      <c r="R90" s="70"/>
      <c r="S90" s="71"/>
      <c r="T90" s="208">
        <f t="shared" si="14"/>
        <v>1299.74</v>
      </c>
      <c r="U90" s="127">
        <f t="shared" si="15"/>
        <v>48</v>
      </c>
      <c r="W90" s="2"/>
      <c r="X90" s="83"/>
      <c r="Y90" s="15"/>
      <c r="Z90" s="151"/>
      <c r="AA90" s="246"/>
      <c r="AB90" s="69"/>
      <c r="AC90" s="70"/>
      <c r="AD90" s="71"/>
      <c r="AE90" s="208">
        <f t="shared" si="16"/>
        <v>18564</v>
      </c>
      <c r="AF90" s="127">
        <f t="shared" si="17"/>
        <v>922</v>
      </c>
    </row>
    <row r="91" spans="1:32" ht="14.25" customHeight="1" x14ac:dyDescent="0.25">
      <c r="A91" s="2"/>
      <c r="B91" s="83"/>
      <c r="C91" s="15">
        <v>2</v>
      </c>
      <c r="D91" s="954">
        <v>55.23</v>
      </c>
      <c r="E91" s="858">
        <v>44890</v>
      </c>
      <c r="F91" s="846">
        <f t="shared" si="6"/>
        <v>55.23</v>
      </c>
      <c r="G91" s="848" t="s">
        <v>308</v>
      </c>
      <c r="H91" s="849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13"/>
        <v>0</v>
      </c>
      <c r="R91" s="70"/>
      <c r="S91" s="71"/>
      <c r="T91" s="208">
        <f t="shared" si="14"/>
        <v>1299.74</v>
      </c>
      <c r="U91" s="127">
        <f t="shared" si="15"/>
        <v>48</v>
      </c>
      <c r="W91" s="2"/>
      <c r="X91" s="83"/>
      <c r="Y91" s="15"/>
      <c r="Z91" s="151">
        <v>0</v>
      </c>
      <c r="AA91" s="246"/>
      <c r="AB91" s="69">
        <f t="shared" ref="AB91:AB101" si="18">Z91</f>
        <v>0</v>
      </c>
      <c r="AC91" s="70"/>
      <c r="AD91" s="71"/>
      <c r="AE91" s="208">
        <f t="shared" si="16"/>
        <v>18564</v>
      </c>
      <c r="AF91" s="127">
        <f t="shared" si="17"/>
        <v>922</v>
      </c>
    </row>
    <row r="92" spans="1:32" ht="14.25" customHeight="1" x14ac:dyDescent="0.25">
      <c r="A92" s="2"/>
      <c r="B92" s="83"/>
      <c r="C92" s="15">
        <v>6</v>
      </c>
      <c r="D92" s="954">
        <v>154</v>
      </c>
      <c r="E92" s="858">
        <v>44891</v>
      </c>
      <c r="F92" s="846">
        <f t="shared" si="6"/>
        <v>154</v>
      </c>
      <c r="G92" s="848" t="s">
        <v>316</v>
      </c>
      <c r="H92" s="849">
        <v>84</v>
      </c>
      <c r="I92" s="844">
        <f t="shared" ref="I92:I101" si="19">I91-F92</f>
        <v>116.67000000000121</v>
      </c>
      <c r="J92" s="845">
        <f t="shared" ref="J92:J101" si="20">J91-C92</f>
        <v>9</v>
      </c>
      <c r="L92" s="2"/>
      <c r="M92" s="83"/>
      <c r="N92" s="15"/>
      <c r="O92" s="151"/>
      <c r="P92" s="246"/>
      <c r="Q92" s="69">
        <f t="shared" si="13"/>
        <v>0</v>
      </c>
      <c r="R92" s="70"/>
      <c r="S92" s="71"/>
      <c r="T92" s="208">
        <f t="shared" si="14"/>
        <v>1299.74</v>
      </c>
      <c r="U92" s="127">
        <f t="shared" si="15"/>
        <v>48</v>
      </c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954"/>
      <c r="E93" s="858"/>
      <c r="F93" s="846">
        <f t="shared" si="6"/>
        <v>0</v>
      </c>
      <c r="G93" s="848"/>
      <c r="H93" s="849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6"/>
      <c r="Q93" s="69">
        <f t="shared" si="13"/>
        <v>0</v>
      </c>
      <c r="R93" s="70"/>
      <c r="S93" s="71"/>
      <c r="T93" s="208">
        <f t="shared" si="14"/>
        <v>1299.74</v>
      </c>
      <c r="U93" s="127">
        <f t="shared" si="15"/>
        <v>48</v>
      </c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954"/>
      <c r="E94" s="858"/>
      <c r="F94" s="846">
        <f t="shared" si="6"/>
        <v>0</v>
      </c>
      <c r="G94" s="848"/>
      <c r="H94" s="849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6"/>
      <c r="Q94" s="69">
        <f t="shared" si="13"/>
        <v>0</v>
      </c>
      <c r="R94" s="70"/>
      <c r="S94" s="71"/>
      <c r="T94" s="208">
        <f t="shared" si="14"/>
        <v>1299.74</v>
      </c>
      <c r="U94" s="127">
        <f t="shared" si="15"/>
        <v>48</v>
      </c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954"/>
      <c r="E95" s="858"/>
      <c r="F95" s="846">
        <f t="shared" si="6"/>
        <v>0</v>
      </c>
      <c r="G95" s="848"/>
      <c r="H95" s="849"/>
      <c r="I95" s="208">
        <f t="shared" si="19"/>
        <v>116.67000000000121</v>
      </c>
      <c r="J95" s="127">
        <f t="shared" si="20"/>
        <v>9</v>
      </c>
      <c r="L95" s="2"/>
      <c r="M95" s="83"/>
      <c r="N95" s="15"/>
      <c r="O95" s="151"/>
      <c r="P95" s="246"/>
      <c r="Q95" s="69">
        <f t="shared" si="13"/>
        <v>0</v>
      </c>
      <c r="R95" s="70"/>
      <c r="S95" s="71"/>
      <c r="T95" s="208">
        <f t="shared" si="14"/>
        <v>1299.74</v>
      </c>
      <c r="U95" s="127">
        <f t="shared" si="15"/>
        <v>48</v>
      </c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954"/>
      <c r="E96" s="858"/>
      <c r="F96" s="846">
        <f t="shared" si="6"/>
        <v>0</v>
      </c>
      <c r="G96" s="848"/>
      <c r="H96" s="849"/>
      <c r="I96" s="208">
        <f t="shared" si="19"/>
        <v>116.67000000000121</v>
      </c>
      <c r="J96" s="127">
        <f t="shared" si="20"/>
        <v>9</v>
      </c>
      <c r="L96" s="2"/>
      <c r="M96" s="83"/>
      <c r="N96" s="15"/>
      <c r="O96" s="151"/>
      <c r="P96" s="246"/>
      <c r="Q96" s="69">
        <f t="shared" si="13"/>
        <v>0</v>
      </c>
      <c r="R96" s="70"/>
      <c r="S96" s="71"/>
      <c r="T96" s="208">
        <f t="shared" si="14"/>
        <v>1299.74</v>
      </c>
      <c r="U96" s="127">
        <f t="shared" si="15"/>
        <v>48</v>
      </c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954"/>
      <c r="E97" s="858"/>
      <c r="F97" s="846">
        <f t="shared" si="6"/>
        <v>0</v>
      </c>
      <c r="G97" s="848"/>
      <c r="H97" s="849"/>
      <c r="I97" s="208">
        <f t="shared" si="19"/>
        <v>116.67000000000121</v>
      </c>
      <c r="J97" s="127">
        <f t="shared" si="20"/>
        <v>9</v>
      </c>
      <c r="L97" s="2"/>
      <c r="M97" s="83"/>
      <c r="N97" s="15"/>
      <c r="O97" s="151"/>
      <c r="P97" s="246"/>
      <c r="Q97" s="69">
        <f t="shared" si="13"/>
        <v>0</v>
      </c>
      <c r="R97" s="70"/>
      <c r="S97" s="71"/>
      <c r="T97" s="208">
        <f t="shared" si="14"/>
        <v>1299.74</v>
      </c>
      <c r="U97" s="127">
        <f t="shared" si="15"/>
        <v>48</v>
      </c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954"/>
      <c r="E98" s="858"/>
      <c r="F98" s="846">
        <f t="shared" si="6"/>
        <v>0</v>
      </c>
      <c r="G98" s="848"/>
      <c r="H98" s="849"/>
      <c r="I98" s="208">
        <f t="shared" si="19"/>
        <v>116.67000000000121</v>
      </c>
      <c r="J98" s="127">
        <f t="shared" si="20"/>
        <v>9</v>
      </c>
      <c r="L98" s="2"/>
      <c r="M98" s="83"/>
      <c r="N98" s="15"/>
      <c r="O98" s="151"/>
      <c r="P98" s="246"/>
      <c r="Q98" s="69">
        <f t="shared" si="13"/>
        <v>0</v>
      </c>
      <c r="R98" s="70"/>
      <c r="S98" s="71"/>
      <c r="T98" s="208">
        <f t="shared" si="14"/>
        <v>1299.74</v>
      </c>
      <c r="U98" s="127">
        <f t="shared" si="15"/>
        <v>48</v>
      </c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954"/>
      <c r="E99" s="858"/>
      <c r="F99" s="846">
        <f t="shared" si="6"/>
        <v>0</v>
      </c>
      <c r="G99" s="848"/>
      <c r="H99" s="849"/>
      <c r="I99" s="208">
        <f t="shared" si="19"/>
        <v>116.67000000000121</v>
      </c>
      <c r="J99" s="127">
        <f t="shared" si="20"/>
        <v>9</v>
      </c>
      <c r="L99" s="2"/>
      <c r="M99" s="83"/>
      <c r="N99" s="15"/>
      <c r="O99" s="151"/>
      <c r="P99" s="246"/>
      <c r="Q99" s="69">
        <f t="shared" si="13"/>
        <v>0</v>
      </c>
      <c r="R99" s="70"/>
      <c r="S99" s="71"/>
      <c r="T99" s="208">
        <f t="shared" si="14"/>
        <v>1299.74</v>
      </c>
      <c r="U99" s="127">
        <f t="shared" si="15"/>
        <v>48</v>
      </c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954"/>
      <c r="E100" s="858"/>
      <c r="F100" s="846">
        <f t="shared" si="6"/>
        <v>0</v>
      </c>
      <c r="G100" s="848"/>
      <c r="H100" s="849"/>
      <c r="I100" s="208">
        <f t="shared" si="19"/>
        <v>116.67000000000121</v>
      </c>
      <c r="J100" s="127">
        <f t="shared" si="20"/>
        <v>9</v>
      </c>
      <c r="L100" s="2"/>
      <c r="M100" s="83"/>
      <c r="N100" s="15"/>
      <c r="O100" s="151"/>
      <c r="P100" s="246"/>
      <c r="Q100" s="69">
        <f t="shared" si="13"/>
        <v>0</v>
      </c>
      <c r="R100" s="70"/>
      <c r="S100" s="71"/>
      <c r="T100" s="208">
        <f t="shared" si="14"/>
        <v>1299.74</v>
      </c>
      <c r="U100" s="127">
        <f t="shared" si="15"/>
        <v>48</v>
      </c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65">
        <v>0</v>
      </c>
      <c r="E101" s="966"/>
      <c r="F101" s="960">
        <f t="shared" si="6"/>
        <v>0</v>
      </c>
      <c r="G101" s="961"/>
      <c r="H101" s="967"/>
      <c r="I101" s="968">
        <f t="shared" si="19"/>
        <v>116.67000000000121</v>
      </c>
      <c r="J101" s="969">
        <f t="shared" si="20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36" t="s">
        <v>11</v>
      </c>
      <c r="D105" s="1237"/>
      <c r="E105" s="145">
        <f>E5+E4+E6+-F102+E7</f>
        <v>116.6700000000008</v>
      </c>
      <c r="F105" s="5"/>
      <c r="L105" s="47"/>
      <c r="N105" s="1236" t="s">
        <v>11</v>
      </c>
      <c r="O105" s="1237"/>
      <c r="P105" s="145">
        <f>P5+P4+P6+-Q102+P7</f>
        <v>1299.74</v>
      </c>
      <c r="Q105" s="5"/>
      <c r="W105" s="47"/>
      <c r="Y105" s="1236" t="s">
        <v>11</v>
      </c>
      <c r="Z105" s="1237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3"/>
      <c r="F4" s="240"/>
    </row>
    <row r="5" spans="1:10" ht="16.5" thickBot="1" x14ac:dyDescent="0.3">
      <c r="A5" s="1263"/>
      <c r="B5" s="1265" t="s">
        <v>78</v>
      </c>
      <c r="C5" s="551"/>
      <c r="D5" s="556"/>
      <c r="E5" s="494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64"/>
      <c r="B6" s="1266"/>
      <c r="C6" s="225"/>
      <c r="D6" s="118"/>
      <c r="E6" s="493"/>
      <c r="F6" s="240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6" t="s">
        <v>11</v>
      </c>
      <c r="D100" s="123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3"/>
      <c r="B1" s="1203"/>
      <c r="C1" s="1203"/>
      <c r="D1" s="1203"/>
      <c r="E1" s="1203"/>
      <c r="F1" s="1203"/>
      <c r="G1" s="120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2"/>
      <c r="B5" s="1269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3"/>
      <c r="B6" s="1270"/>
      <c r="C6" s="225"/>
      <c r="D6" s="118"/>
      <c r="E6" s="144"/>
      <c r="F6" s="241"/>
      <c r="I6" s="1267" t="s">
        <v>3</v>
      </c>
      <c r="J6" s="12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8"/>
      <c r="J7" s="1262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6" t="s">
        <v>11</v>
      </c>
      <c r="D33" s="123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7" workbookViewId="0">
      <selection activeCell="D24" sqref="D24:H3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52" t="s">
        <v>332</v>
      </c>
      <c r="B1" s="1252"/>
      <c r="C1" s="1252"/>
      <c r="D1" s="1252"/>
      <c r="E1" s="1252"/>
      <c r="F1" s="1252"/>
      <c r="G1" s="1252"/>
      <c r="H1" s="1252"/>
      <c r="I1" s="1252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6"/>
      <c r="D4" s="336"/>
      <c r="E4" s="255"/>
      <c r="F4" s="241"/>
      <c r="G4" s="73"/>
    </row>
    <row r="5" spans="1:10" ht="15" customHeight="1" x14ac:dyDescent="0.25">
      <c r="A5" s="580"/>
      <c r="B5" s="1271" t="s">
        <v>146</v>
      </c>
      <c r="C5" s="236">
        <v>86</v>
      </c>
      <c r="D5" s="336">
        <v>44841</v>
      </c>
      <c r="E5" s="255">
        <v>2000</v>
      </c>
      <c r="F5" s="241">
        <v>200</v>
      </c>
      <c r="G5" s="147">
        <f>F39</f>
        <v>0</v>
      </c>
      <c r="H5" s="58">
        <f>E4+E5+E6-G5</f>
        <v>2000</v>
      </c>
    </row>
    <row r="6" spans="1:10" ht="16.5" customHeight="1" x14ac:dyDescent="0.25">
      <c r="A6" s="580" t="s">
        <v>177</v>
      </c>
      <c r="B6" s="1272"/>
      <c r="C6" s="236"/>
      <c r="D6" s="336"/>
      <c r="E6" s="255"/>
      <c r="F6" s="241"/>
      <c r="G6" s="73"/>
    </row>
    <row r="7" spans="1:10" ht="15.75" customHeight="1" thickBot="1" x14ac:dyDescent="0.35">
      <c r="A7" s="580"/>
      <c r="B7" s="1272"/>
      <c r="C7" s="236"/>
      <c r="D7" s="336"/>
      <c r="E7" s="255"/>
      <c r="F7" s="241"/>
      <c r="G7" s="73"/>
      <c r="I7" s="372"/>
      <c r="J7" s="372"/>
    </row>
    <row r="8" spans="1:10" ht="16.5" customHeight="1" thickTop="1" thickBot="1" x14ac:dyDescent="0.3">
      <c r="B8" s="413"/>
      <c r="C8" s="236"/>
      <c r="D8" s="118"/>
      <c r="E8" s="334"/>
      <c r="F8" s="335"/>
      <c r="G8" s="73"/>
      <c r="I8" s="1245" t="s">
        <v>47</v>
      </c>
      <c r="J8" s="125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46"/>
      <c r="J9" s="126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5">
        <v>44868</v>
      </c>
      <c r="F10" s="69">
        <f t="shared" ref="F10:F39" si="0">D10</f>
        <v>50</v>
      </c>
      <c r="G10" s="70" t="s">
        <v>240</v>
      </c>
      <c r="H10" s="71">
        <v>93</v>
      </c>
      <c r="I10" s="844">
        <f>E4+E5+E6-F10+E7+E8</f>
        <v>1950</v>
      </c>
      <c r="J10" s="845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6">
        <v>44870</v>
      </c>
      <c r="F11" s="69">
        <f t="shared" si="0"/>
        <v>10</v>
      </c>
      <c r="G11" s="70" t="s">
        <v>243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36" si="1">B12*C12</f>
        <v>10</v>
      </c>
      <c r="E12" s="245">
        <v>44870</v>
      </c>
      <c r="F12" s="69">
        <f t="shared" si="0"/>
        <v>10</v>
      </c>
      <c r="G12" s="70" t="s">
        <v>246</v>
      </c>
      <c r="H12" s="71">
        <v>93</v>
      </c>
      <c r="I12" s="208">
        <f t="shared" ref="I12:I37" si="2">I11-F12</f>
        <v>1930</v>
      </c>
      <c r="J12" s="127">
        <f t="shared" ref="J12:J37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3">
        <v>44872</v>
      </c>
      <c r="F13" s="69">
        <f t="shared" si="0"/>
        <v>10</v>
      </c>
      <c r="G13" s="70" t="s">
        <v>247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3">
        <v>44872</v>
      </c>
      <c r="F14" s="69">
        <f t="shared" si="0"/>
        <v>10</v>
      </c>
      <c r="G14" s="70" t="s">
        <v>249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3">
        <v>44875</v>
      </c>
      <c r="F15" s="69">
        <f t="shared" si="0"/>
        <v>10</v>
      </c>
      <c r="G15" s="70" t="s">
        <v>257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5">
        <v>44875</v>
      </c>
      <c r="F16" s="69">
        <f t="shared" si="0"/>
        <v>100</v>
      </c>
      <c r="G16" s="70" t="s">
        <v>261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3">
        <v>44877</v>
      </c>
      <c r="F17" s="69">
        <f t="shared" si="0"/>
        <v>20</v>
      </c>
      <c r="G17" s="70" t="s">
        <v>265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3">
        <v>44882</v>
      </c>
      <c r="F18" s="69">
        <f t="shared" si="0"/>
        <v>10</v>
      </c>
      <c r="G18" s="407" t="s">
        <v>283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3">
        <v>44883</v>
      </c>
      <c r="F19" s="69">
        <f t="shared" si="0"/>
        <v>10</v>
      </c>
      <c r="G19" s="70" t="s">
        <v>284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5">
        <v>44884</v>
      </c>
      <c r="F20" s="69">
        <f t="shared" si="0"/>
        <v>100</v>
      </c>
      <c r="G20" s="70" t="s">
        <v>291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5">
        <v>44887</v>
      </c>
      <c r="F21" s="69">
        <f t="shared" si="0"/>
        <v>20</v>
      </c>
      <c r="G21" s="70" t="s">
        <v>293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6">
        <v>44890</v>
      </c>
      <c r="F22" s="69">
        <f t="shared" si="0"/>
        <v>80</v>
      </c>
      <c r="G22" s="70" t="s">
        <v>305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6">
        <v>44891</v>
      </c>
      <c r="F23" s="69">
        <f t="shared" si="0"/>
        <v>10</v>
      </c>
      <c r="G23" s="70" t="s">
        <v>312</v>
      </c>
      <c r="H23" s="71">
        <v>93</v>
      </c>
      <c r="I23" s="844">
        <f t="shared" si="2"/>
        <v>1550</v>
      </c>
      <c r="J23" s="845">
        <f t="shared" si="3"/>
        <v>155</v>
      </c>
    </row>
    <row r="24" spans="1:10" x14ac:dyDescent="0.25">
      <c r="A24" s="2"/>
      <c r="B24" s="83">
        <v>10</v>
      </c>
      <c r="C24" s="15"/>
      <c r="D24" s="753">
        <f t="shared" si="1"/>
        <v>0</v>
      </c>
      <c r="E24" s="574"/>
      <c r="F24" s="538">
        <f t="shared" si="0"/>
        <v>0</v>
      </c>
      <c r="G24" s="330"/>
      <c r="H24" s="331"/>
      <c r="I24" s="208">
        <f t="shared" si="2"/>
        <v>1550</v>
      </c>
      <c r="J24" s="127">
        <f t="shared" si="3"/>
        <v>155</v>
      </c>
    </row>
    <row r="25" spans="1:10" x14ac:dyDescent="0.25">
      <c r="A25" s="2"/>
      <c r="B25" s="83">
        <v>10</v>
      </c>
      <c r="C25" s="15"/>
      <c r="D25" s="753">
        <f t="shared" si="1"/>
        <v>0</v>
      </c>
      <c r="E25" s="574"/>
      <c r="F25" s="538">
        <f t="shared" si="0"/>
        <v>0</v>
      </c>
      <c r="G25" s="330"/>
      <c r="H25" s="331"/>
      <c r="I25" s="208">
        <f t="shared" si="2"/>
        <v>1550</v>
      </c>
      <c r="J25" s="127">
        <f t="shared" si="3"/>
        <v>155</v>
      </c>
    </row>
    <row r="26" spans="1:10" x14ac:dyDescent="0.25">
      <c r="A26" s="2"/>
      <c r="B26" s="83">
        <v>10</v>
      </c>
      <c r="C26" s="15"/>
      <c r="D26" s="753">
        <f t="shared" si="1"/>
        <v>0</v>
      </c>
      <c r="E26" s="574"/>
      <c r="F26" s="538">
        <f t="shared" si="0"/>
        <v>0</v>
      </c>
      <c r="G26" s="330"/>
      <c r="H26" s="331"/>
      <c r="I26" s="208">
        <f t="shared" si="2"/>
        <v>1550</v>
      </c>
      <c r="J26" s="127">
        <f t="shared" si="3"/>
        <v>155</v>
      </c>
    </row>
    <row r="27" spans="1:10" x14ac:dyDescent="0.25">
      <c r="A27" s="2"/>
      <c r="B27" s="83">
        <v>10</v>
      </c>
      <c r="C27" s="15"/>
      <c r="D27" s="753">
        <f t="shared" si="1"/>
        <v>0</v>
      </c>
      <c r="E27" s="574"/>
      <c r="F27" s="538">
        <f t="shared" si="0"/>
        <v>0</v>
      </c>
      <c r="G27" s="330"/>
      <c r="H27" s="331"/>
      <c r="I27" s="208">
        <f t="shared" si="2"/>
        <v>1550</v>
      </c>
      <c r="J27" s="127">
        <f t="shared" si="3"/>
        <v>155</v>
      </c>
    </row>
    <row r="28" spans="1:10" x14ac:dyDescent="0.25">
      <c r="A28" s="2"/>
      <c r="B28" s="83">
        <v>10</v>
      </c>
      <c r="C28" s="15"/>
      <c r="D28" s="753">
        <f t="shared" si="1"/>
        <v>0</v>
      </c>
      <c r="E28" s="574"/>
      <c r="F28" s="538">
        <f t="shared" si="0"/>
        <v>0</v>
      </c>
      <c r="G28" s="330"/>
      <c r="H28" s="331"/>
      <c r="I28" s="208">
        <f t="shared" si="2"/>
        <v>1550</v>
      </c>
      <c r="J28" s="127">
        <f t="shared" si="3"/>
        <v>155</v>
      </c>
    </row>
    <row r="29" spans="1:10" x14ac:dyDescent="0.25">
      <c r="A29" s="2"/>
      <c r="B29" s="83">
        <v>10</v>
      </c>
      <c r="C29" s="15"/>
      <c r="D29" s="753">
        <f t="shared" si="1"/>
        <v>0</v>
      </c>
      <c r="E29" s="574"/>
      <c r="F29" s="538">
        <f t="shared" si="0"/>
        <v>0</v>
      </c>
      <c r="G29" s="330"/>
      <c r="H29" s="331"/>
      <c r="I29" s="208">
        <f t="shared" si="2"/>
        <v>1550</v>
      </c>
      <c r="J29" s="127">
        <f t="shared" si="3"/>
        <v>155</v>
      </c>
    </row>
    <row r="30" spans="1:10" x14ac:dyDescent="0.25">
      <c r="A30" s="2"/>
      <c r="B30" s="83">
        <v>10</v>
      </c>
      <c r="C30" s="15"/>
      <c r="D30" s="753">
        <f t="shared" si="1"/>
        <v>0</v>
      </c>
      <c r="E30" s="574"/>
      <c r="F30" s="538">
        <f t="shared" si="0"/>
        <v>0</v>
      </c>
      <c r="G30" s="330"/>
      <c r="H30" s="331"/>
      <c r="I30" s="208">
        <f t="shared" si="2"/>
        <v>1550</v>
      </c>
      <c r="J30" s="127">
        <f t="shared" si="3"/>
        <v>155</v>
      </c>
    </row>
    <row r="31" spans="1:10" x14ac:dyDescent="0.25">
      <c r="A31" s="2"/>
      <c r="B31" s="83">
        <v>10</v>
      </c>
      <c r="C31" s="15"/>
      <c r="D31" s="753">
        <f t="shared" si="1"/>
        <v>0</v>
      </c>
      <c r="E31" s="574"/>
      <c r="F31" s="538">
        <f t="shared" si="0"/>
        <v>0</v>
      </c>
      <c r="G31" s="330"/>
      <c r="H31" s="331"/>
      <c r="I31" s="208">
        <f t="shared" si="2"/>
        <v>1550</v>
      </c>
      <c r="J31" s="127">
        <f t="shared" si="3"/>
        <v>155</v>
      </c>
    </row>
    <row r="32" spans="1:10" x14ac:dyDescent="0.25">
      <c r="A32" s="2"/>
      <c r="B32" s="83">
        <v>10</v>
      </c>
      <c r="C32" s="15"/>
      <c r="D32" s="753">
        <f t="shared" si="1"/>
        <v>0</v>
      </c>
      <c r="E32" s="574"/>
      <c r="F32" s="538">
        <f t="shared" si="0"/>
        <v>0</v>
      </c>
      <c r="G32" s="330"/>
      <c r="H32" s="331"/>
      <c r="I32" s="208">
        <f t="shared" si="2"/>
        <v>1550</v>
      </c>
      <c r="J32" s="127">
        <f t="shared" si="3"/>
        <v>155</v>
      </c>
    </row>
    <row r="33" spans="1:10" x14ac:dyDescent="0.25">
      <c r="A33" s="2"/>
      <c r="B33" s="83">
        <v>10</v>
      </c>
      <c r="C33" s="15"/>
      <c r="D33" s="753">
        <f t="shared" si="1"/>
        <v>0</v>
      </c>
      <c r="E33" s="574"/>
      <c r="F33" s="538">
        <f t="shared" si="0"/>
        <v>0</v>
      </c>
      <c r="G33" s="330"/>
      <c r="H33" s="331"/>
      <c r="I33" s="208">
        <f t="shared" si="2"/>
        <v>1550</v>
      </c>
      <c r="J33" s="127">
        <f t="shared" si="3"/>
        <v>155</v>
      </c>
    </row>
    <row r="34" spans="1:10" x14ac:dyDescent="0.25">
      <c r="A34" s="2"/>
      <c r="B34" s="83">
        <v>10</v>
      </c>
      <c r="C34" s="15"/>
      <c r="D34" s="753">
        <f t="shared" si="1"/>
        <v>0</v>
      </c>
      <c r="E34" s="574"/>
      <c r="F34" s="538">
        <f t="shared" si="0"/>
        <v>0</v>
      </c>
      <c r="G34" s="330"/>
      <c r="H34" s="331"/>
      <c r="I34" s="208">
        <f t="shared" si="2"/>
        <v>1550</v>
      </c>
      <c r="J34" s="127">
        <f t="shared" si="3"/>
        <v>155</v>
      </c>
    </row>
    <row r="35" spans="1:10" x14ac:dyDescent="0.25">
      <c r="A35" s="2"/>
      <c r="B35" s="83">
        <v>10</v>
      </c>
      <c r="C35" s="15"/>
      <c r="D35" s="753">
        <f t="shared" si="1"/>
        <v>0</v>
      </c>
      <c r="E35" s="574"/>
      <c r="F35" s="538">
        <f t="shared" si="0"/>
        <v>0</v>
      </c>
      <c r="G35" s="330"/>
      <c r="H35" s="331"/>
      <c r="I35" s="208">
        <f t="shared" si="2"/>
        <v>1550</v>
      </c>
      <c r="J35" s="127">
        <f t="shared" si="3"/>
        <v>155</v>
      </c>
    </row>
    <row r="36" spans="1:10" x14ac:dyDescent="0.25">
      <c r="A36" s="2"/>
      <c r="B36" s="83">
        <v>10</v>
      </c>
      <c r="C36" s="15"/>
      <c r="D36" s="753">
        <f t="shared" si="1"/>
        <v>0</v>
      </c>
      <c r="E36" s="574"/>
      <c r="F36" s="538">
        <f t="shared" si="0"/>
        <v>0</v>
      </c>
      <c r="G36" s="330"/>
      <c r="H36" s="331"/>
      <c r="I36" s="208">
        <f t="shared" si="2"/>
        <v>1550</v>
      </c>
      <c r="J36" s="127">
        <f t="shared" si="3"/>
        <v>155</v>
      </c>
    </row>
    <row r="37" spans="1:10" ht="14.25" customHeight="1" x14ac:dyDescent="0.25">
      <c r="A37" s="2"/>
      <c r="B37" s="83">
        <v>10</v>
      </c>
      <c r="C37" s="15"/>
      <c r="D37" s="753"/>
      <c r="E37" s="574"/>
      <c r="F37" s="538">
        <f t="shared" si="0"/>
        <v>0</v>
      </c>
      <c r="G37" s="330"/>
      <c r="H37" s="331"/>
      <c r="I37" s="208">
        <f t="shared" si="2"/>
        <v>1550</v>
      </c>
      <c r="J37" s="127">
        <f t="shared" si="3"/>
        <v>155</v>
      </c>
    </row>
    <row r="38" spans="1:10" ht="15.75" thickBot="1" x14ac:dyDescent="0.3">
      <c r="A38" s="4"/>
      <c r="B38" s="83">
        <v>10</v>
      </c>
      <c r="C38" s="37"/>
      <c r="D38" s="1023">
        <v>0</v>
      </c>
      <c r="E38" s="1024"/>
      <c r="F38" s="538">
        <f t="shared" si="0"/>
        <v>0</v>
      </c>
      <c r="G38" s="1013"/>
      <c r="H38" s="331"/>
    </row>
    <row r="39" spans="1:10" ht="16.5" thickTop="1" thickBot="1" x14ac:dyDescent="0.3">
      <c r="B39" s="83"/>
      <c r="C39" s="90">
        <f>SUM(C10:C38)</f>
        <v>45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B40" s="83"/>
      <c r="D40" s="151">
        <v>0</v>
      </c>
      <c r="E40" s="68">
        <f>F4+F5+F6-+C39</f>
        <v>155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36" t="s">
        <v>11</v>
      </c>
      <c r="D42" s="1237"/>
      <c r="E42" s="145">
        <f>E5+E4+E6+-F39</f>
        <v>2000</v>
      </c>
      <c r="F42" s="5"/>
    </row>
  </sheetData>
  <mergeCells count="5"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H1" workbookViewId="0">
      <selection activeCell="R5" sqref="R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73" t="s">
        <v>327</v>
      </c>
      <c r="B1" s="1273"/>
      <c r="C1" s="1273"/>
      <c r="D1" s="1273"/>
      <c r="E1" s="1273"/>
      <c r="F1" s="1273"/>
      <c r="G1" s="1273"/>
      <c r="H1" s="269">
        <v>1</v>
      </c>
      <c r="I1" s="395"/>
      <c r="L1" s="1188" t="s">
        <v>340</v>
      </c>
      <c r="M1" s="1188"/>
      <c r="N1" s="1188"/>
      <c r="O1" s="1188"/>
      <c r="P1" s="1188"/>
      <c r="Q1" s="1188"/>
      <c r="R1" s="1188"/>
      <c r="S1" s="269">
        <v>2</v>
      </c>
      <c r="T1" s="39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4"/>
      <c r="L2" s="75"/>
      <c r="M2" s="75"/>
      <c r="N2" s="75"/>
      <c r="O2" s="75"/>
      <c r="P2" s="75"/>
      <c r="Q2" s="75"/>
      <c r="R2" s="75"/>
      <c r="S2" s="75"/>
      <c r="T2" s="39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9" t="s">
        <v>20</v>
      </c>
      <c r="S3" s="278" t="s">
        <v>6</v>
      </c>
      <c r="T3" s="396"/>
    </row>
    <row r="4" spans="1:21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  <c r="L4" s="75"/>
      <c r="M4" s="75"/>
      <c r="N4" s="392"/>
      <c r="O4" s="134"/>
      <c r="P4" s="86"/>
      <c r="Q4" s="73"/>
      <c r="R4" s="1079"/>
      <c r="S4" s="148"/>
      <c r="T4" s="400"/>
    </row>
    <row r="5" spans="1:21" ht="15" customHeight="1" x14ac:dyDescent="0.25">
      <c r="A5" s="1211" t="s">
        <v>226</v>
      </c>
      <c r="B5" s="1215" t="s">
        <v>77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  <c r="L5" s="1211" t="s">
        <v>226</v>
      </c>
      <c r="M5" s="1215" t="s">
        <v>77</v>
      </c>
      <c r="N5" s="244">
        <v>90</v>
      </c>
      <c r="O5" s="134">
        <v>44900</v>
      </c>
      <c r="P5" s="75">
        <v>1109.3900000000001</v>
      </c>
      <c r="Q5" s="73">
        <v>40</v>
      </c>
      <c r="R5" s="48">
        <f>Q73</f>
        <v>0</v>
      </c>
      <c r="S5" s="138">
        <f>P5-R5</f>
        <v>1109.3900000000001</v>
      </c>
      <c r="T5" s="397"/>
    </row>
    <row r="6" spans="1:21" ht="15.75" thickBot="1" x14ac:dyDescent="0.3">
      <c r="A6" s="1211"/>
      <c r="B6" s="1274"/>
      <c r="C6" s="394"/>
      <c r="D6" s="134"/>
      <c r="E6" s="75"/>
      <c r="F6" s="73"/>
      <c r="G6" s="73"/>
      <c r="H6" s="75"/>
      <c r="I6" s="244"/>
      <c r="L6" s="1211"/>
      <c r="M6" s="1274"/>
      <c r="N6" s="394"/>
      <c r="O6" s="134"/>
      <c r="P6" s="75"/>
      <c r="Q6" s="73"/>
      <c r="R6" s="73"/>
      <c r="S6" s="75"/>
      <c r="T6" s="244"/>
    </row>
    <row r="7" spans="1:21" ht="14.25" customHeight="1" thickBot="1" x14ac:dyDescent="0.3">
      <c r="A7" s="226"/>
      <c r="B7" s="470"/>
      <c r="C7" s="394"/>
      <c r="D7" s="134"/>
      <c r="E7" s="75"/>
      <c r="F7" s="73"/>
      <c r="G7" s="73"/>
      <c r="H7" s="75"/>
      <c r="I7" s="244"/>
      <c r="L7" s="226"/>
      <c r="M7" s="470"/>
      <c r="N7" s="394"/>
      <c r="O7" s="134"/>
      <c r="P7" s="75"/>
      <c r="Q7" s="73"/>
      <c r="R7" s="73"/>
      <c r="S7" s="75"/>
      <c r="T7" s="244"/>
    </row>
    <row r="8" spans="1:21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  <c r="L8" s="75"/>
      <c r="M8" s="286" t="s">
        <v>7</v>
      </c>
      <c r="N8" s="282" t="s">
        <v>8</v>
      </c>
      <c r="O8" s="283" t="s">
        <v>17</v>
      </c>
      <c r="P8" s="284" t="s">
        <v>2</v>
      </c>
      <c r="Q8" s="277" t="s">
        <v>18</v>
      </c>
      <c r="R8" s="285" t="s">
        <v>15</v>
      </c>
      <c r="S8" s="280"/>
      <c r="T8" s="398"/>
    </row>
    <row r="9" spans="1:21" ht="15.75" thickTop="1" x14ac:dyDescent="0.25">
      <c r="A9" s="61"/>
      <c r="B9" s="834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  <c r="L9" s="61"/>
      <c r="M9" s="834">
        <f>Q4+Q5+Q6-N9+Q7</f>
        <v>40</v>
      </c>
      <c r="N9" s="15"/>
      <c r="O9" s="69"/>
      <c r="P9" s="253"/>
      <c r="Q9" s="92">
        <f t="shared" ref="Q9:Q37" si="1">O9</f>
        <v>0</v>
      </c>
      <c r="R9" s="70"/>
      <c r="S9" s="71"/>
      <c r="T9" s="394">
        <f>P4+P5+P6-Q9+P7</f>
        <v>1109.3900000000001</v>
      </c>
      <c r="U9" s="60">
        <f>S9*Q9</f>
        <v>0</v>
      </c>
    </row>
    <row r="10" spans="1:21" x14ac:dyDescent="0.25">
      <c r="A10" s="75"/>
      <c r="B10" s="182">
        <f>B9-C10</f>
        <v>36</v>
      </c>
      <c r="C10" s="15"/>
      <c r="D10" s="69"/>
      <c r="E10" s="865"/>
      <c r="F10" s="702">
        <f t="shared" si="0"/>
        <v>0</v>
      </c>
      <c r="G10" s="703"/>
      <c r="H10" s="704"/>
      <c r="I10" s="244">
        <f>I9-F10</f>
        <v>1008.76</v>
      </c>
      <c r="J10" s="60">
        <f t="shared" ref="J10:J37" si="2">H10*F10</f>
        <v>0</v>
      </c>
      <c r="L10" s="75"/>
      <c r="M10" s="182">
        <f>M9-N10</f>
        <v>40</v>
      </c>
      <c r="N10" s="15"/>
      <c r="O10" s="69"/>
      <c r="P10" s="865"/>
      <c r="Q10" s="702">
        <f t="shared" si="1"/>
        <v>0</v>
      </c>
      <c r="R10" s="703"/>
      <c r="S10" s="704"/>
      <c r="T10" s="244">
        <f>T9-Q10</f>
        <v>1109.3900000000001</v>
      </c>
      <c r="U10" s="60">
        <f t="shared" ref="U10:U37" si="3">S10*Q10</f>
        <v>0</v>
      </c>
    </row>
    <row r="11" spans="1:21" x14ac:dyDescent="0.25">
      <c r="A11" s="75"/>
      <c r="B11" s="182">
        <f t="shared" ref="B11:B36" si="4">B10-C11</f>
        <v>36</v>
      </c>
      <c r="C11" s="15"/>
      <c r="D11" s="69"/>
      <c r="E11" s="866"/>
      <c r="F11" s="702">
        <f t="shared" si="0"/>
        <v>0</v>
      </c>
      <c r="G11" s="703"/>
      <c r="H11" s="704"/>
      <c r="I11" s="244">
        <f t="shared" ref="I11:I37" si="5">I10-F11</f>
        <v>1008.76</v>
      </c>
      <c r="J11" s="60">
        <f t="shared" si="2"/>
        <v>0</v>
      </c>
      <c r="L11" s="75"/>
      <c r="M11" s="182">
        <f t="shared" ref="M11:M36" si="6">M10-N11</f>
        <v>40</v>
      </c>
      <c r="N11" s="15"/>
      <c r="O11" s="69"/>
      <c r="P11" s="866"/>
      <c r="Q11" s="702">
        <f t="shared" si="1"/>
        <v>0</v>
      </c>
      <c r="R11" s="703"/>
      <c r="S11" s="704"/>
      <c r="T11" s="244">
        <f t="shared" ref="T11:T37" si="7">T10-Q11</f>
        <v>1109.3900000000001</v>
      </c>
      <c r="U11" s="60">
        <f t="shared" si="3"/>
        <v>0</v>
      </c>
    </row>
    <row r="12" spans="1:21" x14ac:dyDescent="0.25">
      <c r="A12" s="61"/>
      <c r="B12" s="182">
        <f t="shared" si="4"/>
        <v>36</v>
      </c>
      <c r="C12" s="15"/>
      <c r="D12" s="69"/>
      <c r="E12" s="866"/>
      <c r="F12" s="702">
        <f t="shared" si="0"/>
        <v>0</v>
      </c>
      <c r="G12" s="703"/>
      <c r="H12" s="704"/>
      <c r="I12" s="244">
        <f t="shared" si="5"/>
        <v>1008.76</v>
      </c>
      <c r="J12" s="60">
        <f t="shared" si="2"/>
        <v>0</v>
      </c>
      <c r="L12" s="61"/>
      <c r="M12" s="182">
        <f t="shared" si="6"/>
        <v>40</v>
      </c>
      <c r="N12" s="15"/>
      <c r="O12" s="69"/>
      <c r="P12" s="866"/>
      <c r="Q12" s="702">
        <f t="shared" si="1"/>
        <v>0</v>
      </c>
      <c r="R12" s="703"/>
      <c r="S12" s="704"/>
      <c r="T12" s="244">
        <f t="shared" si="7"/>
        <v>1109.3900000000001</v>
      </c>
      <c r="U12" s="60">
        <f t="shared" si="3"/>
        <v>0</v>
      </c>
    </row>
    <row r="13" spans="1:21" x14ac:dyDescent="0.25">
      <c r="A13" s="75"/>
      <c r="B13" s="182">
        <f t="shared" si="4"/>
        <v>36</v>
      </c>
      <c r="C13" s="15"/>
      <c r="D13" s="69"/>
      <c r="E13" s="866"/>
      <c r="F13" s="702">
        <f t="shared" si="0"/>
        <v>0</v>
      </c>
      <c r="G13" s="703"/>
      <c r="H13" s="704"/>
      <c r="I13" s="244">
        <f t="shared" si="5"/>
        <v>1008.76</v>
      </c>
      <c r="J13" s="60">
        <f t="shared" si="2"/>
        <v>0</v>
      </c>
      <c r="L13" s="75"/>
      <c r="M13" s="182">
        <f t="shared" si="6"/>
        <v>40</v>
      </c>
      <c r="N13" s="15"/>
      <c r="O13" s="69"/>
      <c r="P13" s="866"/>
      <c r="Q13" s="702">
        <f t="shared" si="1"/>
        <v>0</v>
      </c>
      <c r="R13" s="703"/>
      <c r="S13" s="704"/>
      <c r="T13" s="244">
        <f t="shared" si="7"/>
        <v>1109.3900000000001</v>
      </c>
      <c r="U13" s="60">
        <f t="shared" si="3"/>
        <v>0</v>
      </c>
    </row>
    <row r="14" spans="1:21" x14ac:dyDescent="0.25">
      <c r="A14" s="75"/>
      <c r="B14" s="182">
        <f t="shared" si="4"/>
        <v>36</v>
      </c>
      <c r="C14" s="15"/>
      <c r="D14" s="69"/>
      <c r="E14" s="866"/>
      <c r="F14" s="702">
        <f t="shared" si="0"/>
        <v>0</v>
      </c>
      <c r="G14" s="703"/>
      <c r="H14" s="704"/>
      <c r="I14" s="244">
        <f t="shared" si="5"/>
        <v>1008.76</v>
      </c>
      <c r="J14" s="60">
        <f t="shared" si="2"/>
        <v>0</v>
      </c>
      <c r="L14" s="75"/>
      <c r="M14" s="182">
        <f t="shared" si="6"/>
        <v>40</v>
      </c>
      <c r="N14" s="15"/>
      <c r="O14" s="69"/>
      <c r="P14" s="866"/>
      <c r="Q14" s="702">
        <f t="shared" si="1"/>
        <v>0</v>
      </c>
      <c r="R14" s="703"/>
      <c r="S14" s="704"/>
      <c r="T14" s="244">
        <f t="shared" si="7"/>
        <v>1109.3900000000001</v>
      </c>
      <c r="U14" s="60">
        <f t="shared" si="3"/>
        <v>0</v>
      </c>
    </row>
    <row r="15" spans="1:21" x14ac:dyDescent="0.25">
      <c r="A15" s="75"/>
      <c r="B15" s="182">
        <f t="shared" si="4"/>
        <v>36</v>
      </c>
      <c r="C15" s="15"/>
      <c r="D15" s="92"/>
      <c r="E15" s="853"/>
      <c r="F15" s="702">
        <f t="shared" si="0"/>
        <v>0</v>
      </c>
      <c r="G15" s="703"/>
      <c r="H15" s="704"/>
      <c r="I15" s="244">
        <f t="shared" si="5"/>
        <v>1008.76</v>
      </c>
      <c r="J15" s="60">
        <f t="shared" si="2"/>
        <v>0</v>
      </c>
      <c r="L15" s="75"/>
      <c r="M15" s="182">
        <f t="shared" si="6"/>
        <v>40</v>
      </c>
      <c r="N15" s="15"/>
      <c r="O15" s="92"/>
      <c r="P15" s="853"/>
      <c r="Q15" s="702">
        <f t="shared" si="1"/>
        <v>0</v>
      </c>
      <c r="R15" s="703"/>
      <c r="S15" s="704"/>
      <c r="T15" s="244">
        <f t="shared" si="7"/>
        <v>1109.3900000000001</v>
      </c>
      <c r="U15" s="60">
        <f t="shared" si="3"/>
        <v>0</v>
      </c>
    </row>
    <row r="16" spans="1:21" x14ac:dyDescent="0.25">
      <c r="A16" s="75"/>
      <c r="B16" s="182">
        <f t="shared" si="4"/>
        <v>36</v>
      </c>
      <c r="C16" s="15"/>
      <c r="D16" s="69"/>
      <c r="E16" s="253"/>
      <c r="F16" s="92">
        <f t="shared" ref="F16:F72" si="8">D16</f>
        <v>0</v>
      </c>
      <c r="G16" s="70"/>
      <c r="H16" s="71"/>
      <c r="I16" s="244">
        <f t="shared" si="5"/>
        <v>1008.76</v>
      </c>
      <c r="J16" s="60">
        <f t="shared" si="2"/>
        <v>0</v>
      </c>
      <c r="L16" s="75"/>
      <c r="M16" s="182">
        <f t="shared" si="6"/>
        <v>40</v>
      </c>
      <c r="N16" s="15"/>
      <c r="O16" s="69"/>
      <c r="P16" s="253"/>
      <c r="Q16" s="92">
        <f t="shared" si="1"/>
        <v>0</v>
      </c>
      <c r="R16" s="70"/>
      <c r="S16" s="71"/>
      <c r="T16" s="244">
        <f t="shared" si="7"/>
        <v>1109.3900000000001</v>
      </c>
      <c r="U16" s="60">
        <f t="shared" si="3"/>
        <v>0</v>
      </c>
    </row>
    <row r="17" spans="1:21" x14ac:dyDescent="0.25">
      <c r="A17" s="75"/>
      <c r="B17" s="182">
        <f t="shared" si="4"/>
        <v>36</v>
      </c>
      <c r="C17" s="15"/>
      <c r="D17" s="69"/>
      <c r="E17" s="253"/>
      <c r="F17" s="92">
        <f t="shared" si="8"/>
        <v>0</v>
      </c>
      <c r="G17" s="70"/>
      <c r="H17" s="71"/>
      <c r="I17" s="244">
        <f t="shared" si="5"/>
        <v>1008.76</v>
      </c>
      <c r="J17" s="60">
        <f t="shared" si="2"/>
        <v>0</v>
      </c>
      <c r="L17" s="75"/>
      <c r="M17" s="182">
        <f t="shared" si="6"/>
        <v>40</v>
      </c>
      <c r="N17" s="15"/>
      <c r="O17" s="69"/>
      <c r="P17" s="253"/>
      <c r="Q17" s="92">
        <f t="shared" si="1"/>
        <v>0</v>
      </c>
      <c r="R17" s="70"/>
      <c r="S17" s="71"/>
      <c r="T17" s="244">
        <f t="shared" si="7"/>
        <v>1109.3900000000001</v>
      </c>
      <c r="U17" s="60">
        <f t="shared" si="3"/>
        <v>0</v>
      </c>
    </row>
    <row r="18" spans="1:21" x14ac:dyDescent="0.25">
      <c r="A18" s="75"/>
      <c r="B18" s="182">
        <f t="shared" si="4"/>
        <v>36</v>
      </c>
      <c r="C18" s="15"/>
      <c r="D18" s="69"/>
      <c r="E18" s="253"/>
      <c r="F18" s="92">
        <f t="shared" si="8"/>
        <v>0</v>
      </c>
      <c r="G18" s="70"/>
      <c r="H18" s="71"/>
      <c r="I18" s="244">
        <f t="shared" si="5"/>
        <v>1008.76</v>
      </c>
      <c r="J18" s="60">
        <f t="shared" si="2"/>
        <v>0</v>
      </c>
      <c r="L18" s="75"/>
      <c r="M18" s="182">
        <f t="shared" si="6"/>
        <v>40</v>
      </c>
      <c r="N18" s="15"/>
      <c r="O18" s="69"/>
      <c r="P18" s="253"/>
      <c r="Q18" s="92">
        <f t="shared" si="1"/>
        <v>0</v>
      </c>
      <c r="R18" s="70"/>
      <c r="S18" s="71"/>
      <c r="T18" s="244">
        <f t="shared" si="7"/>
        <v>1109.3900000000001</v>
      </c>
      <c r="U18" s="60">
        <f t="shared" si="3"/>
        <v>0</v>
      </c>
    </row>
    <row r="19" spans="1:21" x14ac:dyDescent="0.25">
      <c r="A19" s="75"/>
      <c r="B19" s="182">
        <f t="shared" si="4"/>
        <v>36</v>
      </c>
      <c r="C19" s="15"/>
      <c r="D19" s="69"/>
      <c r="E19" s="253"/>
      <c r="F19" s="92">
        <f t="shared" si="8"/>
        <v>0</v>
      </c>
      <c r="G19" s="70"/>
      <c r="H19" s="71"/>
      <c r="I19" s="244">
        <f t="shared" si="5"/>
        <v>1008.76</v>
      </c>
      <c r="J19" s="60">
        <f t="shared" si="2"/>
        <v>0</v>
      </c>
      <c r="L19" s="75"/>
      <c r="M19" s="182">
        <f t="shared" si="6"/>
        <v>40</v>
      </c>
      <c r="N19" s="15"/>
      <c r="O19" s="69"/>
      <c r="P19" s="253"/>
      <c r="Q19" s="92">
        <f t="shared" si="1"/>
        <v>0</v>
      </c>
      <c r="R19" s="70"/>
      <c r="S19" s="71"/>
      <c r="T19" s="244">
        <f t="shared" si="7"/>
        <v>1109.3900000000001</v>
      </c>
      <c r="U19" s="60">
        <f t="shared" si="3"/>
        <v>0</v>
      </c>
    </row>
    <row r="20" spans="1:21" x14ac:dyDescent="0.25">
      <c r="A20" s="75"/>
      <c r="B20" s="182">
        <f t="shared" si="4"/>
        <v>36</v>
      </c>
      <c r="C20" s="15"/>
      <c r="D20" s="69"/>
      <c r="E20" s="253"/>
      <c r="F20" s="92">
        <f t="shared" si="8"/>
        <v>0</v>
      </c>
      <c r="G20" s="70"/>
      <c r="H20" s="71"/>
      <c r="I20" s="244">
        <f t="shared" si="5"/>
        <v>1008.76</v>
      </c>
      <c r="J20" s="60">
        <f t="shared" si="2"/>
        <v>0</v>
      </c>
      <c r="L20" s="75"/>
      <c r="M20" s="182">
        <f t="shared" si="6"/>
        <v>40</v>
      </c>
      <c r="N20" s="15"/>
      <c r="O20" s="69"/>
      <c r="P20" s="253"/>
      <c r="Q20" s="92">
        <f t="shared" si="1"/>
        <v>0</v>
      </c>
      <c r="R20" s="70"/>
      <c r="S20" s="71"/>
      <c r="T20" s="244">
        <f t="shared" si="7"/>
        <v>1109.3900000000001</v>
      </c>
      <c r="U20" s="60">
        <f t="shared" si="3"/>
        <v>0</v>
      </c>
    </row>
    <row r="21" spans="1:21" x14ac:dyDescent="0.25">
      <c r="A21" s="75"/>
      <c r="B21" s="182">
        <f t="shared" si="4"/>
        <v>36</v>
      </c>
      <c r="C21" s="15"/>
      <c r="D21" s="69"/>
      <c r="E21" s="253"/>
      <c r="F21" s="92">
        <f t="shared" si="8"/>
        <v>0</v>
      </c>
      <c r="G21" s="70"/>
      <c r="H21" s="71"/>
      <c r="I21" s="244">
        <f t="shared" si="5"/>
        <v>1008.76</v>
      </c>
      <c r="J21" s="60">
        <f t="shared" si="2"/>
        <v>0</v>
      </c>
      <c r="L21" s="75"/>
      <c r="M21" s="182">
        <f t="shared" si="6"/>
        <v>40</v>
      </c>
      <c r="N21" s="15"/>
      <c r="O21" s="69"/>
      <c r="P21" s="253"/>
      <c r="Q21" s="92">
        <f t="shared" si="1"/>
        <v>0</v>
      </c>
      <c r="R21" s="70"/>
      <c r="S21" s="71"/>
      <c r="T21" s="244">
        <f t="shared" si="7"/>
        <v>1109.3900000000001</v>
      </c>
      <c r="U21" s="60">
        <f t="shared" si="3"/>
        <v>0</v>
      </c>
    </row>
    <row r="22" spans="1:21" x14ac:dyDescent="0.25">
      <c r="A22" s="75"/>
      <c r="B22" s="182">
        <f t="shared" si="4"/>
        <v>36</v>
      </c>
      <c r="C22" s="15"/>
      <c r="D22" s="69"/>
      <c r="E22" s="253"/>
      <c r="F22" s="92">
        <f t="shared" si="8"/>
        <v>0</v>
      </c>
      <c r="G22" s="70"/>
      <c r="H22" s="71"/>
      <c r="I22" s="244">
        <f t="shared" si="5"/>
        <v>1008.76</v>
      </c>
      <c r="J22" s="60">
        <f t="shared" si="2"/>
        <v>0</v>
      </c>
      <c r="L22" s="75"/>
      <c r="M22" s="182">
        <f t="shared" si="6"/>
        <v>40</v>
      </c>
      <c r="N22" s="15"/>
      <c r="O22" s="69"/>
      <c r="P22" s="253"/>
      <c r="Q22" s="92">
        <f t="shared" si="1"/>
        <v>0</v>
      </c>
      <c r="R22" s="70"/>
      <c r="S22" s="71"/>
      <c r="T22" s="244">
        <f t="shared" si="7"/>
        <v>1109.3900000000001</v>
      </c>
      <c r="U22" s="60">
        <f t="shared" si="3"/>
        <v>0</v>
      </c>
    </row>
    <row r="23" spans="1:21" x14ac:dyDescent="0.25">
      <c r="A23" s="19"/>
      <c r="B23" s="182">
        <f t="shared" si="4"/>
        <v>36</v>
      </c>
      <c r="C23" s="73"/>
      <c r="D23" s="69"/>
      <c r="E23" s="134"/>
      <c r="F23" s="92">
        <f t="shared" si="8"/>
        <v>0</v>
      </c>
      <c r="G23" s="70"/>
      <c r="H23" s="71"/>
      <c r="I23" s="244">
        <f t="shared" si="5"/>
        <v>1008.76</v>
      </c>
      <c r="J23" s="60">
        <f t="shared" si="2"/>
        <v>0</v>
      </c>
      <c r="L23" s="19"/>
      <c r="M23" s="182">
        <f t="shared" si="6"/>
        <v>40</v>
      </c>
      <c r="N23" s="73"/>
      <c r="O23" s="69"/>
      <c r="P23" s="134"/>
      <c r="Q23" s="92">
        <f t="shared" si="1"/>
        <v>0</v>
      </c>
      <c r="R23" s="70"/>
      <c r="S23" s="71"/>
      <c r="T23" s="244">
        <f t="shared" si="7"/>
        <v>1109.3900000000001</v>
      </c>
      <c r="U23" s="60">
        <f t="shared" si="3"/>
        <v>0</v>
      </c>
    </row>
    <row r="24" spans="1:21" x14ac:dyDescent="0.25">
      <c r="A24" s="19"/>
      <c r="B24" s="182">
        <f t="shared" si="4"/>
        <v>36</v>
      </c>
      <c r="C24" s="73"/>
      <c r="D24" s="69"/>
      <c r="E24" s="134"/>
      <c r="F24" s="92">
        <f t="shared" si="8"/>
        <v>0</v>
      </c>
      <c r="G24" s="70"/>
      <c r="H24" s="71"/>
      <c r="I24" s="244">
        <f t="shared" si="5"/>
        <v>1008.76</v>
      </c>
      <c r="J24" s="60">
        <f t="shared" si="2"/>
        <v>0</v>
      </c>
      <c r="L24" s="19"/>
      <c r="M24" s="182">
        <f t="shared" si="6"/>
        <v>40</v>
      </c>
      <c r="N24" s="73"/>
      <c r="O24" s="69"/>
      <c r="P24" s="134"/>
      <c r="Q24" s="92">
        <f t="shared" si="1"/>
        <v>0</v>
      </c>
      <c r="R24" s="70"/>
      <c r="S24" s="71"/>
      <c r="T24" s="244">
        <f t="shared" si="7"/>
        <v>1109.3900000000001</v>
      </c>
      <c r="U24" s="60">
        <f t="shared" si="3"/>
        <v>0</v>
      </c>
    </row>
    <row r="25" spans="1:21" x14ac:dyDescent="0.25">
      <c r="A25" s="19"/>
      <c r="B25" s="182">
        <f t="shared" si="4"/>
        <v>36</v>
      </c>
      <c r="C25" s="73"/>
      <c r="D25" s="69"/>
      <c r="E25" s="134"/>
      <c r="F25" s="92">
        <f t="shared" si="8"/>
        <v>0</v>
      </c>
      <c r="G25" s="70"/>
      <c r="H25" s="71"/>
      <c r="I25" s="394">
        <f t="shared" si="5"/>
        <v>1008.76</v>
      </c>
      <c r="J25" s="60">
        <f t="shared" si="2"/>
        <v>0</v>
      </c>
      <c r="L25" s="19"/>
      <c r="M25" s="182">
        <f t="shared" si="6"/>
        <v>40</v>
      </c>
      <c r="N25" s="73"/>
      <c r="O25" s="69"/>
      <c r="P25" s="134"/>
      <c r="Q25" s="92">
        <f t="shared" si="1"/>
        <v>0</v>
      </c>
      <c r="R25" s="70"/>
      <c r="S25" s="71"/>
      <c r="T25" s="394">
        <f t="shared" si="7"/>
        <v>1109.3900000000001</v>
      </c>
      <c r="U25" s="60">
        <f t="shared" si="3"/>
        <v>0</v>
      </c>
    </row>
    <row r="26" spans="1:21" x14ac:dyDescent="0.25">
      <c r="A26" s="19"/>
      <c r="B26" s="182">
        <f t="shared" si="4"/>
        <v>36</v>
      </c>
      <c r="C26" s="15"/>
      <c r="D26" s="69"/>
      <c r="E26" s="134"/>
      <c r="F26" s="92">
        <f t="shared" si="8"/>
        <v>0</v>
      </c>
      <c r="G26" s="70"/>
      <c r="H26" s="71"/>
      <c r="I26" s="394">
        <f t="shared" si="5"/>
        <v>1008.76</v>
      </c>
      <c r="J26" s="60">
        <f t="shared" si="2"/>
        <v>0</v>
      </c>
      <c r="L26" s="19"/>
      <c r="M26" s="182">
        <f t="shared" si="6"/>
        <v>40</v>
      </c>
      <c r="N26" s="15"/>
      <c r="O26" s="69"/>
      <c r="P26" s="134"/>
      <c r="Q26" s="92">
        <f t="shared" si="1"/>
        <v>0</v>
      </c>
      <c r="R26" s="70"/>
      <c r="S26" s="71"/>
      <c r="T26" s="394">
        <f t="shared" si="7"/>
        <v>1109.3900000000001</v>
      </c>
      <c r="U26" s="60">
        <f t="shared" si="3"/>
        <v>0</v>
      </c>
    </row>
    <row r="27" spans="1:21" x14ac:dyDescent="0.25">
      <c r="A27" s="19"/>
      <c r="B27" s="182">
        <f t="shared" si="4"/>
        <v>36</v>
      </c>
      <c r="C27" s="15"/>
      <c r="D27" s="69"/>
      <c r="E27" s="134"/>
      <c r="F27" s="92">
        <f t="shared" si="8"/>
        <v>0</v>
      </c>
      <c r="G27" s="70"/>
      <c r="H27" s="71"/>
      <c r="I27" s="394">
        <f t="shared" si="5"/>
        <v>1008.76</v>
      </c>
      <c r="J27" s="60">
        <f t="shared" si="2"/>
        <v>0</v>
      </c>
      <c r="L27" s="19"/>
      <c r="M27" s="182">
        <f t="shared" si="6"/>
        <v>40</v>
      </c>
      <c r="N27" s="15"/>
      <c r="O27" s="69"/>
      <c r="P27" s="134"/>
      <c r="Q27" s="92">
        <f t="shared" si="1"/>
        <v>0</v>
      </c>
      <c r="R27" s="70"/>
      <c r="S27" s="71"/>
      <c r="T27" s="394">
        <f t="shared" si="7"/>
        <v>1109.3900000000001</v>
      </c>
      <c r="U27" s="60">
        <f t="shared" si="3"/>
        <v>0</v>
      </c>
    </row>
    <row r="28" spans="1:21" x14ac:dyDescent="0.25">
      <c r="A28" s="19"/>
      <c r="B28" s="182">
        <f t="shared" si="4"/>
        <v>36</v>
      </c>
      <c r="C28" s="15"/>
      <c r="D28" s="69"/>
      <c r="E28" s="134"/>
      <c r="F28" s="92">
        <f t="shared" si="8"/>
        <v>0</v>
      </c>
      <c r="G28" s="70"/>
      <c r="H28" s="71"/>
      <c r="I28" s="394">
        <f t="shared" si="5"/>
        <v>1008.76</v>
      </c>
      <c r="J28" s="60">
        <f t="shared" si="2"/>
        <v>0</v>
      </c>
      <c r="L28" s="19"/>
      <c r="M28" s="182">
        <f t="shared" si="6"/>
        <v>40</v>
      </c>
      <c r="N28" s="15"/>
      <c r="O28" s="69"/>
      <c r="P28" s="134"/>
      <c r="Q28" s="92">
        <f t="shared" si="1"/>
        <v>0</v>
      </c>
      <c r="R28" s="70"/>
      <c r="S28" s="71"/>
      <c r="T28" s="394">
        <f t="shared" si="7"/>
        <v>1109.3900000000001</v>
      </c>
      <c r="U28" s="60">
        <f t="shared" si="3"/>
        <v>0</v>
      </c>
    </row>
    <row r="29" spans="1:21" x14ac:dyDescent="0.25">
      <c r="A29" s="19"/>
      <c r="B29" s="182">
        <f t="shared" si="4"/>
        <v>36</v>
      </c>
      <c r="C29" s="15"/>
      <c r="D29" s="69"/>
      <c r="E29" s="134"/>
      <c r="F29" s="92">
        <f t="shared" si="8"/>
        <v>0</v>
      </c>
      <c r="G29" s="70"/>
      <c r="H29" s="71"/>
      <c r="I29" s="394">
        <f t="shared" si="5"/>
        <v>1008.76</v>
      </c>
      <c r="J29" s="60">
        <f t="shared" si="2"/>
        <v>0</v>
      </c>
      <c r="L29" s="19"/>
      <c r="M29" s="182">
        <f t="shared" si="6"/>
        <v>40</v>
      </c>
      <c r="N29" s="15"/>
      <c r="O29" s="69"/>
      <c r="P29" s="134"/>
      <c r="Q29" s="92">
        <f t="shared" si="1"/>
        <v>0</v>
      </c>
      <c r="R29" s="70"/>
      <c r="S29" s="71"/>
      <c r="T29" s="394">
        <f t="shared" si="7"/>
        <v>1109.3900000000001</v>
      </c>
      <c r="U29" s="60">
        <f t="shared" si="3"/>
        <v>0</v>
      </c>
    </row>
    <row r="30" spans="1:21" x14ac:dyDescent="0.25">
      <c r="A30" s="19"/>
      <c r="B30" s="182">
        <f t="shared" si="4"/>
        <v>36</v>
      </c>
      <c r="C30" s="15"/>
      <c r="D30" s="69"/>
      <c r="E30" s="134"/>
      <c r="F30" s="92">
        <f t="shared" si="8"/>
        <v>0</v>
      </c>
      <c r="G30" s="70"/>
      <c r="H30" s="71"/>
      <c r="I30" s="394">
        <f t="shared" si="5"/>
        <v>1008.76</v>
      </c>
      <c r="J30" s="60">
        <f t="shared" si="2"/>
        <v>0</v>
      </c>
      <c r="L30" s="19"/>
      <c r="M30" s="182">
        <f t="shared" si="6"/>
        <v>40</v>
      </c>
      <c r="N30" s="15"/>
      <c r="O30" s="69"/>
      <c r="P30" s="134"/>
      <c r="Q30" s="92">
        <f t="shared" si="1"/>
        <v>0</v>
      </c>
      <c r="R30" s="70"/>
      <c r="S30" s="71"/>
      <c r="T30" s="394">
        <f t="shared" si="7"/>
        <v>1109.3900000000001</v>
      </c>
      <c r="U30" s="60">
        <f t="shared" si="3"/>
        <v>0</v>
      </c>
    </row>
    <row r="31" spans="1:21" x14ac:dyDescent="0.25">
      <c r="A31" s="19"/>
      <c r="B31" s="182">
        <f t="shared" si="4"/>
        <v>36</v>
      </c>
      <c r="C31" s="15"/>
      <c r="D31" s="69"/>
      <c r="E31" s="134"/>
      <c r="F31" s="92">
        <f t="shared" si="8"/>
        <v>0</v>
      </c>
      <c r="G31" s="70"/>
      <c r="H31" s="71"/>
      <c r="I31" s="394">
        <f t="shared" si="5"/>
        <v>1008.76</v>
      </c>
      <c r="J31" s="60">
        <f t="shared" si="2"/>
        <v>0</v>
      </c>
      <c r="L31" s="19"/>
      <c r="M31" s="182">
        <f t="shared" si="6"/>
        <v>40</v>
      </c>
      <c r="N31" s="15"/>
      <c r="O31" s="69"/>
      <c r="P31" s="134"/>
      <c r="Q31" s="92">
        <f t="shared" si="1"/>
        <v>0</v>
      </c>
      <c r="R31" s="70"/>
      <c r="S31" s="71"/>
      <c r="T31" s="394">
        <f t="shared" si="7"/>
        <v>1109.3900000000001</v>
      </c>
      <c r="U31" s="60">
        <f t="shared" si="3"/>
        <v>0</v>
      </c>
    </row>
    <row r="32" spans="1:21" x14ac:dyDescent="0.25">
      <c r="A32" s="19"/>
      <c r="B32" s="182">
        <f t="shared" si="4"/>
        <v>36</v>
      </c>
      <c r="C32" s="15"/>
      <c r="D32" s="69"/>
      <c r="E32" s="134"/>
      <c r="F32" s="92">
        <f t="shared" si="8"/>
        <v>0</v>
      </c>
      <c r="G32" s="70"/>
      <c r="H32" s="71"/>
      <c r="I32" s="394">
        <f t="shared" si="5"/>
        <v>1008.76</v>
      </c>
      <c r="J32" s="60">
        <f t="shared" si="2"/>
        <v>0</v>
      </c>
      <c r="L32" s="19"/>
      <c r="M32" s="182">
        <f t="shared" si="6"/>
        <v>40</v>
      </c>
      <c r="N32" s="15"/>
      <c r="O32" s="69"/>
      <c r="P32" s="134"/>
      <c r="Q32" s="92">
        <f t="shared" si="1"/>
        <v>0</v>
      </c>
      <c r="R32" s="70"/>
      <c r="S32" s="71"/>
      <c r="T32" s="394">
        <f t="shared" si="7"/>
        <v>1109.3900000000001</v>
      </c>
      <c r="U32" s="60">
        <f t="shared" si="3"/>
        <v>0</v>
      </c>
    </row>
    <row r="33" spans="1:21" x14ac:dyDescent="0.25">
      <c r="A33" s="19"/>
      <c r="B33" s="182">
        <f t="shared" si="4"/>
        <v>36</v>
      </c>
      <c r="C33" s="15"/>
      <c r="D33" s="69"/>
      <c r="E33" s="134"/>
      <c r="F33" s="92">
        <f t="shared" si="8"/>
        <v>0</v>
      </c>
      <c r="G33" s="70"/>
      <c r="H33" s="71"/>
      <c r="I33" s="394">
        <f t="shared" si="5"/>
        <v>1008.76</v>
      </c>
      <c r="J33" s="60">
        <f t="shared" si="2"/>
        <v>0</v>
      </c>
      <c r="L33" s="19"/>
      <c r="M33" s="182">
        <f t="shared" si="6"/>
        <v>40</v>
      </c>
      <c r="N33" s="15"/>
      <c r="O33" s="69"/>
      <c r="P33" s="134"/>
      <c r="Q33" s="92">
        <f t="shared" si="1"/>
        <v>0</v>
      </c>
      <c r="R33" s="70"/>
      <c r="S33" s="71"/>
      <c r="T33" s="394">
        <f t="shared" si="7"/>
        <v>1109.3900000000001</v>
      </c>
      <c r="U33" s="60">
        <f t="shared" si="3"/>
        <v>0</v>
      </c>
    </row>
    <row r="34" spans="1:21" x14ac:dyDescent="0.25">
      <c r="A34" s="19"/>
      <c r="B34" s="182">
        <f t="shared" si="4"/>
        <v>36</v>
      </c>
      <c r="C34" s="15"/>
      <c r="D34" s="69"/>
      <c r="E34" s="134"/>
      <c r="F34" s="92">
        <f t="shared" si="8"/>
        <v>0</v>
      </c>
      <c r="G34" s="70"/>
      <c r="H34" s="71"/>
      <c r="I34" s="394">
        <f t="shared" si="5"/>
        <v>1008.76</v>
      </c>
      <c r="J34" s="60">
        <f t="shared" si="2"/>
        <v>0</v>
      </c>
      <c r="L34" s="19"/>
      <c r="M34" s="182">
        <f t="shared" si="6"/>
        <v>40</v>
      </c>
      <c r="N34" s="15"/>
      <c r="O34" s="69"/>
      <c r="P34" s="134"/>
      <c r="Q34" s="92">
        <f t="shared" si="1"/>
        <v>0</v>
      </c>
      <c r="R34" s="70"/>
      <c r="S34" s="71"/>
      <c r="T34" s="394">
        <f t="shared" si="7"/>
        <v>1109.3900000000001</v>
      </c>
      <c r="U34" s="60">
        <f t="shared" si="3"/>
        <v>0</v>
      </c>
    </row>
    <row r="35" spans="1:21" x14ac:dyDescent="0.25">
      <c r="A35" s="19"/>
      <c r="B35" s="182">
        <f t="shared" si="4"/>
        <v>36</v>
      </c>
      <c r="C35" s="15"/>
      <c r="D35" s="69"/>
      <c r="E35" s="134"/>
      <c r="F35" s="92">
        <f t="shared" si="8"/>
        <v>0</v>
      </c>
      <c r="G35" s="70"/>
      <c r="H35" s="71"/>
      <c r="I35" s="394">
        <f t="shared" si="5"/>
        <v>1008.76</v>
      </c>
      <c r="J35" s="60">
        <f t="shared" si="2"/>
        <v>0</v>
      </c>
      <c r="L35" s="19"/>
      <c r="M35" s="182">
        <f t="shared" si="6"/>
        <v>40</v>
      </c>
      <c r="N35" s="15"/>
      <c r="O35" s="69"/>
      <c r="P35" s="134"/>
      <c r="Q35" s="92">
        <f t="shared" si="1"/>
        <v>0</v>
      </c>
      <c r="R35" s="70"/>
      <c r="S35" s="71"/>
      <c r="T35" s="394">
        <f t="shared" si="7"/>
        <v>1109.3900000000001</v>
      </c>
      <c r="U35" s="60">
        <f t="shared" si="3"/>
        <v>0</v>
      </c>
    </row>
    <row r="36" spans="1:21" x14ac:dyDescent="0.25">
      <c r="A36" s="19"/>
      <c r="B36" s="182">
        <f t="shared" si="4"/>
        <v>36</v>
      </c>
      <c r="C36" s="15"/>
      <c r="D36" s="69"/>
      <c r="E36" s="134"/>
      <c r="F36" s="92">
        <f t="shared" si="8"/>
        <v>0</v>
      </c>
      <c r="G36" s="70"/>
      <c r="H36" s="71"/>
      <c r="I36" s="394">
        <f t="shared" si="5"/>
        <v>1008.76</v>
      </c>
      <c r="J36" s="60">
        <f t="shared" si="2"/>
        <v>0</v>
      </c>
      <c r="L36" s="19"/>
      <c r="M36" s="182">
        <f t="shared" si="6"/>
        <v>40</v>
      </c>
      <c r="N36" s="15"/>
      <c r="O36" s="69"/>
      <c r="P36" s="134"/>
      <c r="Q36" s="92">
        <f t="shared" si="1"/>
        <v>0</v>
      </c>
      <c r="R36" s="70"/>
      <c r="S36" s="71"/>
      <c r="T36" s="394">
        <f t="shared" si="7"/>
        <v>1109.3900000000001</v>
      </c>
      <c r="U36" s="60">
        <f t="shared" si="3"/>
        <v>0</v>
      </c>
    </row>
    <row r="37" spans="1:21" x14ac:dyDescent="0.25">
      <c r="B37" s="182">
        <f>B27-C37</f>
        <v>36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4">
        <f t="shared" si="5"/>
        <v>1008.76</v>
      </c>
      <c r="J37" s="60">
        <f t="shared" si="2"/>
        <v>0</v>
      </c>
      <c r="M37" s="182">
        <f>M27-N37</f>
        <v>40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4">
        <f t="shared" si="7"/>
        <v>1109.3900000000001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4"/>
      <c r="J38" s="60"/>
      <c r="M38" s="182"/>
      <c r="N38" s="15"/>
      <c r="O38" s="69"/>
      <c r="P38" s="134"/>
      <c r="Q38" s="92"/>
      <c r="R38" s="70"/>
      <c r="S38" s="71"/>
      <c r="T38" s="394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4"/>
      <c r="J39" s="60"/>
      <c r="M39" s="182"/>
      <c r="N39" s="15"/>
      <c r="O39" s="69"/>
      <c r="P39" s="134"/>
      <c r="Q39" s="92"/>
      <c r="R39" s="70"/>
      <c r="S39" s="71"/>
      <c r="T39" s="394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4"/>
      <c r="J40" s="60"/>
      <c r="M40" s="182"/>
      <c r="N40" s="15"/>
      <c r="O40" s="69"/>
      <c r="P40" s="134"/>
      <c r="Q40" s="92"/>
      <c r="R40" s="70"/>
      <c r="S40" s="71"/>
      <c r="T40" s="394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4"/>
      <c r="J41" s="60"/>
      <c r="M41" s="182"/>
      <c r="N41" s="15"/>
      <c r="O41" s="69"/>
      <c r="P41" s="134"/>
      <c r="Q41" s="92"/>
      <c r="R41" s="70"/>
      <c r="S41" s="71"/>
      <c r="T41" s="394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4"/>
      <c r="J42" s="60"/>
      <c r="M42" s="182"/>
      <c r="N42" s="15"/>
      <c r="O42" s="69"/>
      <c r="P42" s="134"/>
      <c r="Q42" s="92"/>
      <c r="R42" s="70"/>
      <c r="S42" s="71"/>
      <c r="T42" s="394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4"/>
      <c r="J43" s="60"/>
      <c r="M43" s="182"/>
      <c r="N43" s="15"/>
      <c r="O43" s="69"/>
      <c r="P43" s="134"/>
      <c r="Q43" s="92"/>
      <c r="R43" s="70"/>
      <c r="S43" s="71"/>
      <c r="T43" s="394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4"/>
      <c r="J44" s="60"/>
      <c r="M44" s="182"/>
      <c r="N44" s="15"/>
      <c r="O44" s="69"/>
      <c r="P44" s="134"/>
      <c r="Q44" s="92"/>
      <c r="R44" s="70"/>
      <c r="S44" s="71"/>
      <c r="T44" s="394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4"/>
      <c r="J45" s="60"/>
      <c r="M45" s="182"/>
      <c r="N45" s="15"/>
      <c r="O45" s="69"/>
      <c r="P45" s="134"/>
      <c r="Q45" s="92"/>
      <c r="R45" s="70"/>
      <c r="S45" s="71"/>
      <c r="T45" s="394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4"/>
      <c r="J46" s="60"/>
      <c r="M46" s="182"/>
      <c r="N46" s="15"/>
      <c r="O46" s="69"/>
      <c r="P46" s="134"/>
      <c r="Q46" s="92"/>
      <c r="R46" s="70"/>
      <c r="S46" s="71"/>
      <c r="T46" s="394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4"/>
      <c r="J47" s="60"/>
      <c r="M47" s="182"/>
      <c r="N47" s="15"/>
      <c r="O47" s="69"/>
      <c r="P47" s="134"/>
      <c r="Q47" s="92"/>
      <c r="R47" s="70"/>
      <c r="S47" s="71"/>
      <c r="T47" s="394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4"/>
      <c r="J48" s="60"/>
      <c r="M48" s="182"/>
      <c r="N48" s="15"/>
      <c r="O48" s="69"/>
      <c r="P48" s="134"/>
      <c r="Q48" s="92"/>
      <c r="R48" s="70"/>
      <c r="S48" s="71"/>
      <c r="T48" s="394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4"/>
      <c r="J49" s="60"/>
      <c r="M49" s="182"/>
      <c r="N49" s="15"/>
      <c r="O49" s="69"/>
      <c r="P49" s="134"/>
      <c r="Q49" s="92"/>
      <c r="R49" s="70"/>
      <c r="S49" s="71"/>
      <c r="T49" s="394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4"/>
      <c r="J50" s="60"/>
      <c r="M50" s="182"/>
      <c r="N50" s="15"/>
      <c r="O50" s="69"/>
      <c r="P50" s="134"/>
      <c r="Q50" s="92"/>
      <c r="R50" s="70"/>
      <c r="S50" s="71"/>
      <c r="T50" s="394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4"/>
      <c r="J51" s="60"/>
      <c r="M51" s="182"/>
      <c r="N51" s="15"/>
      <c r="O51" s="69"/>
      <c r="P51" s="134"/>
      <c r="Q51" s="92"/>
      <c r="R51" s="70"/>
      <c r="S51" s="71"/>
      <c r="T51" s="394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4"/>
      <c r="J52" s="60"/>
      <c r="M52" s="182"/>
      <c r="N52" s="15"/>
      <c r="O52" s="69"/>
      <c r="P52" s="134"/>
      <c r="Q52" s="92"/>
      <c r="R52" s="70"/>
      <c r="S52" s="71"/>
      <c r="T52" s="394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4"/>
      <c r="J53" s="60"/>
      <c r="M53" s="182"/>
      <c r="N53" s="15"/>
      <c r="O53" s="69"/>
      <c r="P53" s="134"/>
      <c r="Q53" s="92"/>
      <c r="R53" s="70"/>
      <c r="S53" s="71"/>
      <c r="T53" s="394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4"/>
      <c r="J54" s="60"/>
      <c r="M54" s="182"/>
      <c r="N54" s="15"/>
      <c r="O54" s="69"/>
      <c r="P54" s="134"/>
      <c r="Q54" s="92"/>
      <c r="R54" s="70"/>
      <c r="S54" s="71"/>
      <c r="T54" s="394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4"/>
      <c r="J55" s="60"/>
      <c r="M55" s="182"/>
      <c r="N55" s="15"/>
      <c r="O55" s="69"/>
      <c r="P55" s="134"/>
      <c r="Q55" s="92"/>
      <c r="R55" s="70"/>
      <c r="S55" s="71"/>
      <c r="T55" s="394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4"/>
      <c r="J56" s="60"/>
      <c r="M56" s="182"/>
      <c r="N56" s="15"/>
      <c r="O56" s="69"/>
      <c r="P56" s="134"/>
      <c r="Q56" s="92"/>
      <c r="R56" s="70"/>
      <c r="S56" s="71"/>
      <c r="T56" s="394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4"/>
      <c r="J57" s="60"/>
      <c r="M57" s="182"/>
      <c r="N57" s="15"/>
      <c r="O57" s="69"/>
      <c r="P57" s="134"/>
      <c r="Q57" s="92"/>
      <c r="R57" s="70"/>
      <c r="S57" s="71"/>
      <c r="T57" s="394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4"/>
      <c r="J58" s="60"/>
      <c r="M58" s="182"/>
      <c r="N58" s="15"/>
      <c r="O58" s="69"/>
      <c r="P58" s="134"/>
      <c r="Q58" s="92"/>
      <c r="R58" s="70"/>
      <c r="S58" s="71"/>
      <c r="T58" s="394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4"/>
      <c r="J59" s="60"/>
      <c r="M59" s="182"/>
      <c r="N59" s="15"/>
      <c r="O59" s="69"/>
      <c r="P59" s="134"/>
      <c r="Q59" s="92"/>
      <c r="R59" s="70"/>
      <c r="S59" s="71"/>
      <c r="T59" s="394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4"/>
      <c r="J60" s="60"/>
      <c r="M60" s="182"/>
      <c r="N60" s="15"/>
      <c r="O60" s="69"/>
      <c r="P60" s="134"/>
      <c r="Q60" s="92"/>
      <c r="R60" s="70"/>
      <c r="S60" s="71"/>
      <c r="T60" s="394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4"/>
      <c r="J61" s="60"/>
      <c r="M61" s="182"/>
      <c r="N61" s="15"/>
      <c r="O61" s="69"/>
      <c r="P61" s="134"/>
      <c r="Q61" s="92"/>
      <c r="R61" s="70"/>
      <c r="S61" s="71"/>
      <c r="T61" s="394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4"/>
      <c r="J62" s="60"/>
      <c r="M62" s="182"/>
      <c r="N62" s="15"/>
      <c r="O62" s="69"/>
      <c r="P62" s="134"/>
      <c r="Q62" s="92"/>
      <c r="R62" s="70"/>
      <c r="S62" s="71"/>
      <c r="T62" s="394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4"/>
      <c r="J63" s="60"/>
      <c r="M63" s="182"/>
      <c r="N63" s="15"/>
      <c r="O63" s="69"/>
      <c r="P63" s="134"/>
      <c r="Q63" s="92"/>
      <c r="R63" s="70"/>
      <c r="S63" s="71"/>
      <c r="T63" s="394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4"/>
      <c r="J64" s="60"/>
      <c r="M64" s="182"/>
      <c r="N64" s="15"/>
      <c r="O64" s="69"/>
      <c r="P64" s="134"/>
      <c r="Q64" s="92"/>
      <c r="R64" s="70"/>
      <c r="S64" s="71"/>
      <c r="T64" s="394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4"/>
      <c r="J65" s="60"/>
      <c r="M65" s="182"/>
      <c r="N65" s="15"/>
      <c r="O65" s="69"/>
      <c r="P65" s="134"/>
      <c r="Q65" s="92"/>
      <c r="R65" s="70"/>
      <c r="S65" s="71"/>
      <c r="T65" s="394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4"/>
      <c r="J66" s="60"/>
      <c r="M66" s="182"/>
      <c r="N66" s="15"/>
      <c r="O66" s="69"/>
      <c r="P66" s="134"/>
      <c r="Q66" s="92"/>
      <c r="R66" s="70"/>
      <c r="S66" s="71"/>
      <c r="T66" s="394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4"/>
      <c r="J67" s="60"/>
      <c r="M67" s="182"/>
      <c r="N67" s="15"/>
      <c r="O67" s="69"/>
      <c r="P67" s="134"/>
      <c r="Q67" s="92"/>
      <c r="R67" s="70"/>
      <c r="S67" s="71"/>
      <c r="T67" s="394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4"/>
      <c r="J68" s="60"/>
      <c r="M68" s="182"/>
      <c r="N68" s="15"/>
      <c r="O68" s="69"/>
      <c r="P68" s="134"/>
      <c r="Q68" s="92"/>
      <c r="R68" s="70"/>
      <c r="S68" s="71"/>
      <c r="T68" s="394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4"/>
      <c r="J69" s="60"/>
      <c r="M69" s="182"/>
      <c r="N69" s="15"/>
      <c r="O69" s="69"/>
      <c r="P69" s="134"/>
      <c r="Q69" s="92"/>
      <c r="R69" s="70"/>
      <c r="S69" s="71"/>
      <c r="T69" s="394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4"/>
      <c r="J70" s="60"/>
      <c r="M70" s="182"/>
      <c r="N70" s="15"/>
      <c r="O70" s="69"/>
      <c r="P70" s="134"/>
      <c r="Q70" s="92"/>
      <c r="R70" s="70"/>
      <c r="S70" s="71"/>
      <c r="T70" s="394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4"/>
      <c r="J71" s="60"/>
      <c r="M71" s="182"/>
      <c r="N71" s="15"/>
      <c r="O71" s="69"/>
      <c r="P71" s="134"/>
      <c r="Q71" s="92"/>
      <c r="R71" s="70"/>
      <c r="S71" s="71"/>
      <c r="T71" s="394"/>
      <c r="U71" s="60"/>
    </row>
    <row r="72" spans="1:21" ht="15.75" thickBot="1" x14ac:dyDescent="0.3">
      <c r="A72" s="121"/>
      <c r="B72" s="182">
        <f t="shared" ref="B72" si="9">B37-C72</f>
        <v>36</v>
      </c>
      <c r="C72" s="37"/>
      <c r="D72" s="69">
        <v>0</v>
      </c>
      <c r="E72" s="247"/>
      <c r="F72" s="92">
        <f t="shared" si="8"/>
        <v>0</v>
      </c>
      <c r="G72" s="139"/>
      <c r="H72" s="198"/>
      <c r="I72" s="394">
        <f>I37-F72</f>
        <v>1008.76</v>
      </c>
      <c r="J72" s="60">
        <f>SUM(J9:J37)</f>
        <v>0</v>
      </c>
      <c r="L72" s="121"/>
      <c r="M72" s="182">
        <f t="shared" ref="M72" si="10">M37-N72</f>
        <v>40</v>
      </c>
      <c r="N72" s="37"/>
      <c r="O72" s="69">
        <v>0</v>
      </c>
      <c r="P72" s="247"/>
      <c r="Q72" s="92">
        <f t="shared" ref="Q72" si="11">O72</f>
        <v>0</v>
      </c>
      <c r="R72" s="139"/>
      <c r="S72" s="198"/>
      <c r="T72" s="394">
        <f>T37-Q72</f>
        <v>1109.3900000000001</v>
      </c>
      <c r="U72" s="60">
        <f>SUM(U9:U37)</f>
        <v>0</v>
      </c>
    </row>
    <row r="73" spans="1:21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  <c r="L73" s="47">
        <f>SUM(L72:L72)</f>
        <v>0</v>
      </c>
      <c r="N73" s="73"/>
      <c r="O73" s="105">
        <f>SUM(O9:O72)</f>
        <v>0</v>
      </c>
      <c r="P73" s="134"/>
      <c r="Q73" s="105">
        <f>SUM(Q9:Q72)</f>
        <v>0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194" t="s">
        <v>21</v>
      </c>
      <c r="E75" s="1195"/>
      <c r="F75" s="141">
        <f>G5-F73</f>
        <v>0</v>
      </c>
      <c r="M75" s="184"/>
      <c r="O75" s="1194" t="s">
        <v>21</v>
      </c>
      <c r="P75" s="1195"/>
      <c r="Q75" s="141">
        <f>R5-Q73</f>
        <v>0</v>
      </c>
    </row>
    <row r="76" spans="1:21" ht="15.75" thickBot="1" x14ac:dyDescent="0.3">
      <c r="A76" s="125"/>
      <c r="D76" s="263" t="s">
        <v>4</v>
      </c>
      <c r="E76" s="264"/>
      <c r="F76" s="49">
        <v>0</v>
      </c>
      <c r="L76" s="125"/>
      <c r="O76" s="1074" t="s">
        <v>4</v>
      </c>
      <c r="P76" s="1075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00" t="s">
        <v>94</v>
      </c>
      <c r="C5" s="392"/>
      <c r="D5" s="134"/>
      <c r="E5" s="208"/>
      <c r="F5" s="62"/>
      <c r="G5" s="5"/>
    </row>
    <row r="6" spans="1:9" x14ac:dyDescent="0.25">
      <c r="A6" s="405"/>
      <c r="B6" s="120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07"/>
      <c r="B5" s="127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7"/>
      <c r="B6" s="127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7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1" t="s">
        <v>11</v>
      </c>
      <c r="D60" s="120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8"/>
      <c r="B1" s="1188"/>
      <c r="C1" s="1188"/>
      <c r="D1" s="1188"/>
      <c r="E1" s="1188"/>
      <c r="F1" s="1188"/>
      <c r="G1" s="118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0"/>
      <c r="B5" s="1215" t="s">
        <v>121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1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1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94" t="s">
        <v>21</v>
      </c>
      <c r="E41" s="119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D1" zoomScaleNormal="100" workbookViewId="0">
      <pane ySplit="9" topLeftCell="A16" activePane="bottomLeft" state="frozen"/>
      <selection pane="bottomLeft" activeCell="P28" sqref="P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9" t="s">
        <v>333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 xml:space="preserve"> INVENTARIO   DEL MES DE     NOVIEMBRE       2022</v>
      </c>
      <c r="L1" s="1199"/>
      <c r="M1" s="1199"/>
      <c r="N1" s="1199"/>
      <c r="O1" s="1199"/>
      <c r="P1" s="1199"/>
      <c r="Q1" s="1199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76" t="s">
        <v>52</v>
      </c>
      <c r="B4" s="485"/>
      <c r="C4" s="128"/>
      <c r="D4" s="135"/>
      <c r="E4" s="86">
        <v>142.04</v>
      </c>
      <c r="F4" s="73">
        <v>4</v>
      </c>
      <c r="G4" s="818"/>
      <c r="K4" s="1276" t="s">
        <v>52</v>
      </c>
      <c r="L4" s="485"/>
      <c r="M4" s="128"/>
      <c r="N4" s="135"/>
      <c r="O4" s="86"/>
      <c r="P4" s="73"/>
      <c r="Q4" s="944"/>
    </row>
    <row r="5" spans="1:19" ht="15" customHeight="1" x14ac:dyDescent="0.25">
      <c r="A5" s="1277"/>
      <c r="B5" s="127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77"/>
      <c r="L5" s="1279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78"/>
      <c r="B6" s="1280"/>
      <c r="C6" s="551"/>
      <c r="D6" s="135"/>
      <c r="E6" s="86"/>
      <c r="F6" s="73"/>
      <c r="G6" s="73"/>
      <c r="K6" s="1278"/>
      <c r="L6" s="1280"/>
      <c r="M6" s="551"/>
      <c r="N6" s="135"/>
      <c r="O6" s="86"/>
      <c r="P6" s="73"/>
      <c r="Q6" s="73"/>
    </row>
    <row r="7" spans="1:19" ht="21.75" customHeight="1" x14ac:dyDescent="0.25">
      <c r="A7" s="523" t="s">
        <v>52</v>
      </c>
      <c r="C7" s="551"/>
      <c r="D7" s="135"/>
      <c r="E7" s="105"/>
      <c r="F7" s="73"/>
      <c r="G7" s="73"/>
      <c r="K7" s="523" t="s">
        <v>52</v>
      </c>
      <c r="M7" s="551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47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47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26" t="s">
        <v>194</v>
      </c>
      <c r="B10" s="235">
        <f>F4+F5+F6+F7+F8-C10</f>
        <v>99</v>
      </c>
      <c r="C10" s="827">
        <v>5</v>
      </c>
      <c r="D10" s="338">
        <v>142.13999999999999</v>
      </c>
      <c r="E10" s="692">
        <v>44844</v>
      </c>
      <c r="F10" s="338">
        <f t="shared" ref="F10:F57" si="0">D10</f>
        <v>142.13999999999999</v>
      </c>
      <c r="G10" s="679" t="s">
        <v>190</v>
      </c>
      <c r="H10" s="691">
        <v>42</v>
      </c>
      <c r="I10" s="132">
        <f>E6+E5+E4-F10+E7+E8</f>
        <v>3038.05</v>
      </c>
      <c r="K10" s="826" t="s">
        <v>194</v>
      </c>
      <c r="L10" s="852">
        <f>P4+P5+P6+P7+P8-M10</f>
        <v>94</v>
      </c>
      <c r="M10" s="945"/>
      <c r="N10" s="743"/>
      <c r="O10" s="946"/>
      <c r="P10" s="743">
        <f t="shared" ref="P10:P57" si="1">N10</f>
        <v>0</v>
      </c>
      <c r="Q10" s="947"/>
      <c r="R10" s="948"/>
      <c r="S10" s="836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692">
        <v>44847</v>
      </c>
      <c r="F11" s="338">
        <f t="shared" si="0"/>
        <v>29.16</v>
      </c>
      <c r="G11" s="679" t="s">
        <v>193</v>
      </c>
      <c r="H11" s="691">
        <v>42</v>
      </c>
      <c r="I11" s="132">
        <f>I10-F11</f>
        <v>3008.8900000000003</v>
      </c>
      <c r="K11" s="75"/>
      <c r="L11" s="949">
        <f>L10-M11</f>
        <v>94</v>
      </c>
      <c r="M11" s="945"/>
      <c r="N11" s="743"/>
      <c r="O11" s="946"/>
      <c r="P11" s="743">
        <f t="shared" si="1"/>
        <v>0</v>
      </c>
      <c r="Q11" s="947"/>
      <c r="R11" s="948"/>
      <c r="S11" s="700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692">
        <v>44847</v>
      </c>
      <c r="F12" s="338">
        <f t="shared" si="0"/>
        <v>273.66000000000003</v>
      </c>
      <c r="G12" s="679" t="s">
        <v>196</v>
      </c>
      <c r="H12" s="691">
        <v>30</v>
      </c>
      <c r="I12" s="132">
        <f t="shared" ref="I12:I13" si="3">I11-F12</f>
        <v>2735.2300000000005</v>
      </c>
      <c r="K12" s="75"/>
      <c r="L12" s="949">
        <f t="shared" ref="L12:L58" si="4">L11-M12</f>
        <v>94</v>
      </c>
      <c r="M12" s="945"/>
      <c r="N12" s="743"/>
      <c r="O12" s="946"/>
      <c r="P12" s="743">
        <f t="shared" si="1"/>
        <v>0</v>
      </c>
      <c r="Q12" s="947"/>
      <c r="R12" s="948"/>
      <c r="S12" s="700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692">
        <v>44849</v>
      </c>
      <c r="F13" s="338">
        <f t="shared" si="0"/>
        <v>155.86000000000001</v>
      </c>
      <c r="G13" s="679" t="s">
        <v>198</v>
      </c>
      <c r="H13" s="691">
        <v>30</v>
      </c>
      <c r="I13" s="132">
        <f t="shared" si="3"/>
        <v>2579.3700000000003</v>
      </c>
      <c r="K13" s="55"/>
      <c r="L13" s="949">
        <f t="shared" si="4"/>
        <v>94</v>
      </c>
      <c r="M13" s="945"/>
      <c r="N13" s="743"/>
      <c r="O13" s="946"/>
      <c r="P13" s="743">
        <f t="shared" si="1"/>
        <v>0</v>
      </c>
      <c r="Q13" s="947"/>
      <c r="R13" s="948"/>
      <c r="S13" s="700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692">
        <v>44853</v>
      </c>
      <c r="F14" s="338">
        <f t="shared" si="0"/>
        <v>29.67</v>
      </c>
      <c r="G14" s="679" t="s">
        <v>199</v>
      </c>
      <c r="H14" s="691">
        <v>30</v>
      </c>
      <c r="I14" s="132">
        <f>I13-F14</f>
        <v>2549.7000000000003</v>
      </c>
      <c r="K14" s="75"/>
      <c r="L14" s="949">
        <f t="shared" si="4"/>
        <v>94</v>
      </c>
      <c r="M14" s="945"/>
      <c r="N14" s="743"/>
      <c r="O14" s="946"/>
      <c r="P14" s="743">
        <f t="shared" si="1"/>
        <v>0</v>
      </c>
      <c r="Q14" s="947"/>
      <c r="R14" s="948"/>
      <c r="S14" s="700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692">
        <v>44854</v>
      </c>
      <c r="F15" s="338">
        <f t="shared" si="0"/>
        <v>28.68</v>
      </c>
      <c r="G15" s="679" t="s">
        <v>201</v>
      </c>
      <c r="H15" s="691">
        <v>30</v>
      </c>
      <c r="I15" s="132">
        <f t="shared" ref="I15:I58" si="6">I14-F15</f>
        <v>2521.0200000000004</v>
      </c>
      <c r="K15" s="75"/>
      <c r="L15" s="949">
        <f t="shared" si="4"/>
        <v>94</v>
      </c>
      <c r="M15" s="945"/>
      <c r="N15" s="743"/>
      <c r="O15" s="946"/>
      <c r="P15" s="743">
        <f t="shared" si="1"/>
        <v>0</v>
      </c>
      <c r="Q15" s="947"/>
      <c r="R15" s="948"/>
      <c r="S15" s="700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692">
        <v>44854</v>
      </c>
      <c r="F16" s="338">
        <f t="shared" si="0"/>
        <v>90.38</v>
      </c>
      <c r="G16" s="679" t="s">
        <v>203</v>
      </c>
      <c r="H16" s="691">
        <v>30</v>
      </c>
      <c r="I16" s="132">
        <f t="shared" si="6"/>
        <v>2430.6400000000003</v>
      </c>
      <c r="L16" s="949">
        <f t="shared" si="4"/>
        <v>94</v>
      </c>
      <c r="M16" s="945"/>
      <c r="N16" s="743"/>
      <c r="O16" s="946"/>
      <c r="P16" s="743">
        <f t="shared" si="1"/>
        <v>0</v>
      </c>
      <c r="Q16" s="947"/>
      <c r="R16" s="948"/>
      <c r="S16" s="700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692">
        <v>44855</v>
      </c>
      <c r="F17" s="338">
        <f t="shared" si="0"/>
        <v>30.55</v>
      </c>
      <c r="G17" s="679" t="s">
        <v>204</v>
      </c>
      <c r="H17" s="691">
        <v>30</v>
      </c>
      <c r="I17" s="132">
        <f t="shared" si="6"/>
        <v>2400.09</v>
      </c>
      <c r="L17" s="949">
        <f t="shared" si="4"/>
        <v>94</v>
      </c>
      <c r="M17" s="945"/>
      <c r="N17" s="743"/>
      <c r="O17" s="946"/>
      <c r="P17" s="743">
        <f t="shared" si="1"/>
        <v>0</v>
      </c>
      <c r="Q17" s="947"/>
      <c r="R17" s="948"/>
      <c r="S17" s="700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692">
        <v>44856</v>
      </c>
      <c r="F18" s="338">
        <f t="shared" si="0"/>
        <v>30.65</v>
      </c>
      <c r="G18" s="679" t="s">
        <v>206</v>
      </c>
      <c r="H18" s="691">
        <v>30</v>
      </c>
      <c r="I18" s="132">
        <f t="shared" si="6"/>
        <v>2369.44</v>
      </c>
      <c r="L18" s="949">
        <f t="shared" si="4"/>
        <v>94</v>
      </c>
      <c r="M18" s="945"/>
      <c r="N18" s="743"/>
      <c r="O18" s="946"/>
      <c r="P18" s="743">
        <f t="shared" si="1"/>
        <v>0</v>
      </c>
      <c r="Q18" s="947"/>
      <c r="R18" s="948"/>
      <c r="S18" s="700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692">
        <v>44856</v>
      </c>
      <c r="F19" s="338">
        <f t="shared" si="0"/>
        <v>178.63</v>
      </c>
      <c r="G19" s="679" t="s">
        <v>208</v>
      </c>
      <c r="H19" s="691">
        <v>30</v>
      </c>
      <c r="I19" s="132">
        <f t="shared" si="6"/>
        <v>2190.81</v>
      </c>
      <c r="L19" s="949">
        <f t="shared" si="4"/>
        <v>94</v>
      </c>
      <c r="M19" s="945"/>
      <c r="N19" s="743"/>
      <c r="O19" s="946"/>
      <c r="P19" s="743">
        <f t="shared" si="1"/>
        <v>0</v>
      </c>
      <c r="Q19" s="947"/>
      <c r="R19" s="948"/>
      <c r="S19" s="700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692">
        <v>44858</v>
      </c>
      <c r="F20" s="338">
        <f t="shared" si="0"/>
        <v>61</v>
      </c>
      <c r="G20" s="679" t="s">
        <v>209</v>
      </c>
      <c r="H20" s="691">
        <v>30</v>
      </c>
      <c r="I20" s="132">
        <f t="shared" si="6"/>
        <v>2129.81</v>
      </c>
      <c r="L20" s="949">
        <f t="shared" si="4"/>
        <v>94</v>
      </c>
      <c r="M20" s="945"/>
      <c r="N20" s="743"/>
      <c r="O20" s="946"/>
      <c r="P20" s="743">
        <f t="shared" si="1"/>
        <v>0</v>
      </c>
      <c r="Q20" s="947"/>
      <c r="R20" s="948"/>
      <c r="S20" s="700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79" t="s">
        <v>210</v>
      </c>
      <c r="H21" s="691">
        <v>30</v>
      </c>
      <c r="I21" s="132">
        <f t="shared" si="6"/>
        <v>1915.57</v>
      </c>
      <c r="L21" s="949">
        <f t="shared" si="4"/>
        <v>94</v>
      </c>
      <c r="M21" s="945"/>
      <c r="N21" s="743"/>
      <c r="O21" s="950"/>
      <c r="P21" s="743">
        <f t="shared" si="1"/>
        <v>0</v>
      </c>
      <c r="Q21" s="947"/>
      <c r="R21" s="948"/>
      <c r="S21" s="700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79" t="s">
        <v>211</v>
      </c>
      <c r="H22" s="691">
        <v>30</v>
      </c>
      <c r="I22" s="132">
        <f t="shared" si="6"/>
        <v>1885.46</v>
      </c>
      <c r="L22" s="949">
        <f t="shared" si="4"/>
        <v>94</v>
      </c>
      <c r="M22" s="945"/>
      <c r="N22" s="743"/>
      <c r="O22" s="950"/>
      <c r="P22" s="743">
        <f t="shared" si="1"/>
        <v>0</v>
      </c>
      <c r="Q22" s="947"/>
      <c r="R22" s="948"/>
      <c r="S22" s="700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79" t="s">
        <v>212</v>
      </c>
      <c r="H23" s="691">
        <v>30</v>
      </c>
      <c r="I23" s="132">
        <f t="shared" si="6"/>
        <v>1674.75</v>
      </c>
      <c r="L23" s="949">
        <f t="shared" si="4"/>
        <v>94</v>
      </c>
      <c r="M23" s="945"/>
      <c r="N23" s="743"/>
      <c r="O23" s="950"/>
      <c r="P23" s="743">
        <f t="shared" si="1"/>
        <v>0</v>
      </c>
      <c r="Q23" s="947"/>
      <c r="R23" s="948"/>
      <c r="S23" s="700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79" t="s">
        <v>215</v>
      </c>
      <c r="H24" s="691">
        <v>30</v>
      </c>
      <c r="I24" s="132">
        <f t="shared" si="6"/>
        <v>1642.76</v>
      </c>
      <c r="L24" s="949">
        <f t="shared" si="4"/>
        <v>94</v>
      </c>
      <c r="M24" s="945"/>
      <c r="N24" s="743"/>
      <c r="O24" s="950"/>
      <c r="P24" s="743">
        <f t="shared" si="1"/>
        <v>0</v>
      </c>
      <c r="Q24" s="947"/>
      <c r="R24" s="948"/>
      <c r="S24" s="700">
        <f t="shared" si="7"/>
        <v>2810.63</v>
      </c>
    </row>
    <row r="25" spans="1:19" ht="15.75" x14ac:dyDescent="0.25">
      <c r="A25" s="973" t="s">
        <v>318</v>
      </c>
      <c r="B25" s="842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79" t="s">
        <v>216</v>
      </c>
      <c r="H25" s="691">
        <v>30</v>
      </c>
      <c r="I25" s="836">
        <f t="shared" si="6"/>
        <v>1426</v>
      </c>
      <c r="L25" s="949">
        <f t="shared" si="4"/>
        <v>94</v>
      </c>
      <c r="M25" s="945"/>
      <c r="N25" s="743"/>
      <c r="O25" s="950"/>
      <c r="P25" s="743">
        <f t="shared" si="1"/>
        <v>0</v>
      </c>
      <c r="Q25" s="947"/>
      <c r="R25" s="948"/>
      <c r="S25" s="700">
        <f t="shared" si="7"/>
        <v>2810.63</v>
      </c>
    </row>
    <row r="26" spans="1:19" x14ac:dyDescent="0.25">
      <c r="B26" s="842">
        <f t="shared" si="2"/>
        <v>37</v>
      </c>
      <c r="C26" s="337">
        <v>8</v>
      </c>
      <c r="D26" s="955">
        <v>210.23</v>
      </c>
      <c r="E26" s="956">
        <v>44865</v>
      </c>
      <c r="F26" s="955">
        <f t="shared" si="0"/>
        <v>210.23</v>
      </c>
      <c r="G26" s="957" t="s">
        <v>234</v>
      </c>
      <c r="H26" s="958">
        <v>30</v>
      </c>
      <c r="I26" s="836">
        <f t="shared" si="6"/>
        <v>1215.77</v>
      </c>
      <c r="L26" s="949">
        <f t="shared" si="4"/>
        <v>94</v>
      </c>
      <c r="M26" s="945"/>
      <c r="N26" s="743"/>
      <c r="O26" s="950"/>
      <c r="P26" s="743">
        <f t="shared" si="1"/>
        <v>0</v>
      </c>
      <c r="Q26" s="947"/>
      <c r="R26" s="948"/>
      <c r="S26" s="700">
        <f t="shared" si="7"/>
        <v>2810.63</v>
      </c>
    </row>
    <row r="27" spans="1:19" x14ac:dyDescent="0.25">
      <c r="B27" s="348">
        <f t="shared" si="2"/>
        <v>37</v>
      </c>
      <c r="C27" s="337"/>
      <c r="D27" s="1025"/>
      <c r="E27" s="1026"/>
      <c r="F27" s="1025">
        <f t="shared" si="0"/>
        <v>0</v>
      </c>
      <c r="G27" s="1027"/>
      <c r="H27" s="1028"/>
      <c r="I27" s="132">
        <f t="shared" si="6"/>
        <v>1215.77</v>
      </c>
      <c r="L27" s="949">
        <f t="shared" si="4"/>
        <v>94</v>
      </c>
      <c r="M27" s="945"/>
      <c r="N27" s="743"/>
      <c r="O27" s="950"/>
      <c r="P27" s="743">
        <f t="shared" si="1"/>
        <v>0</v>
      </c>
      <c r="Q27" s="947"/>
      <c r="R27" s="948"/>
      <c r="S27" s="700">
        <f t="shared" si="7"/>
        <v>2810.63</v>
      </c>
    </row>
    <row r="28" spans="1:19" x14ac:dyDescent="0.25">
      <c r="B28" s="348">
        <f t="shared" si="2"/>
        <v>37</v>
      </c>
      <c r="C28" s="337"/>
      <c r="D28" s="1025"/>
      <c r="E28" s="1026"/>
      <c r="F28" s="1025">
        <f t="shared" si="0"/>
        <v>0</v>
      </c>
      <c r="G28" s="1027"/>
      <c r="H28" s="1028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79"/>
      <c r="R28" s="691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25"/>
      <c r="E29" s="1026"/>
      <c r="F29" s="1025">
        <f t="shared" si="0"/>
        <v>0</v>
      </c>
      <c r="G29" s="1027"/>
      <c r="H29" s="1028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79"/>
      <c r="R29" s="691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25"/>
      <c r="E30" s="1026"/>
      <c r="F30" s="1025">
        <f t="shared" si="0"/>
        <v>0</v>
      </c>
      <c r="G30" s="1027"/>
      <c r="H30" s="1028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79"/>
      <c r="R30" s="691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25"/>
      <c r="E31" s="1029"/>
      <c r="F31" s="1025">
        <f t="shared" si="0"/>
        <v>0</v>
      </c>
      <c r="G31" s="1027"/>
      <c r="H31" s="1028"/>
      <c r="I31" s="132">
        <f t="shared" si="6"/>
        <v>1215.77</v>
      </c>
      <c r="L31" s="348">
        <f t="shared" si="4"/>
        <v>94</v>
      </c>
      <c r="M31" s="337"/>
      <c r="N31" s="338"/>
      <c r="O31" s="692"/>
      <c r="P31" s="338">
        <f t="shared" si="1"/>
        <v>0</v>
      </c>
      <c r="Q31" s="679"/>
      <c r="R31" s="691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25"/>
      <c r="E32" s="1029"/>
      <c r="F32" s="1025">
        <f t="shared" si="0"/>
        <v>0</v>
      </c>
      <c r="G32" s="1027"/>
      <c r="H32" s="1028"/>
      <c r="I32" s="132">
        <f t="shared" si="6"/>
        <v>1215.77</v>
      </c>
      <c r="L32" s="348">
        <f t="shared" si="4"/>
        <v>94</v>
      </c>
      <c r="M32" s="337"/>
      <c r="N32" s="338"/>
      <c r="O32" s="692"/>
      <c r="P32" s="338">
        <f t="shared" si="1"/>
        <v>0</v>
      </c>
      <c r="Q32" s="679"/>
      <c r="R32" s="691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25"/>
      <c r="E33" s="1029"/>
      <c r="F33" s="1025">
        <f t="shared" si="0"/>
        <v>0</v>
      </c>
      <c r="G33" s="1027"/>
      <c r="H33" s="1028"/>
      <c r="I33" s="132">
        <f t="shared" si="6"/>
        <v>1215.77</v>
      </c>
      <c r="L33" s="348">
        <f t="shared" si="4"/>
        <v>94</v>
      </c>
      <c r="M33" s="337"/>
      <c r="N33" s="338"/>
      <c r="O33" s="692"/>
      <c r="P33" s="338">
        <f t="shared" si="1"/>
        <v>0</v>
      </c>
      <c r="Q33" s="679"/>
      <c r="R33" s="691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25"/>
      <c r="E34" s="1029"/>
      <c r="F34" s="1025">
        <f t="shared" si="0"/>
        <v>0</v>
      </c>
      <c r="G34" s="1027"/>
      <c r="H34" s="1028"/>
      <c r="I34" s="132">
        <f t="shared" si="6"/>
        <v>1215.77</v>
      </c>
      <c r="L34" s="348">
        <f t="shared" si="4"/>
        <v>94</v>
      </c>
      <c r="M34" s="337"/>
      <c r="N34" s="338"/>
      <c r="O34" s="692"/>
      <c r="P34" s="338">
        <f t="shared" si="1"/>
        <v>0</v>
      </c>
      <c r="Q34" s="679"/>
      <c r="R34" s="691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25"/>
      <c r="E35" s="1029"/>
      <c r="F35" s="1025">
        <f t="shared" si="0"/>
        <v>0</v>
      </c>
      <c r="G35" s="1027"/>
      <c r="H35" s="1028"/>
      <c r="I35" s="132">
        <f t="shared" si="6"/>
        <v>1215.77</v>
      </c>
      <c r="L35" s="348">
        <f t="shared" si="4"/>
        <v>94</v>
      </c>
      <c r="M35" s="337"/>
      <c r="N35" s="338"/>
      <c r="O35" s="692"/>
      <c r="P35" s="338">
        <f t="shared" si="1"/>
        <v>0</v>
      </c>
      <c r="Q35" s="679"/>
      <c r="R35" s="691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25"/>
      <c r="E36" s="1029"/>
      <c r="F36" s="1025">
        <f t="shared" si="0"/>
        <v>0</v>
      </c>
      <c r="G36" s="1027"/>
      <c r="H36" s="1028"/>
      <c r="I36" s="132">
        <f t="shared" si="6"/>
        <v>1215.77</v>
      </c>
      <c r="L36" s="348">
        <f t="shared" si="4"/>
        <v>94</v>
      </c>
      <c r="M36" s="337"/>
      <c r="N36" s="338"/>
      <c r="O36" s="692"/>
      <c r="P36" s="338">
        <f t="shared" si="1"/>
        <v>0</v>
      </c>
      <c r="Q36" s="679"/>
      <c r="R36" s="691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25"/>
      <c r="E37" s="1029"/>
      <c r="F37" s="1025">
        <f t="shared" si="0"/>
        <v>0</v>
      </c>
      <c r="G37" s="1027"/>
      <c r="H37" s="1028"/>
      <c r="I37" s="132">
        <f t="shared" si="6"/>
        <v>1215.77</v>
      </c>
      <c r="L37" s="348">
        <f t="shared" si="4"/>
        <v>94</v>
      </c>
      <c r="M37" s="337"/>
      <c r="N37" s="338"/>
      <c r="O37" s="692"/>
      <c r="P37" s="338">
        <f t="shared" si="1"/>
        <v>0</v>
      </c>
      <c r="Q37" s="679"/>
      <c r="R37" s="691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25"/>
      <c r="E38" s="1029"/>
      <c r="F38" s="1025">
        <f t="shared" si="0"/>
        <v>0</v>
      </c>
      <c r="G38" s="1027"/>
      <c r="H38" s="1028"/>
      <c r="I38" s="132">
        <f t="shared" si="6"/>
        <v>1215.77</v>
      </c>
      <c r="L38" s="348">
        <f t="shared" si="4"/>
        <v>94</v>
      </c>
      <c r="M38" s="337"/>
      <c r="N38" s="338"/>
      <c r="O38" s="692"/>
      <c r="P38" s="338">
        <f t="shared" si="1"/>
        <v>0</v>
      </c>
      <c r="Q38" s="679"/>
      <c r="R38" s="691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25"/>
      <c r="E39" s="1029"/>
      <c r="F39" s="1025">
        <f t="shared" si="0"/>
        <v>0</v>
      </c>
      <c r="G39" s="1027"/>
      <c r="H39" s="1028"/>
      <c r="I39" s="132">
        <f t="shared" si="6"/>
        <v>1215.77</v>
      </c>
      <c r="L39" s="348">
        <f t="shared" si="4"/>
        <v>94</v>
      </c>
      <c r="M39" s="337"/>
      <c r="N39" s="338"/>
      <c r="O39" s="692"/>
      <c r="P39" s="338">
        <f t="shared" si="1"/>
        <v>0</v>
      </c>
      <c r="Q39" s="679"/>
      <c r="R39" s="691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955"/>
      <c r="E40" s="959"/>
      <c r="F40" s="955">
        <f t="shared" si="0"/>
        <v>0</v>
      </c>
      <c r="G40" s="957"/>
      <c r="H40" s="958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692"/>
      <c r="P40" s="338">
        <f t="shared" si="1"/>
        <v>0</v>
      </c>
      <c r="Q40" s="679"/>
      <c r="R40" s="691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955"/>
      <c r="E41" s="959"/>
      <c r="F41" s="955">
        <f t="shared" si="0"/>
        <v>0</v>
      </c>
      <c r="G41" s="957"/>
      <c r="H41" s="958"/>
      <c r="I41" s="132">
        <f t="shared" si="6"/>
        <v>1215.77</v>
      </c>
      <c r="L41" s="348">
        <f t="shared" si="4"/>
        <v>94</v>
      </c>
      <c r="M41" s="337"/>
      <c r="N41" s="338"/>
      <c r="O41" s="692"/>
      <c r="P41" s="338">
        <f t="shared" si="1"/>
        <v>0</v>
      </c>
      <c r="Q41" s="679"/>
      <c r="R41" s="691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955"/>
      <c r="E42" s="959"/>
      <c r="F42" s="955">
        <f t="shared" si="0"/>
        <v>0</v>
      </c>
      <c r="G42" s="957"/>
      <c r="H42" s="958"/>
      <c r="I42" s="132">
        <f t="shared" si="6"/>
        <v>1215.77</v>
      </c>
      <c r="L42" s="348">
        <f t="shared" si="4"/>
        <v>94</v>
      </c>
      <c r="M42" s="337"/>
      <c r="N42" s="338"/>
      <c r="O42" s="692"/>
      <c r="P42" s="338">
        <f t="shared" si="1"/>
        <v>0</v>
      </c>
      <c r="Q42" s="679"/>
      <c r="R42" s="691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955"/>
      <c r="E43" s="959"/>
      <c r="F43" s="955">
        <f t="shared" si="0"/>
        <v>0</v>
      </c>
      <c r="G43" s="957"/>
      <c r="H43" s="958"/>
      <c r="I43" s="132">
        <f t="shared" si="6"/>
        <v>1215.77</v>
      </c>
      <c r="L43" s="348">
        <f t="shared" si="4"/>
        <v>94</v>
      </c>
      <c r="M43" s="337"/>
      <c r="N43" s="338"/>
      <c r="O43" s="692"/>
      <c r="P43" s="338">
        <f t="shared" si="1"/>
        <v>0</v>
      </c>
      <c r="Q43" s="679"/>
      <c r="R43" s="691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955"/>
      <c r="E44" s="959"/>
      <c r="F44" s="955">
        <f t="shared" si="0"/>
        <v>0</v>
      </c>
      <c r="G44" s="957"/>
      <c r="H44" s="958"/>
      <c r="I44" s="132">
        <f t="shared" si="6"/>
        <v>1215.77</v>
      </c>
      <c r="L44" s="348">
        <f t="shared" si="4"/>
        <v>94</v>
      </c>
      <c r="M44" s="337"/>
      <c r="N44" s="338"/>
      <c r="O44" s="692"/>
      <c r="P44" s="338">
        <f t="shared" si="1"/>
        <v>0</v>
      </c>
      <c r="Q44" s="679"/>
      <c r="R44" s="691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955"/>
      <c r="E45" s="959"/>
      <c r="F45" s="955">
        <f t="shared" si="0"/>
        <v>0</v>
      </c>
      <c r="G45" s="957"/>
      <c r="H45" s="958"/>
      <c r="I45" s="132">
        <f t="shared" si="6"/>
        <v>1215.77</v>
      </c>
      <c r="L45" s="348">
        <f t="shared" si="4"/>
        <v>94</v>
      </c>
      <c r="M45" s="337"/>
      <c r="N45" s="338"/>
      <c r="O45" s="692"/>
      <c r="P45" s="338">
        <f t="shared" si="1"/>
        <v>0</v>
      </c>
      <c r="Q45" s="679"/>
      <c r="R45" s="691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955"/>
      <c r="E46" s="959"/>
      <c r="F46" s="955">
        <f t="shared" si="0"/>
        <v>0</v>
      </c>
      <c r="G46" s="957"/>
      <c r="H46" s="958"/>
      <c r="I46" s="132">
        <f t="shared" si="6"/>
        <v>1215.77</v>
      </c>
      <c r="L46" s="348">
        <f t="shared" si="4"/>
        <v>94</v>
      </c>
      <c r="M46" s="337"/>
      <c r="N46" s="338"/>
      <c r="O46" s="692"/>
      <c r="P46" s="338">
        <f t="shared" si="1"/>
        <v>0</v>
      </c>
      <c r="Q46" s="679"/>
      <c r="R46" s="691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955"/>
      <c r="E47" s="959"/>
      <c r="F47" s="955">
        <f t="shared" si="0"/>
        <v>0</v>
      </c>
      <c r="G47" s="957"/>
      <c r="H47" s="958"/>
      <c r="I47" s="132">
        <f t="shared" si="6"/>
        <v>1215.77</v>
      </c>
      <c r="L47" s="348">
        <f t="shared" si="4"/>
        <v>94</v>
      </c>
      <c r="M47" s="337"/>
      <c r="N47" s="338"/>
      <c r="O47" s="692"/>
      <c r="P47" s="338">
        <f t="shared" si="1"/>
        <v>0</v>
      </c>
      <c r="Q47" s="679"/>
      <c r="R47" s="691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955"/>
      <c r="E48" s="959"/>
      <c r="F48" s="955">
        <f t="shared" si="0"/>
        <v>0</v>
      </c>
      <c r="G48" s="957"/>
      <c r="H48" s="958"/>
      <c r="I48" s="132">
        <f t="shared" si="6"/>
        <v>1215.77</v>
      </c>
      <c r="L48" s="348">
        <f t="shared" si="4"/>
        <v>94</v>
      </c>
      <c r="M48" s="337"/>
      <c r="N48" s="338"/>
      <c r="O48" s="692"/>
      <c r="P48" s="338">
        <f t="shared" si="1"/>
        <v>0</v>
      </c>
      <c r="Q48" s="679"/>
      <c r="R48" s="691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955"/>
      <c r="E49" s="959"/>
      <c r="F49" s="955">
        <f t="shared" si="0"/>
        <v>0</v>
      </c>
      <c r="G49" s="957"/>
      <c r="H49" s="958"/>
      <c r="I49" s="132">
        <f t="shared" si="6"/>
        <v>1215.77</v>
      </c>
      <c r="L49" s="348">
        <f t="shared" si="4"/>
        <v>94</v>
      </c>
      <c r="M49" s="337"/>
      <c r="N49" s="338"/>
      <c r="O49" s="692"/>
      <c r="P49" s="338">
        <f t="shared" si="1"/>
        <v>0</v>
      </c>
      <c r="Q49" s="679"/>
      <c r="R49" s="691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955"/>
      <c r="E50" s="959"/>
      <c r="F50" s="955">
        <f t="shared" si="0"/>
        <v>0</v>
      </c>
      <c r="G50" s="957"/>
      <c r="H50" s="958"/>
      <c r="I50" s="132">
        <f t="shared" si="6"/>
        <v>1215.77</v>
      </c>
      <c r="L50" s="348">
        <f t="shared" si="4"/>
        <v>94</v>
      </c>
      <c r="M50" s="337"/>
      <c r="N50" s="338"/>
      <c r="O50" s="692"/>
      <c r="P50" s="338">
        <f t="shared" si="1"/>
        <v>0</v>
      </c>
      <c r="Q50" s="679"/>
      <c r="R50" s="691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955"/>
      <c r="E51" s="959"/>
      <c r="F51" s="955">
        <f t="shared" si="0"/>
        <v>0</v>
      </c>
      <c r="G51" s="957"/>
      <c r="H51" s="958"/>
      <c r="I51" s="132">
        <f t="shared" si="6"/>
        <v>1215.77</v>
      </c>
      <c r="L51" s="348">
        <f t="shared" si="4"/>
        <v>94</v>
      </c>
      <c r="M51" s="337"/>
      <c r="N51" s="338"/>
      <c r="O51" s="692"/>
      <c r="P51" s="338">
        <f t="shared" si="1"/>
        <v>0</v>
      </c>
      <c r="Q51" s="679"/>
      <c r="R51" s="691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955"/>
      <c r="E52" s="959"/>
      <c r="F52" s="955">
        <f t="shared" si="0"/>
        <v>0</v>
      </c>
      <c r="G52" s="957"/>
      <c r="H52" s="958"/>
      <c r="I52" s="132">
        <f t="shared" si="6"/>
        <v>1215.77</v>
      </c>
      <c r="L52" s="348">
        <f t="shared" si="4"/>
        <v>94</v>
      </c>
      <c r="M52" s="337"/>
      <c r="N52" s="338"/>
      <c r="O52" s="692"/>
      <c r="P52" s="338">
        <f t="shared" si="1"/>
        <v>0</v>
      </c>
      <c r="Q52" s="679"/>
      <c r="R52" s="691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955"/>
      <c r="E53" s="959"/>
      <c r="F53" s="955">
        <f t="shared" si="0"/>
        <v>0</v>
      </c>
      <c r="G53" s="957"/>
      <c r="H53" s="958"/>
      <c r="I53" s="132">
        <f t="shared" si="6"/>
        <v>1215.77</v>
      </c>
      <c r="L53" s="348">
        <f t="shared" si="4"/>
        <v>94</v>
      </c>
      <c r="M53" s="337"/>
      <c r="N53" s="338"/>
      <c r="O53" s="692"/>
      <c r="P53" s="338">
        <f t="shared" si="1"/>
        <v>0</v>
      </c>
      <c r="Q53" s="679"/>
      <c r="R53" s="691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692"/>
      <c r="F54" s="338">
        <f t="shared" si="0"/>
        <v>0</v>
      </c>
      <c r="G54" s="679"/>
      <c r="H54" s="691"/>
      <c r="I54" s="132">
        <f t="shared" si="6"/>
        <v>1215.77</v>
      </c>
      <c r="L54" s="348">
        <f t="shared" si="4"/>
        <v>94</v>
      </c>
      <c r="M54" s="337"/>
      <c r="N54" s="338"/>
      <c r="O54" s="692"/>
      <c r="P54" s="338">
        <f t="shared" si="1"/>
        <v>0</v>
      </c>
      <c r="Q54" s="679"/>
      <c r="R54" s="691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692"/>
      <c r="F55" s="338">
        <f t="shared" si="0"/>
        <v>0</v>
      </c>
      <c r="G55" s="679"/>
      <c r="H55" s="691"/>
      <c r="I55" s="132">
        <f t="shared" si="6"/>
        <v>1215.77</v>
      </c>
      <c r="L55" s="348">
        <f t="shared" si="4"/>
        <v>94</v>
      </c>
      <c r="M55" s="337"/>
      <c r="N55" s="338"/>
      <c r="O55" s="692"/>
      <c r="P55" s="338">
        <f t="shared" si="1"/>
        <v>0</v>
      </c>
      <c r="Q55" s="679"/>
      <c r="R55" s="691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692"/>
      <c r="F56" s="338">
        <f t="shared" si="0"/>
        <v>0</v>
      </c>
      <c r="G56" s="679"/>
      <c r="H56" s="691"/>
      <c r="I56" s="132">
        <f t="shared" si="6"/>
        <v>1215.77</v>
      </c>
      <c r="L56" s="348">
        <f t="shared" si="4"/>
        <v>94</v>
      </c>
      <c r="M56" s="337"/>
      <c r="N56" s="338"/>
      <c r="O56" s="692"/>
      <c r="P56" s="338">
        <f t="shared" si="1"/>
        <v>0</v>
      </c>
      <c r="Q56" s="679"/>
      <c r="R56" s="691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692"/>
      <c r="F57" s="338">
        <f t="shared" si="0"/>
        <v>0</v>
      </c>
      <c r="G57" s="679"/>
      <c r="H57" s="691"/>
      <c r="I57" s="132">
        <f t="shared" si="6"/>
        <v>1215.77</v>
      </c>
      <c r="L57" s="348">
        <f t="shared" si="4"/>
        <v>94</v>
      </c>
      <c r="M57" s="337"/>
      <c r="N57" s="338"/>
      <c r="O57" s="692"/>
      <c r="P57" s="338">
        <f t="shared" si="1"/>
        <v>0</v>
      </c>
      <c r="Q57" s="679"/>
      <c r="R57" s="691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89"/>
      <c r="F58" s="338"/>
      <c r="G58" s="679"/>
      <c r="H58" s="691"/>
      <c r="I58" s="132">
        <f t="shared" si="6"/>
        <v>1215.77</v>
      </c>
      <c r="L58" s="348">
        <f t="shared" si="4"/>
        <v>94</v>
      </c>
      <c r="M58" s="337"/>
      <c r="N58" s="338"/>
      <c r="O58" s="489"/>
      <c r="P58" s="338"/>
      <c r="Q58" s="679"/>
      <c r="R58" s="691"/>
      <c r="S58" s="132">
        <f t="shared" si="7"/>
        <v>2810.63</v>
      </c>
    </row>
    <row r="59" spans="1:19" x14ac:dyDescent="0.25">
      <c r="B59" s="348"/>
      <c r="C59" s="337"/>
      <c r="D59" s="338"/>
      <c r="E59" s="489"/>
      <c r="F59" s="338"/>
      <c r="G59" s="693"/>
      <c r="H59" s="489"/>
      <c r="I59" s="132"/>
      <c r="L59" s="348"/>
      <c r="M59" s="337"/>
      <c r="N59" s="338"/>
      <c r="O59" s="489"/>
      <c r="P59" s="338"/>
      <c r="Q59" s="693"/>
      <c r="R59" s="489"/>
      <c r="S59" s="132"/>
    </row>
    <row r="60" spans="1:19" x14ac:dyDescent="0.25">
      <c r="B60" s="348"/>
      <c r="C60" s="337"/>
      <c r="D60" s="338"/>
      <c r="E60" s="489"/>
      <c r="F60" s="338"/>
      <c r="G60" s="693"/>
      <c r="H60" s="489"/>
      <c r="I60" s="132"/>
      <c r="L60" s="348"/>
      <c r="M60" s="337"/>
      <c r="N60" s="338"/>
      <c r="O60" s="489"/>
      <c r="P60" s="338"/>
      <c r="Q60" s="693"/>
      <c r="R60" s="489"/>
      <c r="S60" s="132"/>
    </row>
    <row r="61" spans="1:19" ht="15.75" thickBot="1" x14ac:dyDescent="0.3">
      <c r="B61" s="74"/>
      <c r="C61" s="339"/>
      <c r="D61" s="548"/>
      <c r="E61" s="346"/>
      <c r="F61" s="345"/>
      <c r="G61" s="347"/>
      <c r="H61" s="488"/>
      <c r="I61" s="280"/>
      <c r="L61" s="74"/>
      <c r="M61" s="339"/>
      <c r="N61" s="548"/>
      <c r="O61" s="346"/>
      <c r="P61" s="345"/>
      <c r="Q61" s="347"/>
      <c r="R61" s="488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07"/>
      <c r="D63" s="706"/>
      <c r="E63" s="706"/>
      <c r="F63" s="708"/>
      <c r="G63" s="75"/>
      <c r="H63" s="75"/>
      <c r="K63" s="75"/>
      <c r="L63" s="75"/>
      <c r="M63" s="707"/>
      <c r="N63" s="706"/>
      <c r="O63" s="706"/>
      <c r="P63" s="708"/>
      <c r="Q63" s="75"/>
      <c r="R63" s="75"/>
    </row>
    <row r="64" spans="1:19" ht="15.75" thickBot="1" x14ac:dyDescent="0.3">
      <c r="A64" s="75"/>
      <c r="B64" s="75"/>
      <c r="C64" s="707"/>
      <c r="D64" s="706"/>
      <c r="E64" s="706"/>
      <c r="F64" s="706"/>
      <c r="G64" s="75"/>
      <c r="H64" s="75"/>
      <c r="K64" s="75"/>
      <c r="L64" s="75"/>
      <c r="M64" s="707"/>
      <c r="N64" s="706"/>
      <c r="O64" s="706"/>
      <c r="P64" s="706"/>
      <c r="Q64" s="75"/>
      <c r="R64" s="75"/>
    </row>
    <row r="65" spans="1:18" ht="29.25" customHeight="1" x14ac:dyDescent="0.25">
      <c r="A65" s="75"/>
      <c r="B65" s="75"/>
      <c r="C65" s="75"/>
      <c r="D65" s="709" t="s">
        <v>21</v>
      </c>
      <c r="E65" s="710"/>
      <c r="F65" s="711">
        <f>E4+E5+E6+E7+E8-F62</f>
        <v>1215.7700000000002</v>
      </c>
      <c r="G65" s="75"/>
      <c r="H65" s="75"/>
      <c r="K65" s="75"/>
      <c r="L65" s="75"/>
      <c r="M65" s="75"/>
      <c r="N65" s="709" t="s">
        <v>21</v>
      </c>
      <c r="O65" s="710"/>
      <c r="P65" s="711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12" t="s">
        <v>4</v>
      </c>
      <c r="E66" s="713"/>
      <c r="F66" s="714">
        <f>F4+F5+F6+F7+F8-C62</f>
        <v>37</v>
      </c>
      <c r="G66" s="75"/>
      <c r="H66" s="75"/>
      <c r="K66" s="75"/>
      <c r="L66" s="75"/>
      <c r="M66" s="75"/>
      <c r="N66" s="712" t="s">
        <v>4</v>
      </c>
      <c r="O66" s="713"/>
      <c r="P66" s="714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S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9" t="s">
        <v>334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DEL MES DE NOVIEMBRE 2022</v>
      </c>
      <c r="L1" s="1199"/>
      <c r="M1" s="1199"/>
      <c r="N1" s="1199"/>
      <c r="O1" s="1199"/>
      <c r="P1" s="1199"/>
      <c r="Q1" s="1199"/>
      <c r="R1" s="11">
        <v>2</v>
      </c>
      <c r="U1" s="1203" t="s">
        <v>340</v>
      </c>
      <c r="V1" s="1203"/>
      <c r="W1" s="1203"/>
      <c r="X1" s="1203"/>
      <c r="Y1" s="1203"/>
      <c r="Z1" s="1203"/>
      <c r="AA1" s="120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81" t="s">
        <v>120</v>
      </c>
      <c r="C4" s="102"/>
      <c r="D4" s="135"/>
      <c r="E4" s="962">
        <v>811.01</v>
      </c>
      <c r="F4" s="62">
        <v>28</v>
      </c>
      <c r="G4" s="818"/>
      <c r="L4" s="1281" t="s">
        <v>120</v>
      </c>
      <c r="M4" s="102"/>
      <c r="N4" s="135"/>
      <c r="O4" s="86"/>
      <c r="P4" s="73"/>
      <c r="Q4" s="943"/>
      <c r="V4" s="1281" t="s">
        <v>120</v>
      </c>
      <c r="W4" s="102"/>
      <c r="X4" s="135"/>
      <c r="Y4" s="86"/>
      <c r="Z4" s="73"/>
      <c r="AA4" s="1079"/>
    </row>
    <row r="5" spans="1:29" x14ac:dyDescent="0.25">
      <c r="A5" s="75" t="s">
        <v>52</v>
      </c>
      <c r="B5" s="1282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1226.3400000000001</v>
      </c>
      <c r="H5" s="138">
        <f>E5-G5+E6</f>
        <v>799.01999999999975</v>
      </c>
      <c r="K5" s="75" t="s">
        <v>52</v>
      </c>
      <c r="L5" s="1282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0</v>
      </c>
      <c r="R5" s="138">
        <f>O5-Q5+O6</f>
        <v>2081.2600000000002</v>
      </c>
      <c r="U5" s="75" t="s">
        <v>52</v>
      </c>
      <c r="V5" s="1282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40" t="s">
        <v>7</v>
      </c>
      <c r="C7" s="641" t="s">
        <v>8</v>
      </c>
      <c r="D7" s="642" t="s">
        <v>17</v>
      </c>
      <c r="E7" s="643" t="s">
        <v>2</v>
      </c>
      <c r="F7" s="644" t="s">
        <v>18</v>
      </c>
      <c r="G7" s="645" t="s">
        <v>15</v>
      </c>
      <c r="H7" s="24"/>
      <c r="L7" s="640" t="s">
        <v>7</v>
      </c>
      <c r="M7" s="641" t="s">
        <v>8</v>
      </c>
      <c r="N7" s="642" t="s">
        <v>17</v>
      </c>
      <c r="O7" s="643" t="s">
        <v>2</v>
      </c>
      <c r="P7" s="644" t="s">
        <v>18</v>
      </c>
      <c r="Q7" s="645" t="s">
        <v>15</v>
      </c>
      <c r="R7" s="24"/>
      <c r="V7" s="640" t="s">
        <v>7</v>
      </c>
      <c r="W7" s="641" t="s">
        <v>8</v>
      </c>
      <c r="X7" s="642" t="s">
        <v>17</v>
      </c>
      <c r="Y7" s="643" t="s">
        <v>2</v>
      </c>
      <c r="Z7" s="644" t="s">
        <v>18</v>
      </c>
      <c r="AA7" s="645" t="s">
        <v>15</v>
      </c>
      <c r="AB7" s="24"/>
    </row>
    <row r="8" spans="1:29" ht="15.75" thickTop="1" x14ac:dyDescent="0.25">
      <c r="A8" s="55"/>
      <c r="B8" s="857">
        <f>F4+F5+F6-C8</f>
        <v>62</v>
      </c>
      <c r="C8" s="622">
        <v>36</v>
      </c>
      <c r="D8" s="628">
        <v>988.57</v>
      </c>
      <c r="E8" s="687">
        <v>44874</v>
      </c>
      <c r="F8" s="518">
        <f>D8</f>
        <v>988.57</v>
      </c>
      <c r="G8" s="519" t="s">
        <v>254</v>
      </c>
      <c r="H8" s="223">
        <v>92</v>
      </c>
      <c r="I8" s="836">
        <f>E4+E5+E6-F8</f>
        <v>1847.7999999999997</v>
      </c>
      <c r="K8" s="55"/>
      <c r="L8" s="857">
        <f>P4+P5+P6-M8</f>
        <v>80</v>
      </c>
      <c r="M8" s="622"/>
      <c r="N8" s="628"/>
      <c r="O8" s="687"/>
      <c r="P8" s="518">
        <f>N8</f>
        <v>0</v>
      </c>
      <c r="Q8" s="519"/>
      <c r="R8" s="223"/>
      <c r="S8" s="836">
        <f>O4+O5+O6-P8</f>
        <v>2081.2600000000002</v>
      </c>
      <c r="U8" s="55"/>
      <c r="V8" s="857">
        <f>Z4+Z5+Z6-W8</f>
        <v>120</v>
      </c>
      <c r="W8" s="622"/>
      <c r="X8" s="628"/>
      <c r="Y8" s="687"/>
      <c r="Z8" s="518">
        <f>X8</f>
        <v>0</v>
      </c>
      <c r="AA8" s="519"/>
      <c r="AB8" s="223"/>
      <c r="AC8" s="836">
        <f>Y4+Y5+Y6-Z8</f>
        <v>2835.98</v>
      </c>
    </row>
    <row r="9" spans="1:29" x14ac:dyDescent="0.25">
      <c r="A9" s="75"/>
      <c r="B9" s="417">
        <f>B8-C9</f>
        <v>59</v>
      </c>
      <c r="C9" s="623">
        <v>3</v>
      </c>
      <c r="D9" s="540">
        <v>92.86</v>
      </c>
      <c r="E9" s="687">
        <v>44876</v>
      </c>
      <c r="F9" s="518">
        <f>D9</f>
        <v>92.86</v>
      </c>
      <c r="G9" s="545" t="s">
        <v>263</v>
      </c>
      <c r="H9" s="688">
        <v>92</v>
      </c>
      <c r="I9" s="132">
        <f>I8-F9</f>
        <v>1754.9399999999998</v>
      </c>
      <c r="K9" s="75"/>
      <c r="L9" s="417">
        <f>L8-M9</f>
        <v>80</v>
      </c>
      <c r="M9" s="623"/>
      <c r="N9" s="540"/>
      <c r="O9" s="687"/>
      <c r="P9" s="518">
        <f>N9</f>
        <v>0</v>
      </c>
      <c r="Q9" s="545"/>
      <c r="R9" s="688"/>
      <c r="S9" s="132">
        <f>S8-P9</f>
        <v>2081.2600000000002</v>
      </c>
      <c r="U9" s="75"/>
      <c r="V9" s="417">
        <f>V8-W9</f>
        <v>120</v>
      </c>
      <c r="W9" s="623"/>
      <c r="X9" s="540"/>
      <c r="Y9" s="687"/>
      <c r="Z9" s="518">
        <f>X9</f>
        <v>0</v>
      </c>
      <c r="AA9" s="545"/>
      <c r="AB9" s="688"/>
      <c r="AC9" s="132">
        <f>AC8-Z9</f>
        <v>2835.98</v>
      </c>
    </row>
    <row r="10" spans="1:29" x14ac:dyDescent="0.25">
      <c r="A10" s="75"/>
      <c r="B10" s="857">
        <f t="shared" ref="B10:B28" si="0">B9-C10</f>
        <v>54</v>
      </c>
      <c r="C10" s="623">
        <v>5</v>
      </c>
      <c r="D10" s="540">
        <v>144.91</v>
      </c>
      <c r="E10" s="687">
        <v>44889</v>
      </c>
      <c r="F10" s="518">
        <f t="shared" ref="F10:F28" si="1">D10</f>
        <v>144.91</v>
      </c>
      <c r="G10" s="545" t="s">
        <v>304</v>
      </c>
      <c r="H10" s="529">
        <v>92</v>
      </c>
      <c r="I10" s="836">
        <f t="shared" ref="I10:I28" si="2">I9-F10</f>
        <v>1610.0299999999997</v>
      </c>
      <c r="K10" s="75"/>
      <c r="L10" s="417">
        <f t="shared" ref="L10:L28" si="3">L9-M10</f>
        <v>80</v>
      </c>
      <c r="M10" s="623"/>
      <c r="N10" s="540"/>
      <c r="O10" s="687"/>
      <c r="P10" s="518">
        <f t="shared" ref="P10:P28" si="4">N10</f>
        <v>0</v>
      </c>
      <c r="Q10" s="545"/>
      <c r="R10" s="529"/>
      <c r="S10" s="132">
        <f t="shared" ref="S10:S28" si="5">S9-P10</f>
        <v>2081.2600000000002</v>
      </c>
      <c r="U10" s="75"/>
      <c r="V10" s="417">
        <f t="shared" ref="V10:V28" si="6">V9-W10</f>
        <v>120</v>
      </c>
      <c r="W10" s="623"/>
      <c r="X10" s="540"/>
      <c r="Y10" s="687"/>
      <c r="Z10" s="518">
        <f t="shared" ref="Z10:Z28" si="7">X10</f>
        <v>0</v>
      </c>
      <c r="AA10" s="545"/>
      <c r="AB10" s="529"/>
      <c r="AC10" s="132">
        <f t="shared" ref="AC10:AC28" si="8">AC9-Z10</f>
        <v>2835.98</v>
      </c>
    </row>
    <row r="11" spans="1:29" x14ac:dyDescent="0.25">
      <c r="A11" s="55"/>
      <c r="B11" s="417">
        <f t="shared" si="0"/>
        <v>54</v>
      </c>
      <c r="C11" s="623"/>
      <c r="D11" s="1030"/>
      <c r="E11" s="1031"/>
      <c r="F11" s="1032">
        <f t="shared" si="1"/>
        <v>0</v>
      </c>
      <c r="G11" s="1033"/>
      <c r="H11" s="1034"/>
      <c r="I11" s="132">
        <f t="shared" si="2"/>
        <v>1610.0299999999997</v>
      </c>
      <c r="K11" s="55"/>
      <c r="L11" s="417">
        <f t="shared" si="3"/>
        <v>80</v>
      </c>
      <c r="M11" s="623"/>
      <c r="N11" s="540"/>
      <c r="O11" s="687"/>
      <c r="P11" s="518">
        <f t="shared" si="4"/>
        <v>0</v>
      </c>
      <c r="Q11" s="545"/>
      <c r="R11" s="529"/>
      <c r="S11" s="132">
        <f t="shared" si="5"/>
        <v>2081.2600000000002</v>
      </c>
      <c r="U11" s="55"/>
      <c r="V11" s="417">
        <f t="shared" si="6"/>
        <v>120</v>
      </c>
      <c r="W11" s="623"/>
      <c r="X11" s="540"/>
      <c r="Y11" s="687"/>
      <c r="Z11" s="518">
        <f t="shared" si="7"/>
        <v>0</v>
      </c>
      <c r="AA11" s="545"/>
      <c r="AB11" s="529"/>
      <c r="AC11" s="132">
        <f t="shared" si="8"/>
        <v>2835.98</v>
      </c>
    </row>
    <row r="12" spans="1:29" x14ac:dyDescent="0.25">
      <c r="A12" s="75"/>
      <c r="B12" s="417">
        <f t="shared" si="0"/>
        <v>54</v>
      </c>
      <c r="C12" s="623"/>
      <c r="D12" s="1030"/>
      <c r="E12" s="1031"/>
      <c r="F12" s="1032">
        <f t="shared" si="1"/>
        <v>0</v>
      </c>
      <c r="G12" s="1033"/>
      <c r="H12" s="1034"/>
      <c r="I12" s="132">
        <f t="shared" si="2"/>
        <v>1610.0299999999997</v>
      </c>
      <c r="K12" s="75"/>
      <c r="L12" s="417">
        <f t="shared" si="3"/>
        <v>80</v>
      </c>
      <c r="M12" s="623"/>
      <c r="N12" s="540"/>
      <c r="O12" s="687"/>
      <c r="P12" s="518">
        <f t="shared" si="4"/>
        <v>0</v>
      </c>
      <c r="Q12" s="545"/>
      <c r="R12" s="529"/>
      <c r="S12" s="132">
        <f t="shared" si="5"/>
        <v>2081.2600000000002</v>
      </c>
      <c r="U12" s="75"/>
      <c r="V12" s="417">
        <f t="shared" si="6"/>
        <v>120</v>
      </c>
      <c r="W12" s="623"/>
      <c r="X12" s="540"/>
      <c r="Y12" s="687"/>
      <c r="Z12" s="518">
        <f t="shared" si="7"/>
        <v>0</v>
      </c>
      <c r="AA12" s="545"/>
      <c r="AB12" s="529"/>
      <c r="AC12" s="132">
        <f t="shared" si="8"/>
        <v>2835.98</v>
      </c>
    </row>
    <row r="13" spans="1:29" x14ac:dyDescent="0.25">
      <c r="A13" s="75"/>
      <c r="B13" s="417">
        <f t="shared" si="0"/>
        <v>54</v>
      </c>
      <c r="C13" s="623"/>
      <c r="D13" s="1030"/>
      <c r="E13" s="1031"/>
      <c r="F13" s="1032">
        <f t="shared" si="1"/>
        <v>0</v>
      </c>
      <c r="G13" s="1033"/>
      <c r="H13" s="1034"/>
      <c r="I13" s="132">
        <f t="shared" si="2"/>
        <v>1610.0299999999997</v>
      </c>
      <c r="K13" s="75"/>
      <c r="L13" s="417">
        <f t="shared" si="3"/>
        <v>80</v>
      </c>
      <c r="M13" s="623"/>
      <c r="N13" s="540"/>
      <c r="O13" s="687"/>
      <c r="P13" s="518">
        <f t="shared" si="4"/>
        <v>0</v>
      </c>
      <c r="Q13" s="545"/>
      <c r="R13" s="529"/>
      <c r="S13" s="132">
        <f t="shared" si="5"/>
        <v>2081.2600000000002</v>
      </c>
      <c r="U13" s="75"/>
      <c r="V13" s="417">
        <f t="shared" si="6"/>
        <v>120</v>
      </c>
      <c r="W13" s="623"/>
      <c r="X13" s="540"/>
      <c r="Y13" s="687"/>
      <c r="Z13" s="518">
        <f t="shared" si="7"/>
        <v>0</v>
      </c>
      <c r="AA13" s="545"/>
      <c r="AB13" s="529"/>
      <c r="AC13" s="132">
        <f t="shared" si="8"/>
        <v>2835.98</v>
      </c>
    </row>
    <row r="14" spans="1:29" x14ac:dyDescent="0.25">
      <c r="B14" s="417">
        <f t="shared" si="0"/>
        <v>54</v>
      </c>
      <c r="C14" s="623"/>
      <c r="D14" s="1030"/>
      <c r="E14" s="1031"/>
      <c r="F14" s="1032">
        <f t="shared" si="1"/>
        <v>0</v>
      </c>
      <c r="G14" s="1033"/>
      <c r="H14" s="1034"/>
      <c r="I14" s="132">
        <f t="shared" si="2"/>
        <v>1610.0299999999997</v>
      </c>
      <c r="L14" s="417">
        <f t="shared" si="3"/>
        <v>80</v>
      </c>
      <c r="M14" s="623"/>
      <c r="N14" s="540"/>
      <c r="O14" s="687"/>
      <c r="P14" s="518">
        <f t="shared" si="4"/>
        <v>0</v>
      </c>
      <c r="Q14" s="545"/>
      <c r="R14" s="529"/>
      <c r="S14" s="132">
        <f t="shared" si="5"/>
        <v>2081.2600000000002</v>
      </c>
      <c r="V14" s="417">
        <f t="shared" si="6"/>
        <v>120</v>
      </c>
      <c r="W14" s="623"/>
      <c r="X14" s="540"/>
      <c r="Y14" s="687"/>
      <c r="Z14" s="518">
        <f t="shared" si="7"/>
        <v>0</v>
      </c>
      <c r="AA14" s="545"/>
      <c r="AB14" s="529"/>
      <c r="AC14" s="132">
        <f t="shared" si="8"/>
        <v>2835.98</v>
      </c>
    </row>
    <row r="15" spans="1:29" x14ac:dyDescent="0.25">
      <c r="B15" s="417">
        <f t="shared" si="0"/>
        <v>54</v>
      </c>
      <c r="C15" s="623"/>
      <c r="D15" s="1030"/>
      <c r="E15" s="1031"/>
      <c r="F15" s="1032">
        <f t="shared" si="1"/>
        <v>0</v>
      </c>
      <c r="G15" s="1033"/>
      <c r="H15" s="1034"/>
      <c r="I15" s="132">
        <f t="shared" si="2"/>
        <v>1610.0299999999997</v>
      </c>
      <c r="L15" s="417">
        <f t="shared" si="3"/>
        <v>80</v>
      </c>
      <c r="M15" s="623"/>
      <c r="N15" s="540"/>
      <c r="O15" s="687"/>
      <c r="P15" s="518">
        <f t="shared" si="4"/>
        <v>0</v>
      </c>
      <c r="Q15" s="545"/>
      <c r="R15" s="529"/>
      <c r="S15" s="132">
        <f t="shared" si="5"/>
        <v>2081.2600000000002</v>
      </c>
      <c r="V15" s="417">
        <f t="shared" si="6"/>
        <v>120</v>
      </c>
      <c r="W15" s="623"/>
      <c r="X15" s="540"/>
      <c r="Y15" s="687"/>
      <c r="Z15" s="518">
        <f t="shared" si="7"/>
        <v>0</v>
      </c>
      <c r="AA15" s="545"/>
      <c r="AB15" s="529"/>
      <c r="AC15" s="132">
        <f t="shared" si="8"/>
        <v>2835.98</v>
      </c>
    </row>
    <row r="16" spans="1:29" x14ac:dyDescent="0.25">
      <c r="B16" s="417">
        <f t="shared" si="0"/>
        <v>54</v>
      </c>
      <c r="C16" s="623"/>
      <c r="D16" s="1030"/>
      <c r="E16" s="1031"/>
      <c r="F16" s="1032">
        <f t="shared" si="1"/>
        <v>0</v>
      </c>
      <c r="G16" s="1033"/>
      <c r="H16" s="1035"/>
      <c r="I16" s="132">
        <f t="shared" si="2"/>
        <v>1610.0299999999997</v>
      </c>
      <c r="L16" s="417">
        <f t="shared" si="3"/>
        <v>80</v>
      </c>
      <c r="M16" s="623"/>
      <c r="N16" s="540"/>
      <c r="O16" s="687"/>
      <c r="P16" s="518">
        <f t="shared" si="4"/>
        <v>0</v>
      </c>
      <c r="Q16" s="545"/>
      <c r="R16" s="688"/>
      <c r="S16" s="132">
        <f t="shared" si="5"/>
        <v>2081.2600000000002</v>
      </c>
      <c r="V16" s="417">
        <f t="shared" si="6"/>
        <v>120</v>
      </c>
      <c r="W16" s="623"/>
      <c r="X16" s="540"/>
      <c r="Y16" s="687"/>
      <c r="Z16" s="518">
        <f t="shared" si="7"/>
        <v>0</v>
      </c>
      <c r="AA16" s="545"/>
      <c r="AB16" s="688"/>
      <c r="AC16" s="132">
        <f t="shared" si="8"/>
        <v>2835.98</v>
      </c>
    </row>
    <row r="17" spans="1:29" x14ac:dyDescent="0.25">
      <c r="B17" s="417">
        <f t="shared" si="0"/>
        <v>54</v>
      </c>
      <c r="C17" s="623"/>
      <c r="D17" s="1030"/>
      <c r="E17" s="1031"/>
      <c r="F17" s="1032">
        <f t="shared" si="1"/>
        <v>0</v>
      </c>
      <c r="G17" s="1033"/>
      <c r="H17" s="1035"/>
      <c r="I17" s="132">
        <f t="shared" si="2"/>
        <v>1610.0299999999997</v>
      </c>
      <c r="L17" s="417">
        <f t="shared" si="3"/>
        <v>80</v>
      </c>
      <c r="M17" s="623"/>
      <c r="N17" s="540"/>
      <c r="O17" s="687"/>
      <c r="P17" s="518">
        <f t="shared" si="4"/>
        <v>0</v>
      </c>
      <c r="Q17" s="545"/>
      <c r="R17" s="688"/>
      <c r="S17" s="132">
        <f t="shared" si="5"/>
        <v>2081.2600000000002</v>
      </c>
      <c r="V17" s="417">
        <f t="shared" si="6"/>
        <v>120</v>
      </c>
      <c r="W17" s="623"/>
      <c r="X17" s="540"/>
      <c r="Y17" s="687"/>
      <c r="Z17" s="518">
        <f t="shared" si="7"/>
        <v>0</v>
      </c>
      <c r="AA17" s="545"/>
      <c r="AB17" s="688"/>
      <c r="AC17" s="132">
        <f t="shared" si="8"/>
        <v>2835.98</v>
      </c>
    </row>
    <row r="18" spans="1:29" x14ac:dyDescent="0.25">
      <c r="B18" s="417">
        <f t="shared" si="0"/>
        <v>54</v>
      </c>
      <c r="C18" s="623"/>
      <c r="D18" s="1030"/>
      <c r="E18" s="1031"/>
      <c r="F18" s="1032">
        <f t="shared" si="1"/>
        <v>0</v>
      </c>
      <c r="G18" s="1033"/>
      <c r="H18" s="1035"/>
      <c r="I18" s="132">
        <f t="shared" si="2"/>
        <v>1610.0299999999997</v>
      </c>
      <c r="L18" s="417">
        <f t="shared" si="3"/>
        <v>80</v>
      </c>
      <c r="M18" s="623"/>
      <c r="N18" s="540"/>
      <c r="O18" s="687"/>
      <c r="P18" s="518">
        <f t="shared" si="4"/>
        <v>0</v>
      </c>
      <c r="Q18" s="545"/>
      <c r="R18" s="688"/>
      <c r="S18" s="132">
        <f t="shared" si="5"/>
        <v>2081.2600000000002</v>
      </c>
      <c r="V18" s="417">
        <f t="shared" si="6"/>
        <v>120</v>
      </c>
      <c r="W18" s="623"/>
      <c r="X18" s="540"/>
      <c r="Y18" s="687"/>
      <c r="Z18" s="518">
        <f t="shared" si="7"/>
        <v>0</v>
      </c>
      <c r="AA18" s="545"/>
      <c r="AB18" s="688"/>
      <c r="AC18" s="132">
        <f t="shared" si="8"/>
        <v>2835.98</v>
      </c>
    </row>
    <row r="19" spans="1:29" x14ac:dyDescent="0.25">
      <c r="B19" s="417">
        <f t="shared" si="0"/>
        <v>54</v>
      </c>
      <c r="C19" s="623"/>
      <c r="D19" s="1030"/>
      <c r="E19" s="1031"/>
      <c r="F19" s="1032">
        <f t="shared" si="1"/>
        <v>0</v>
      </c>
      <c r="G19" s="1033"/>
      <c r="H19" s="1035"/>
      <c r="I19" s="132">
        <f t="shared" si="2"/>
        <v>1610.0299999999997</v>
      </c>
      <c r="L19" s="417">
        <f t="shared" si="3"/>
        <v>80</v>
      </c>
      <c r="M19" s="623"/>
      <c r="N19" s="540"/>
      <c r="O19" s="687"/>
      <c r="P19" s="518">
        <f t="shared" si="4"/>
        <v>0</v>
      </c>
      <c r="Q19" s="545"/>
      <c r="R19" s="688"/>
      <c r="S19" s="132">
        <f t="shared" si="5"/>
        <v>2081.2600000000002</v>
      </c>
      <c r="V19" s="417">
        <f t="shared" si="6"/>
        <v>120</v>
      </c>
      <c r="W19" s="623"/>
      <c r="X19" s="540"/>
      <c r="Y19" s="687"/>
      <c r="Z19" s="518">
        <f t="shared" si="7"/>
        <v>0</v>
      </c>
      <c r="AA19" s="545"/>
      <c r="AB19" s="688"/>
      <c r="AC19" s="132">
        <f t="shared" si="8"/>
        <v>2835.98</v>
      </c>
    </row>
    <row r="20" spans="1:29" x14ac:dyDescent="0.25">
      <c r="B20" s="417">
        <f t="shared" si="0"/>
        <v>54</v>
      </c>
      <c r="C20" s="623"/>
      <c r="D20" s="1030"/>
      <c r="E20" s="1031"/>
      <c r="F20" s="1032">
        <f t="shared" si="1"/>
        <v>0</v>
      </c>
      <c r="G20" s="1033"/>
      <c r="H20" s="1035"/>
      <c r="I20" s="132">
        <f t="shared" si="2"/>
        <v>1610.0299999999997</v>
      </c>
      <c r="L20" s="417">
        <f t="shared" si="3"/>
        <v>80</v>
      </c>
      <c r="M20" s="623"/>
      <c r="N20" s="540"/>
      <c r="O20" s="687"/>
      <c r="P20" s="518">
        <f t="shared" si="4"/>
        <v>0</v>
      </c>
      <c r="Q20" s="545"/>
      <c r="R20" s="688"/>
      <c r="S20" s="132">
        <f t="shared" si="5"/>
        <v>2081.2600000000002</v>
      </c>
      <c r="V20" s="417">
        <f t="shared" si="6"/>
        <v>120</v>
      </c>
      <c r="W20" s="623"/>
      <c r="X20" s="540"/>
      <c r="Y20" s="687"/>
      <c r="Z20" s="518">
        <f t="shared" si="7"/>
        <v>0</v>
      </c>
      <c r="AA20" s="545"/>
      <c r="AB20" s="688"/>
      <c r="AC20" s="132">
        <f t="shared" si="8"/>
        <v>2835.98</v>
      </c>
    </row>
    <row r="21" spans="1:29" x14ac:dyDescent="0.25">
      <c r="B21" s="417">
        <f t="shared" si="0"/>
        <v>54</v>
      </c>
      <c r="C21" s="623"/>
      <c r="D21" s="1030"/>
      <c r="E21" s="1031"/>
      <c r="F21" s="1032">
        <f t="shared" si="1"/>
        <v>0</v>
      </c>
      <c r="G21" s="1033"/>
      <c r="H21" s="1036"/>
      <c r="I21" s="132">
        <f t="shared" si="2"/>
        <v>1610.0299999999997</v>
      </c>
      <c r="L21" s="417">
        <f t="shared" si="3"/>
        <v>80</v>
      </c>
      <c r="M21" s="623"/>
      <c r="N21" s="540"/>
      <c r="O21" s="687"/>
      <c r="P21" s="518">
        <f t="shared" si="4"/>
        <v>0</v>
      </c>
      <c r="Q21" s="545"/>
      <c r="R21" s="754"/>
      <c r="S21" s="132">
        <f t="shared" si="5"/>
        <v>2081.2600000000002</v>
      </c>
      <c r="V21" s="417">
        <f t="shared" si="6"/>
        <v>120</v>
      </c>
      <c r="W21" s="623"/>
      <c r="X21" s="540"/>
      <c r="Y21" s="687"/>
      <c r="Z21" s="518">
        <f t="shared" si="7"/>
        <v>0</v>
      </c>
      <c r="AA21" s="545"/>
      <c r="AB21" s="754"/>
      <c r="AC21" s="132">
        <f t="shared" si="8"/>
        <v>2835.98</v>
      </c>
    </row>
    <row r="22" spans="1:29" x14ac:dyDescent="0.25">
      <c r="B22" s="417">
        <f t="shared" si="0"/>
        <v>54</v>
      </c>
      <c r="C22" s="623"/>
      <c r="D22" s="1030"/>
      <c r="E22" s="1031"/>
      <c r="F22" s="1032">
        <f t="shared" si="1"/>
        <v>0</v>
      </c>
      <c r="G22" s="1033"/>
      <c r="H22" s="1036"/>
      <c r="I22" s="132">
        <f t="shared" si="2"/>
        <v>1610.0299999999997</v>
      </c>
      <c r="L22" s="417">
        <f t="shared" si="3"/>
        <v>80</v>
      </c>
      <c r="M22" s="623"/>
      <c r="N22" s="540"/>
      <c r="O22" s="687"/>
      <c r="P22" s="518">
        <f t="shared" si="4"/>
        <v>0</v>
      </c>
      <c r="Q22" s="545"/>
      <c r="R22" s="754"/>
      <c r="S22" s="132">
        <f t="shared" si="5"/>
        <v>2081.2600000000002</v>
      </c>
      <c r="V22" s="417">
        <f t="shared" si="6"/>
        <v>120</v>
      </c>
      <c r="W22" s="623"/>
      <c r="X22" s="540"/>
      <c r="Y22" s="687"/>
      <c r="Z22" s="518">
        <f t="shared" si="7"/>
        <v>0</v>
      </c>
      <c r="AA22" s="545"/>
      <c r="AB22" s="754"/>
      <c r="AC22" s="132">
        <f t="shared" si="8"/>
        <v>2835.98</v>
      </c>
    </row>
    <row r="23" spans="1:29" x14ac:dyDescent="0.25">
      <c r="B23" s="417">
        <f t="shared" si="0"/>
        <v>54</v>
      </c>
      <c r="C23" s="623"/>
      <c r="D23" s="1030"/>
      <c r="E23" s="1031"/>
      <c r="F23" s="1032">
        <f t="shared" si="1"/>
        <v>0</v>
      </c>
      <c r="G23" s="1033"/>
      <c r="H23" s="1036"/>
      <c r="I23" s="132">
        <f t="shared" si="2"/>
        <v>1610.0299999999997</v>
      </c>
      <c r="L23" s="417">
        <f t="shared" si="3"/>
        <v>80</v>
      </c>
      <c r="M23" s="623"/>
      <c r="N23" s="540"/>
      <c r="O23" s="687"/>
      <c r="P23" s="518">
        <f t="shared" si="4"/>
        <v>0</v>
      </c>
      <c r="Q23" s="545"/>
      <c r="R23" s="754"/>
      <c r="S23" s="132">
        <f t="shared" si="5"/>
        <v>2081.2600000000002</v>
      </c>
      <c r="V23" s="417">
        <f t="shared" si="6"/>
        <v>120</v>
      </c>
      <c r="W23" s="623"/>
      <c r="X23" s="540"/>
      <c r="Y23" s="687"/>
      <c r="Z23" s="518">
        <f t="shared" si="7"/>
        <v>0</v>
      </c>
      <c r="AA23" s="545"/>
      <c r="AB23" s="754"/>
      <c r="AC23" s="132">
        <f t="shared" si="8"/>
        <v>2835.98</v>
      </c>
    </row>
    <row r="24" spans="1:29" x14ac:dyDescent="0.25">
      <c r="B24" s="417">
        <f t="shared" si="0"/>
        <v>54</v>
      </c>
      <c r="C24" s="623"/>
      <c r="D24" s="1030"/>
      <c r="E24" s="1031"/>
      <c r="F24" s="1032">
        <f t="shared" si="1"/>
        <v>0</v>
      </c>
      <c r="G24" s="1033"/>
      <c r="H24" s="1036"/>
      <c r="I24" s="132">
        <f t="shared" si="2"/>
        <v>1610.0299999999997</v>
      </c>
      <c r="L24" s="417">
        <f t="shared" si="3"/>
        <v>80</v>
      </c>
      <c r="M24" s="623"/>
      <c r="N24" s="540"/>
      <c r="O24" s="687"/>
      <c r="P24" s="518">
        <f t="shared" si="4"/>
        <v>0</v>
      </c>
      <c r="Q24" s="545"/>
      <c r="R24" s="754"/>
      <c r="S24" s="132">
        <f t="shared" si="5"/>
        <v>2081.2600000000002</v>
      </c>
      <c r="V24" s="417">
        <f t="shared" si="6"/>
        <v>120</v>
      </c>
      <c r="W24" s="623"/>
      <c r="X24" s="540"/>
      <c r="Y24" s="687"/>
      <c r="Z24" s="518">
        <f t="shared" si="7"/>
        <v>0</v>
      </c>
      <c r="AA24" s="545"/>
      <c r="AB24" s="754"/>
      <c r="AC24" s="132">
        <f t="shared" si="8"/>
        <v>2835.98</v>
      </c>
    </row>
    <row r="25" spans="1:29" x14ac:dyDescent="0.25">
      <c r="B25" s="417">
        <f t="shared" si="0"/>
        <v>54</v>
      </c>
      <c r="C25" s="623"/>
      <c r="D25" s="1030"/>
      <c r="E25" s="1031"/>
      <c r="F25" s="1032">
        <f t="shared" si="1"/>
        <v>0</v>
      </c>
      <c r="G25" s="1033"/>
      <c r="H25" s="1036"/>
      <c r="I25" s="132">
        <f t="shared" si="2"/>
        <v>1610.0299999999997</v>
      </c>
      <c r="L25" s="417">
        <f t="shared" si="3"/>
        <v>80</v>
      </c>
      <c r="M25" s="623"/>
      <c r="N25" s="540"/>
      <c r="O25" s="687"/>
      <c r="P25" s="518">
        <f t="shared" si="4"/>
        <v>0</v>
      </c>
      <c r="Q25" s="545"/>
      <c r="S25" s="132">
        <f t="shared" si="5"/>
        <v>2081.2600000000002</v>
      </c>
      <c r="V25" s="417">
        <f t="shared" si="6"/>
        <v>120</v>
      </c>
      <c r="W25" s="623"/>
      <c r="X25" s="540"/>
      <c r="Y25" s="687"/>
      <c r="Z25" s="518">
        <f t="shared" si="7"/>
        <v>0</v>
      </c>
      <c r="AA25" s="545"/>
      <c r="AC25" s="132">
        <f t="shared" si="8"/>
        <v>2835.98</v>
      </c>
    </row>
    <row r="26" spans="1:29" x14ac:dyDescent="0.25">
      <c r="B26" s="417">
        <f t="shared" si="0"/>
        <v>54</v>
      </c>
      <c r="C26" s="623"/>
      <c r="D26" s="1030"/>
      <c r="E26" s="1031"/>
      <c r="F26" s="1032">
        <f t="shared" si="1"/>
        <v>0</v>
      </c>
      <c r="G26" s="1037"/>
      <c r="H26" s="1036"/>
      <c r="I26" s="132">
        <f t="shared" si="2"/>
        <v>1610.0299999999997</v>
      </c>
      <c r="L26" s="417">
        <f t="shared" si="3"/>
        <v>80</v>
      </c>
      <c r="M26" s="623"/>
      <c r="N26" s="540"/>
      <c r="O26" s="687"/>
      <c r="P26" s="518">
        <f t="shared" si="4"/>
        <v>0</v>
      </c>
      <c r="Q26" s="546"/>
      <c r="S26" s="132">
        <f t="shared" si="5"/>
        <v>2081.2600000000002</v>
      </c>
      <c r="V26" s="417">
        <f t="shared" si="6"/>
        <v>120</v>
      </c>
      <c r="W26" s="623"/>
      <c r="X26" s="540"/>
      <c r="Y26" s="687"/>
      <c r="Z26" s="518">
        <f t="shared" si="7"/>
        <v>0</v>
      </c>
      <c r="AA26" s="546"/>
      <c r="AC26" s="132">
        <f t="shared" si="8"/>
        <v>2835.98</v>
      </c>
    </row>
    <row r="27" spans="1:29" x14ac:dyDescent="0.25">
      <c r="B27" s="417">
        <f t="shared" si="0"/>
        <v>54</v>
      </c>
      <c r="C27" s="623"/>
      <c r="D27" s="689"/>
      <c r="E27" s="687"/>
      <c r="F27" s="518">
        <f t="shared" si="1"/>
        <v>0</v>
      </c>
      <c r="G27" s="519"/>
      <c r="H27" s="17"/>
      <c r="I27" s="132">
        <f t="shared" si="2"/>
        <v>1610.0299999999997</v>
      </c>
      <c r="L27" s="417">
        <f t="shared" si="3"/>
        <v>80</v>
      </c>
      <c r="M27" s="623"/>
      <c r="N27" s="689"/>
      <c r="O27" s="687"/>
      <c r="P27" s="518">
        <f t="shared" si="4"/>
        <v>0</v>
      </c>
      <c r="Q27" s="519"/>
      <c r="R27" s="17"/>
      <c r="S27" s="132">
        <f t="shared" si="5"/>
        <v>2081.2600000000002</v>
      </c>
      <c r="V27" s="417">
        <f t="shared" si="6"/>
        <v>120</v>
      </c>
      <c r="W27" s="623"/>
      <c r="X27" s="689"/>
      <c r="Y27" s="687"/>
      <c r="Z27" s="518">
        <f t="shared" si="7"/>
        <v>0</v>
      </c>
      <c r="AA27" s="519"/>
      <c r="AB27" s="17"/>
      <c r="AC27" s="132">
        <f t="shared" si="8"/>
        <v>2835.98</v>
      </c>
    </row>
    <row r="28" spans="1:29" x14ac:dyDescent="0.25">
      <c r="B28" s="417">
        <f t="shared" si="0"/>
        <v>54</v>
      </c>
      <c r="C28" s="623"/>
      <c r="D28" s="689"/>
      <c r="E28" s="118"/>
      <c r="F28" s="518">
        <f t="shared" si="1"/>
        <v>0</v>
      </c>
      <c r="G28" s="519"/>
      <c r="H28" s="17"/>
      <c r="I28" s="132">
        <f t="shared" si="2"/>
        <v>1610.0299999999997</v>
      </c>
      <c r="L28" s="417">
        <f t="shared" si="3"/>
        <v>80</v>
      </c>
      <c r="M28" s="623"/>
      <c r="N28" s="689"/>
      <c r="O28" s="118"/>
      <c r="P28" s="518">
        <f t="shared" si="4"/>
        <v>0</v>
      </c>
      <c r="Q28" s="519"/>
      <c r="R28" s="17"/>
      <c r="S28" s="132">
        <f t="shared" si="5"/>
        <v>2081.2600000000002</v>
      </c>
      <c r="V28" s="417">
        <f t="shared" si="6"/>
        <v>120</v>
      </c>
      <c r="W28" s="623"/>
      <c r="X28" s="689"/>
      <c r="Y28" s="118"/>
      <c r="Z28" s="518">
        <f t="shared" si="7"/>
        <v>0</v>
      </c>
      <c r="AA28" s="519"/>
      <c r="AB28" s="17"/>
      <c r="AC28" s="132">
        <f t="shared" si="8"/>
        <v>2835.98</v>
      </c>
    </row>
    <row r="29" spans="1:29" x14ac:dyDescent="0.25">
      <c r="B29" s="418"/>
      <c r="C29" s="623"/>
      <c r="D29" s="690"/>
      <c r="E29" s="118"/>
      <c r="F29" s="14"/>
      <c r="G29" s="31"/>
      <c r="H29" s="17"/>
      <c r="L29" s="418"/>
      <c r="M29" s="623"/>
      <c r="N29" s="690"/>
      <c r="O29" s="118"/>
      <c r="P29" s="14"/>
      <c r="Q29" s="31"/>
      <c r="R29" s="17"/>
      <c r="V29" s="418"/>
      <c r="W29" s="623"/>
      <c r="X29" s="690"/>
      <c r="Y29" s="118"/>
      <c r="Z29" s="14"/>
      <c r="AA29" s="31"/>
      <c r="AB29" s="17"/>
    </row>
    <row r="30" spans="1:29" x14ac:dyDescent="0.25">
      <c r="B30" s="418"/>
      <c r="C30" s="623"/>
      <c r="D30" s="541"/>
      <c r="E30" s="118"/>
      <c r="F30" s="6"/>
      <c r="L30" s="418"/>
      <c r="M30" s="623"/>
      <c r="N30" s="541"/>
      <c r="O30" s="118"/>
      <c r="P30" s="6"/>
      <c r="V30" s="418"/>
      <c r="W30" s="623"/>
      <c r="X30" s="541"/>
      <c r="Y30" s="118"/>
      <c r="Z30" s="6"/>
    </row>
    <row r="31" spans="1:29" ht="15.75" thickBot="1" x14ac:dyDescent="0.3">
      <c r="B31" s="495"/>
      <c r="C31" s="624"/>
      <c r="D31" s="620"/>
      <c r="E31" s="4"/>
      <c r="F31" s="76"/>
      <c r="G31" s="24"/>
      <c r="L31" s="495"/>
      <c r="M31" s="624"/>
      <c r="N31" s="620"/>
      <c r="O31" s="4"/>
      <c r="P31" s="76"/>
      <c r="Q31" s="24"/>
      <c r="V31" s="495"/>
      <c r="W31" s="624"/>
      <c r="X31" s="620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44</v>
      </c>
      <c r="E32" s="75"/>
      <c r="F32" s="105">
        <f>SUM(F8:F31)</f>
        <v>1226.3400000000001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14" t="s">
        <v>21</v>
      </c>
      <c r="E33" s="815"/>
      <c r="F33" s="141">
        <f>E5-D32</f>
        <v>1981.36</v>
      </c>
      <c r="G33" s="75"/>
      <c r="H33" s="75"/>
      <c r="K33" s="75"/>
      <c r="L33" s="75"/>
      <c r="M33" s="75"/>
      <c r="N33" s="938" t="s">
        <v>21</v>
      </c>
      <c r="O33" s="939"/>
      <c r="P33" s="141">
        <f>O5-N32</f>
        <v>2081.2600000000002</v>
      </c>
      <c r="Q33" s="75"/>
      <c r="R33" s="75"/>
      <c r="U33" s="75"/>
      <c r="V33" s="75"/>
      <c r="W33" s="75"/>
      <c r="X33" s="1072" t="s">
        <v>21</v>
      </c>
      <c r="Y33" s="1073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16" t="s">
        <v>4</v>
      </c>
      <c r="E34" s="817"/>
      <c r="F34" s="49" t="e">
        <f>F4+F5-C32</f>
        <v>#REF!</v>
      </c>
      <c r="G34" s="75"/>
      <c r="H34" s="75"/>
      <c r="K34" s="75"/>
      <c r="L34" s="75"/>
      <c r="M34" s="75"/>
      <c r="N34" s="940" t="s">
        <v>4</v>
      </c>
      <c r="O34" s="941"/>
      <c r="P34" s="49">
        <f>P4+P5-M32</f>
        <v>80</v>
      </c>
      <c r="Q34" s="75"/>
      <c r="R34" s="75"/>
      <c r="U34" s="75"/>
      <c r="V34" s="75"/>
      <c r="W34" s="75"/>
      <c r="X34" s="1074" t="s">
        <v>4</v>
      </c>
      <c r="Y34" s="1075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3" sqref="C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9" t="s">
        <v>335</v>
      </c>
      <c r="B1" s="1199"/>
      <c r="C1" s="1199"/>
      <c r="D1" s="1199"/>
      <c r="E1" s="1199"/>
      <c r="F1" s="1199"/>
      <c r="G1" s="11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145</v>
      </c>
      <c r="C4" s="102"/>
      <c r="D4" s="135"/>
      <c r="E4" s="86"/>
      <c r="F4" s="73"/>
      <c r="G4" s="238"/>
    </row>
    <row r="5" spans="1:9" x14ac:dyDescent="0.25">
      <c r="A5" s="1211" t="s">
        <v>97</v>
      </c>
      <c r="B5" s="128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1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172</v>
      </c>
      <c r="H8" s="71">
        <v>57</v>
      </c>
      <c r="I8" s="83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8">
        <v>13.61</v>
      </c>
      <c r="E9" s="593">
        <v>44840</v>
      </c>
      <c r="F9" s="748">
        <f t="shared" si="0"/>
        <v>13.61</v>
      </c>
      <c r="G9" s="755" t="s">
        <v>185</v>
      </c>
      <c r="H9" s="331">
        <v>57</v>
      </c>
      <c r="I9" s="132">
        <f>I8-D9</f>
        <v>1946.2300000000002</v>
      </c>
    </row>
    <row r="10" spans="1:9" x14ac:dyDescent="0.25">
      <c r="A10" s="75"/>
      <c r="B10" s="867">
        <f t="shared" ref="B10:B26" si="1">B9-C10</f>
        <v>141</v>
      </c>
      <c r="C10" s="15">
        <v>2</v>
      </c>
      <c r="D10" s="748">
        <v>27.22</v>
      </c>
      <c r="E10" s="593">
        <v>44846</v>
      </c>
      <c r="F10" s="748">
        <f t="shared" si="0"/>
        <v>27.22</v>
      </c>
      <c r="G10" s="756" t="s">
        <v>192</v>
      </c>
      <c r="H10" s="757">
        <v>57</v>
      </c>
      <c r="I10" s="836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638"/>
      <c r="E11" s="636"/>
      <c r="F11" s="638">
        <f t="shared" si="0"/>
        <v>0</v>
      </c>
      <c r="G11" s="1038"/>
      <c r="H11" s="380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638"/>
      <c r="E12" s="636"/>
      <c r="F12" s="638">
        <f t="shared" si="0"/>
        <v>0</v>
      </c>
      <c r="G12" s="1038"/>
      <c r="H12" s="380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638"/>
      <c r="E13" s="636"/>
      <c r="F13" s="638">
        <f t="shared" si="0"/>
        <v>0</v>
      </c>
      <c r="G13" s="1038"/>
      <c r="H13" s="380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638"/>
      <c r="E14" s="636"/>
      <c r="F14" s="638">
        <f t="shared" si="0"/>
        <v>0</v>
      </c>
      <c r="G14" s="1038"/>
      <c r="H14" s="380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638"/>
      <c r="E15" s="636"/>
      <c r="F15" s="638">
        <f t="shared" si="0"/>
        <v>0</v>
      </c>
      <c r="G15" s="1038"/>
      <c r="H15" s="380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638"/>
      <c r="E16" s="636"/>
      <c r="F16" s="638">
        <f t="shared" si="0"/>
        <v>0</v>
      </c>
      <c r="G16" s="1038"/>
      <c r="H16" s="380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632"/>
      <c r="E17" s="636"/>
      <c r="F17" s="638">
        <f t="shared" si="0"/>
        <v>0</v>
      </c>
      <c r="G17" s="1038"/>
      <c r="H17" s="380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638"/>
      <c r="E18" s="636"/>
      <c r="F18" s="638">
        <f t="shared" si="0"/>
        <v>0</v>
      </c>
      <c r="G18" s="1038"/>
      <c r="H18" s="380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638"/>
      <c r="E19" s="636"/>
      <c r="F19" s="638">
        <f t="shared" si="0"/>
        <v>0</v>
      </c>
      <c r="G19" s="1038"/>
      <c r="H19" s="380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638"/>
      <c r="E20" s="636"/>
      <c r="F20" s="638">
        <f t="shared" si="0"/>
        <v>0</v>
      </c>
      <c r="G20" s="1038"/>
      <c r="H20" s="380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638"/>
      <c r="E21" s="636"/>
      <c r="F21" s="638">
        <f t="shared" si="0"/>
        <v>0</v>
      </c>
      <c r="G21" s="1038"/>
      <c r="H21" s="380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638"/>
      <c r="E22" s="636"/>
      <c r="F22" s="638">
        <f t="shared" si="0"/>
        <v>0</v>
      </c>
      <c r="G22" s="1038"/>
      <c r="H22" s="380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638"/>
      <c r="E23" s="636"/>
      <c r="F23" s="638">
        <f t="shared" si="0"/>
        <v>0</v>
      </c>
      <c r="G23" s="1038"/>
      <c r="H23" s="380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638"/>
      <c r="E24" s="636"/>
      <c r="F24" s="638">
        <f t="shared" si="0"/>
        <v>0</v>
      </c>
      <c r="G24" s="646"/>
      <c r="H24" s="380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638"/>
      <c r="E25" s="636"/>
      <c r="F25" s="638">
        <f t="shared" si="0"/>
        <v>0</v>
      </c>
      <c r="G25" s="646"/>
      <c r="H25" s="380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638"/>
      <c r="E26" s="636"/>
      <c r="F26" s="638">
        <f t="shared" si="0"/>
        <v>0</v>
      </c>
      <c r="G26" s="646"/>
      <c r="H26" s="380"/>
      <c r="I26" s="132">
        <f t="shared" si="2"/>
        <v>1919.0100000000002</v>
      </c>
    </row>
    <row r="27" spans="1:9" x14ac:dyDescent="0.25">
      <c r="B27" s="106"/>
      <c r="C27" s="15"/>
      <c r="D27" s="638"/>
      <c r="E27" s="636"/>
      <c r="F27" s="638">
        <f t="shared" si="0"/>
        <v>0</v>
      </c>
      <c r="G27" s="646"/>
      <c r="H27" s="1039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24"/>
      <c r="F30" s="6"/>
    </row>
    <row r="31" spans="1:9" ht="15.75" thickBot="1" x14ac:dyDescent="0.3">
      <c r="B31" s="74"/>
      <c r="C31" s="87"/>
      <c r="D31" s="76"/>
      <c r="E31" s="825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3" t="s">
        <v>83</v>
      </c>
      <c r="C4" s="102"/>
      <c r="D4" s="135"/>
      <c r="E4" s="86"/>
      <c r="F4" s="73"/>
      <c r="G4" s="238"/>
    </row>
    <row r="5" spans="1:9" x14ac:dyDescent="0.25">
      <c r="A5" s="75"/>
      <c r="B5" s="1284"/>
      <c r="C5" s="102"/>
      <c r="D5" s="135"/>
      <c r="E5" s="86"/>
      <c r="F5" s="73"/>
      <c r="G5" s="542">
        <f>F32</f>
        <v>0</v>
      </c>
      <c r="H5" s="138">
        <f>E5-G5</f>
        <v>0</v>
      </c>
    </row>
    <row r="6" spans="1:9" ht="15.75" thickBot="1" x14ac:dyDescent="0.3">
      <c r="B6" s="539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3"/>
      <c r="D9" s="105"/>
      <c r="E9" s="544"/>
      <c r="F9" s="92">
        <f t="shared" si="0"/>
        <v>0</v>
      </c>
      <c r="G9" s="545"/>
      <c r="H9" s="71"/>
      <c r="I9" s="47">
        <f>I8-D9</f>
        <v>0</v>
      </c>
    </row>
    <row r="10" spans="1:9" x14ac:dyDescent="0.25">
      <c r="A10" s="75"/>
      <c r="B10" s="2"/>
      <c r="C10" s="543"/>
      <c r="D10" s="105"/>
      <c r="E10" s="544"/>
      <c r="F10" s="92">
        <f t="shared" si="0"/>
        <v>0</v>
      </c>
      <c r="G10" s="545"/>
      <c r="H10" s="71"/>
      <c r="I10" s="47">
        <f t="shared" ref="I10:I28" si="1">I9-D10</f>
        <v>0</v>
      </c>
    </row>
    <row r="11" spans="1:9" x14ac:dyDescent="0.25">
      <c r="A11" s="55"/>
      <c r="B11" s="2"/>
      <c r="C11" s="543"/>
      <c r="D11" s="105"/>
      <c r="E11" s="544"/>
      <c r="F11" s="92">
        <f t="shared" si="0"/>
        <v>0</v>
      </c>
      <c r="G11" s="545"/>
      <c r="H11" s="71"/>
      <c r="I11" s="47">
        <f t="shared" si="1"/>
        <v>0</v>
      </c>
    </row>
    <row r="12" spans="1:9" x14ac:dyDescent="0.25">
      <c r="A12" s="75"/>
      <c r="B12" s="2"/>
      <c r="C12" s="543"/>
      <c r="D12" s="105"/>
      <c r="E12" s="544"/>
      <c r="F12" s="92">
        <f t="shared" si="0"/>
        <v>0</v>
      </c>
      <c r="G12" s="545"/>
      <c r="H12" s="71"/>
      <c r="I12" s="47">
        <f t="shared" si="1"/>
        <v>0</v>
      </c>
    </row>
    <row r="13" spans="1:9" x14ac:dyDescent="0.25">
      <c r="A13" s="75"/>
      <c r="B13" s="2"/>
      <c r="C13" s="543"/>
      <c r="D13" s="105"/>
      <c r="E13" s="544"/>
      <c r="F13" s="92">
        <f t="shared" si="0"/>
        <v>0</v>
      </c>
      <c r="G13" s="545"/>
      <c r="H13" s="71"/>
      <c r="I13" s="47">
        <f t="shared" si="1"/>
        <v>0</v>
      </c>
    </row>
    <row r="14" spans="1:9" x14ac:dyDescent="0.25">
      <c r="B14" s="2"/>
      <c r="C14" s="543"/>
      <c r="D14" s="105"/>
      <c r="E14" s="544"/>
      <c r="F14" s="92">
        <f t="shared" si="0"/>
        <v>0</v>
      </c>
      <c r="G14" s="545"/>
      <c r="H14" s="71"/>
      <c r="I14" s="47">
        <f t="shared" si="1"/>
        <v>0</v>
      </c>
    </row>
    <row r="15" spans="1:9" x14ac:dyDescent="0.25">
      <c r="B15" s="2"/>
      <c r="C15" s="543"/>
      <c r="D15" s="105"/>
      <c r="E15" s="544"/>
      <c r="F15" s="92">
        <f t="shared" si="0"/>
        <v>0</v>
      </c>
      <c r="G15" s="545"/>
      <c r="H15" s="71"/>
      <c r="I15" s="47">
        <f t="shared" si="1"/>
        <v>0</v>
      </c>
    </row>
    <row r="16" spans="1:9" x14ac:dyDescent="0.25">
      <c r="B16" s="2"/>
      <c r="C16" s="543"/>
      <c r="D16" s="105"/>
      <c r="E16" s="544"/>
      <c r="F16" s="92">
        <f t="shared" si="0"/>
        <v>0</v>
      </c>
      <c r="G16" s="545"/>
      <c r="H16" s="71"/>
      <c r="I16" s="47">
        <f t="shared" si="1"/>
        <v>0</v>
      </c>
    </row>
    <row r="17" spans="1:9" x14ac:dyDescent="0.25">
      <c r="B17" s="2"/>
      <c r="C17" s="53"/>
      <c r="D17" s="105"/>
      <c r="E17" s="544"/>
      <c r="F17" s="92">
        <f t="shared" si="0"/>
        <v>0</v>
      </c>
      <c r="G17" s="545"/>
      <c r="H17" s="71"/>
      <c r="I17" s="47">
        <f t="shared" si="1"/>
        <v>0</v>
      </c>
    </row>
    <row r="18" spans="1:9" x14ac:dyDescent="0.25">
      <c r="B18" s="2"/>
      <c r="C18" s="543"/>
      <c r="D18" s="105"/>
      <c r="E18" s="544"/>
      <c r="F18" s="92">
        <f t="shared" si="0"/>
        <v>0</v>
      </c>
      <c r="G18" s="545"/>
      <c r="H18" s="71"/>
      <c r="I18" s="47">
        <f t="shared" si="1"/>
        <v>0</v>
      </c>
    </row>
    <row r="19" spans="1:9" x14ac:dyDescent="0.25">
      <c r="B19" s="2"/>
      <c r="C19" s="543"/>
      <c r="D19" s="105"/>
      <c r="E19" s="544"/>
      <c r="F19" s="92">
        <f t="shared" si="0"/>
        <v>0</v>
      </c>
      <c r="G19" s="545"/>
      <c r="H19" s="71"/>
      <c r="I19" s="47">
        <f t="shared" si="1"/>
        <v>0</v>
      </c>
    </row>
    <row r="20" spans="1:9" x14ac:dyDescent="0.25">
      <c r="B20" s="2"/>
      <c r="C20" s="543"/>
      <c r="D20" s="105"/>
      <c r="E20" s="544"/>
      <c r="F20" s="92">
        <f t="shared" si="0"/>
        <v>0</v>
      </c>
      <c r="G20" s="545"/>
      <c r="H20" s="71"/>
      <c r="I20" s="47">
        <f t="shared" si="1"/>
        <v>0</v>
      </c>
    </row>
    <row r="21" spans="1:9" x14ac:dyDescent="0.25">
      <c r="B21" s="2"/>
      <c r="C21" s="543"/>
      <c r="D21" s="105"/>
      <c r="E21" s="544"/>
      <c r="F21" s="92">
        <f t="shared" si="0"/>
        <v>0</v>
      </c>
      <c r="G21" s="545"/>
      <c r="H21" s="71"/>
      <c r="I21" s="47">
        <f t="shared" si="1"/>
        <v>0</v>
      </c>
    </row>
    <row r="22" spans="1:9" x14ac:dyDescent="0.25">
      <c r="B22" s="2"/>
      <c r="C22" s="543"/>
      <c r="D22" s="105"/>
      <c r="E22" s="544"/>
      <c r="F22" s="92">
        <f t="shared" si="0"/>
        <v>0</v>
      </c>
      <c r="G22" s="545"/>
      <c r="H22" s="71"/>
      <c r="I22" s="47">
        <f t="shared" si="1"/>
        <v>0</v>
      </c>
    </row>
    <row r="23" spans="1:9" x14ac:dyDescent="0.25">
      <c r="B23" s="2"/>
      <c r="C23" s="543"/>
      <c r="D23" s="105"/>
      <c r="E23" s="544"/>
      <c r="F23" s="92">
        <f t="shared" si="0"/>
        <v>0</v>
      </c>
      <c r="G23" s="545"/>
      <c r="H23" s="71"/>
      <c r="I23" s="47">
        <f t="shared" si="1"/>
        <v>0</v>
      </c>
    </row>
    <row r="24" spans="1:9" x14ac:dyDescent="0.25">
      <c r="B24" s="2"/>
      <c r="C24" s="543"/>
      <c r="D24" s="105"/>
      <c r="E24" s="544"/>
      <c r="F24" s="92">
        <f t="shared" si="0"/>
        <v>0</v>
      </c>
      <c r="G24" s="545"/>
      <c r="H24" s="71"/>
      <c r="I24" s="47">
        <f t="shared" si="1"/>
        <v>0</v>
      </c>
    </row>
    <row r="25" spans="1:9" x14ac:dyDescent="0.25">
      <c r="B25" s="2"/>
      <c r="C25" s="543"/>
      <c r="D25" s="105"/>
      <c r="E25" s="544"/>
      <c r="F25" s="92">
        <f t="shared" si="0"/>
        <v>0</v>
      </c>
      <c r="G25" s="545"/>
      <c r="H25" s="71"/>
      <c r="I25" s="47">
        <f t="shared" si="1"/>
        <v>0</v>
      </c>
    </row>
    <row r="26" spans="1:9" x14ac:dyDescent="0.25">
      <c r="B26" s="109"/>
      <c r="C26" s="543"/>
      <c r="D26" s="105"/>
      <c r="E26" s="544"/>
      <c r="F26" s="92">
        <f t="shared" si="0"/>
        <v>0</v>
      </c>
      <c r="G26" s="546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1" t="s">
        <v>101</v>
      </c>
      <c r="C4" s="102"/>
      <c r="D4" s="135"/>
      <c r="E4" s="86"/>
      <c r="F4" s="73"/>
      <c r="G4" s="238"/>
    </row>
    <row r="5" spans="1:9" x14ac:dyDescent="0.25">
      <c r="A5" s="1207"/>
      <c r="B5" s="128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4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4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4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4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4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4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4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4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4"/>
      <c r="E16" s="44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6"/>
      <c r="E17" s="44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4"/>
      <c r="E18" s="44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4"/>
      <c r="E19" s="44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4"/>
      <c r="E20" s="44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4"/>
      <c r="E21" s="44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4"/>
      <c r="E22" s="44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4"/>
      <c r="E23" s="44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4"/>
      <c r="E24" s="44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4"/>
      <c r="E25" s="44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4"/>
      <c r="E26" s="44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5" t="s">
        <v>102</v>
      </c>
      <c r="C4" s="102"/>
      <c r="D4" s="135"/>
      <c r="E4" s="86"/>
      <c r="F4" s="73"/>
      <c r="G4" s="238"/>
    </row>
    <row r="5" spans="1:9" x14ac:dyDescent="0.25">
      <c r="A5" s="1207"/>
      <c r="B5" s="128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7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19"/>
      <c r="E9" s="618"/>
      <c r="F9" s="619">
        <f t="shared" si="0"/>
        <v>0</v>
      </c>
      <c r="G9" s="49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19"/>
      <c r="E10" s="618"/>
      <c r="F10" s="619">
        <f t="shared" si="0"/>
        <v>0</v>
      </c>
      <c r="G10" s="49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19"/>
      <c r="E11" s="618"/>
      <c r="F11" s="619">
        <f t="shared" si="0"/>
        <v>0</v>
      </c>
      <c r="G11" s="49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19"/>
      <c r="E12" s="618"/>
      <c r="F12" s="619">
        <f t="shared" si="0"/>
        <v>0</v>
      </c>
      <c r="G12" s="49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38"/>
      <c r="E13" s="634"/>
      <c r="F13" s="638">
        <f t="shared" si="0"/>
        <v>0</v>
      </c>
      <c r="G13" s="646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38"/>
      <c r="E14" s="634"/>
      <c r="F14" s="638">
        <f t="shared" si="0"/>
        <v>0</v>
      </c>
      <c r="G14" s="646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38"/>
      <c r="E15" s="634"/>
      <c r="F15" s="638">
        <f t="shared" si="0"/>
        <v>0</v>
      </c>
      <c r="G15" s="646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38"/>
      <c r="E16" s="634"/>
      <c r="F16" s="638">
        <f t="shared" si="0"/>
        <v>0</v>
      </c>
      <c r="G16" s="646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32"/>
      <c r="E17" s="634"/>
      <c r="F17" s="638">
        <f t="shared" si="0"/>
        <v>0</v>
      </c>
      <c r="G17" s="646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38"/>
      <c r="E18" s="634"/>
      <c r="F18" s="638">
        <f t="shared" si="0"/>
        <v>0</v>
      </c>
      <c r="G18" s="646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38"/>
      <c r="E19" s="634"/>
      <c r="F19" s="638">
        <f t="shared" si="0"/>
        <v>0</v>
      </c>
      <c r="G19" s="646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38"/>
      <c r="E20" s="634"/>
      <c r="F20" s="638">
        <f t="shared" si="0"/>
        <v>0</v>
      </c>
      <c r="G20" s="646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38"/>
      <c r="E21" s="634"/>
      <c r="F21" s="638">
        <f t="shared" si="0"/>
        <v>0</v>
      </c>
      <c r="G21" s="646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47"/>
      <c r="E22" s="648"/>
      <c r="F22" s="638">
        <f t="shared" si="0"/>
        <v>0</v>
      </c>
      <c r="G22" s="646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4"/>
      <c r="E23" s="44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4"/>
      <c r="E24" s="44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4"/>
      <c r="E25" s="44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4"/>
      <c r="E26" s="44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3"/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04"/>
      <c r="C5" s="392"/>
      <c r="D5" s="134"/>
      <c r="E5" s="208"/>
      <c r="F5" s="62"/>
      <c r="G5" s="5"/>
    </row>
    <row r="6" spans="1:9" ht="20.25" x14ac:dyDescent="0.3">
      <c r="A6" s="581"/>
      <c r="B6" s="1204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1" t="s">
        <v>11</v>
      </c>
      <c r="D83" s="1202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9" t="s">
        <v>321</v>
      </c>
      <c r="B1" s="1199"/>
      <c r="C1" s="1199"/>
      <c r="D1" s="1199"/>
      <c r="E1" s="1199"/>
      <c r="F1" s="1199"/>
      <c r="G1" s="1199"/>
      <c r="H1" s="11">
        <v>1</v>
      </c>
      <c r="K1" s="1199" t="str">
        <f>A1</f>
        <v>INVENTARIO   DEL MES DE    NOVIEMBRE 2022</v>
      </c>
      <c r="L1" s="1199"/>
      <c r="M1" s="1199"/>
      <c r="N1" s="1199"/>
      <c r="O1" s="1199"/>
      <c r="P1" s="1199"/>
      <c r="Q1" s="119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205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05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205"/>
      <c r="C6" s="484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05"/>
      <c r="M6" s="484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2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215</v>
      </c>
      <c r="H9" s="71">
        <v>98</v>
      </c>
      <c r="I9" s="831">
        <f>E6-F9+E5+E7+E4</f>
        <v>511.01000000000005</v>
      </c>
      <c r="K9" s="80" t="s">
        <v>32</v>
      </c>
      <c r="L9" s="832">
        <f>P6-M9+P5+P7+P4</f>
        <v>43</v>
      </c>
      <c r="M9" s="15"/>
      <c r="N9" s="69"/>
      <c r="O9" s="202"/>
      <c r="P9" s="69">
        <f>N9</f>
        <v>0</v>
      </c>
      <c r="Q9" s="70"/>
      <c r="R9" s="71"/>
      <c r="S9" s="831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46">
        <v>12.2</v>
      </c>
      <c r="E10" s="847">
        <v>44872</v>
      </c>
      <c r="F10" s="846">
        <f>D10</f>
        <v>12.2</v>
      </c>
      <c r="G10" s="848" t="s">
        <v>248</v>
      </c>
      <c r="H10" s="849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46">
        <v>118.47</v>
      </c>
      <c r="E11" s="847">
        <v>44872</v>
      </c>
      <c r="F11" s="846">
        <f>D11</f>
        <v>118.47</v>
      </c>
      <c r="G11" s="848" t="s">
        <v>250</v>
      </c>
      <c r="H11" s="849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46">
        <v>59.94</v>
      </c>
      <c r="E12" s="847">
        <v>44876</v>
      </c>
      <c r="F12" s="846">
        <f>D12</f>
        <v>59.94</v>
      </c>
      <c r="G12" s="848" t="s">
        <v>262</v>
      </c>
      <c r="H12" s="849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46">
        <v>119.76</v>
      </c>
      <c r="E13" s="847">
        <v>44882</v>
      </c>
      <c r="F13" s="846">
        <f t="shared" ref="F13:F45" si="4">D13</f>
        <v>119.76</v>
      </c>
      <c r="G13" s="848" t="s">
        <v>282</v>
      </c>
      <c r="H13" s="849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2">
        <f t="shared" si="0"/>
        <v>9</v>
      </c>
      <c r="C14" s="15">
        <v>8</v>
      </c>
      <c r="D14" s="846">
        <v>94.28</v>
      </c>
      <c r="E14" s="847">
        <v>44887</v>
      </c>
      <c r="F14" s="846">
        <f t="shared" si="4"/>
        <v>94.28</v>
      </c>
      <c r="G14" s="848" t="s">
        <v>295</v>
      </c>
      <c r="H14" s="849">
        <v>98</v>
      </c>
      <c r="I14" s="831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538"/>
      <c r="E15" s="735"/>
      <c r="F15" s="538">
        <f t="shared" si="4"/>
        <v>0</v>
      </c>
      <c r="G15" s="330"/>
      <c r="H15" s="331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538"/>
      <c r="E16" s="735"/>
      <c r="F16" s="538">
        <f t="shared" si="4"/>
        <v>0</v>
      </c>
      <c r="G16" s="330"/>
      <c r="H16" s="331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538"/>
      <c r="E17" s="735"/>
      <c r="F17" s="538">
        <f t="shared" si="4"/>
        <v>0</v>
      </c>
      <c r="G17" s="330"/>
      <c r="H17" s="331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538"/>
      <c r="E18" s="735"/>
      <c r="F18" s="538">
        <f t="shared" si="4"/>
        <v>0</v>
      </c>
      <c r="G18" s="330"/>
      <c r="H18" s="331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538"/>
      <c r="E19" s="735"/>
      <c r="F19" s="538">
        <f t="shared" si="4"/>
        <v>0</v>
      </c>
      <c r="G19" s="330"/>
      <c r="H19" s="331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538"/>
      <c r="E20" s="735"/>
      <c r="F20" s="538">
        <f t="shared" si="4"/>
        <v>0</v>
      </c>
      <c r="G20" s="330"/>
      <c r="H20" s="331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538"/>
      <c r="E21" s="735"/>
      <c r="F21" s="538">
        <f t="shared" si="4"/>
        <v>0</v>
      </c>
      <c r="G21" s="330"/>
      <c r="H21" s="331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538"/>
      <c r="E22" s="735"/>
      <c r="F22" s="538">
        <f t="shared" si="4"/>
        <v>0</v>
      </c>
      <c r="G22" s="330"/>
      <c r="H22" s="331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538"/>
      <c r="E23" s="735"/>
      <c r="F23" s="538">
        <f t="shared" si="4"/>
        <v>0</v>
      </c>
      <c r="G23" s="330"/>
      <c r="H23" s="331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538"/>
      <c r="E24" s="735"/>
      <c r="F24" s="538">
        <f t="shared" si="4"/>
        <v>0</v>
      </c>
      <c r="G24" s="330"/>
      <c r="H24" s="331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538"/>
      <c r="E25" s="735"/>
      <c r="F25" s="538">
        <f t="shared" si="4"/>
        <v>0</v>
      </c>
      <c r="G25" s="330"/>
      <c r="H25" s="331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538"/>
      <c r="E26" s="735"/>
      <c r="F26" s="538">
        <f t="shared" si="4"/>
        <v>0</v>
      </c>
      <c r="G26" s="330"/>
      <c r="H26" s="331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538"/>
      <c r="E27" s="735"/>
      <c r="F27" s="538">
        <f t="shared" si="4"/>
        <v>0</v>
      </c>
      <c r="G27" s="330"/>
      <c r="H27" s="331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538"/>
      <c r="E28" s="735"/>
      <c r="F28" s="538">
        <f t="shared" si="4"/>
        <v>0</v>
      </c>
      <c r="G28" s="330"/>
      <c r="H28" s="33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538"/>
      <c r="E29" s="735"/>
      <c r="F29" s="538">
        <f t="shared" si="4"/>
        <v>0</v>
      </c>
      <c r="G29" s="330"/>
      <c r="H29" s="33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538"/>
      <c r="E30" s="735"/>
      <c r="F30" s="538">
        <f t="shared" si="4"/>
        <v>0</v>
      </c>
      <c r="G30" s="330"/>
      <c r="H30" s="33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538"/>
      <c r="E31" s="735"/>
      <c r="F31" s="538">
        <f t="shared" si="4"/>
        <v>0</v>
      </c>
      <c r="G31" s="330"/>
      <c r="H31" s="33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01" t="s">
        <v>11</v>
      </c>
      <c r="D53" s="1202"/>
      <c r="E53" s="57">
        <f>E5+E6-F48+E7</f>
        <v>94.550000000000068</v>
      </c>
      <c r="F53" s="73"/>
      <c r="M53" s="1201" t="s">
        <v>11</v>
      </c>
      <c r="N53" s="1202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3" t="s">
        <v>340</v>
      </c>
      <c r="B1" s="1203"/>
      <c r="C1" s="1203"/>
      <c r="D1" s="1203"/>
      <c r="E1" s="1203"/>
      <c r="F1" s="1203"/>
      <c r="G1" s="12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92">
        <v>85</v>
      </c>
      <c r="D4" s="719">
        <v>44894</v>
      </c>
      <c r="E4" s="1042">
        <v>248.57</v>
      </c>
      <c r="F4" s="890">
        <v>21</v>
      </c>
      <c r="G4" s="155"/>
      <c r="H4" s="155"/>
    </row>
    <row r="5" spans="1:9" ht="15.75" customHeight="1" x14ac:dyDescent="0.25">
      <c r="A5" s="226" t="s">
        <v>62</v>
      </c>
      <c r="B5" s="1206" t="s">
        <v>72</v>
      </c>
      <c r="C5" s="594">
        <v>85</v>
      </c>
      <c r="D5" s="1040">
        <v>44897</v>
      </c>
      <c r="E5" s="860">
        <v>106.18</v>
      </c>
      <c r="F5" s="890">
        <v>9</v>
      </c>
      <c r="G5" s="5"/>
    </row>
    <row r="6" spans="1:9" x14ac:dyDescent="0.25">
      <c r="A6" s="226"/>
      <c r="B6" s="1206"/>
      <c r="C6" s="392"/>
      <c r="D6" s="719"/>
      <c r="E6" s="1041"/>
      <c r="F6" s="890"/>
      <c r="G6" s="47">
        <f>F42</f>
        <v>0</v>
      </c>
      <c r="H6" s="7">
        <f>E6-G6+E7+E5-G5+E4</f>
        <v>354.75</v>
      </c>
    </row>
    <row r="7" spans="1:9" ht="15.75" thickBot="1" x14ac:dyDescent="0.3">
      <c r="B7" s="19"/>
      <c r="C7" s="392"/>
      <c r="D7" s="719"/>
      <c r="E7" s="1042"/>
      <c r="F7" s="89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904">
        <f>F6-C9+F5+F7+F4</f>
        <v>30</v>
      </c>
      <c r="C9" s="828"/>
      <c r="D9" s="705"/>
      <c r="E9" s="736"/>
      <c r="F9" s="705">
        <f t="shared" ref="F9:F40" si="0">D9</f>
        <v>0</v>
      </c>
      <c r="G9" s="703"/>
      <c r="H9" s="704"/>
      <c r="I9" s="740">
        <f>E6-F9+E5+E7+E4</f>
        <v>354.75</v>
      </c>
    </row>
    <row r="10" spans="1:9" x14ac:dyDescent="0.25">
      <c r="A10" s="194"/>
      <c r="B10" s="904">
        <f>B9-C10</f>
        <v>30</v>
      </c>
      <c r="C10" s="717"/>
      <c r="D10" s="705"/>
      <c r="E10" s="736"/>
      <c r="F10" s="705">
        <f t="shared" si="0"/>
        <v>0</v>
      </c>
      <c r="G10" s="703"/>
      <c r="H10" s="704"/>
      <c r="I10" s="740">
        <f>I9-F10</f>
        <v>354.75</v>
      </c>
    </row>
    <row r="11" spans="1:9" x14ac:dyDescent="0.25">
      <c r="A11" s="182"/>
      <c r="B11" s="904">
        <f t="shared" ref="B11:B40" si="1">B10-C11</f>
        <v>30</v>
      </c>
      <c r="C11" s="717"/>
      <c r="D11" s="705"/>
      <c r="E11" s="736"/>
      <c r="F11" s="705">
        <f t="shared" si="0"/>
        <v>0</v>
      </c>
      <c r="G11" s="703"/>
      <c r="H11" s="704"/>
      <c r="I11" s="740">
        <f t="shared" ref="I11:I40" si="2">I10-F11</f>
        <v>354.75</v>
      </c>
    </row>
    <row r="12" spans="1:9" x14ac:dyDescent="0.25">
      <c r="A12" s="182"/>
      <c r="B12" s="904">
        <f t="shared" si="1"/>
        <v>30</v>
      </c>
      <c r="C12" s="717"/>
      <c r="D12" s="705"/>
      <c r="E12" s="736"/>
      <c r="F12" s="705">
        <f t="shared" si="0"/>
        <v>0</v>
      </c>
      <c r="G12" s="703"/>
      <c r="H12" s="704"/>
      <c r="I12" s="740">
        <f t="shared" si="2"/>
        <v>354.75</v>
      </c>
    </row>
    <row r="13" spans="1:9" x14ac:dyDescent="0.25">
      <c r="A13" s="82" t="s">
        <v>33</v>
      </c>
      <c r="B13" s="904">
        <f t="shared" si="1"/>
        <v>30</v>
      </c>
      <c r="C13" s="717"/>
      <c r="D13" s="705"/>
      <c r="E13" s="736"/>
      <c r="F13" s="705">
        <f t="shared" si="0"/>
        <v>0</v>
      </c>
      <c r="G13" s="703"/>
      <c r="H13" s="704"/>
      <c r="I13" s="740">
        <f t="shared" si="2"/>
        <v>354.75</v>
      </c>
    </row>
    <row r="14" spans="1:9" x14ac:dyDescent="0.25">
      <c r="A14" s="73"/>
      <c r="B14" s="904">
        <f t="shared" si="1"/>
        <v>30</v>
      </c>
      <c r="C14" s="717"/>
      <c r="D14" s="705"/>
      <c r="E14" s="736"/>
      <c r="F14" s="705">
        <f t="shared" si="0"/>
        <v>0</v>
      </c>
      <c r="G14" s="703"/>
      <c r="H14" s="704"/>
      <c r="I14" s="740">
        <f t="shared" si="2"/>
        <v>354.75</v>
      </c>
    </row>
    <row r="15" spans="1:9" x14ac:dyDescent="0.25">
      <c r="A15" s="73"/>
      <c r="B15" s="904">
        <f t="shared" si="1"/>
        <v>30</v>
      </c>
      <c r="C15" s="717"/>
      <c r="D15" s="705"/>
      <c r="E15" s="736"/>
      <c r="F15" s="705">
        <f t="shared" si="0"/>
        <v>0</v>
      </c>
      <c r="G15" s="703"/>
      <c r="H15" s="704"/>
      <c r="I15" s="740">
        <f t="shared" si="2"/>
        <v>354.75</v>
      </c>
    </row>
    <row r="16" spans="1:9" x14ac:dyDescent="0.25">
      <c r="B16" s="904">
        <f t="shared" si="1"/>
        <v>30</v>
      </c>
      <c r="C16" s="717"/>
      <c r="D16" s="705"/>
      <c r="E16" s="736"/>
      <c r="F16" s="705">
        <f t="shared" si="0"/>
        <v>0</v>
      </c>
      <c r="G16" s="703"/>
      <c r="H16" s="704"/>
      <c r="I16" s="740">
        <f t="shared" si="2"/>
        <v>354.75</v>
      </c>
    </row>
    <row r="17" spans="1:9" x14ac:dyDescent="0.25">
      <c r="B17" s="904">
        <f t="shared" si="1"/>
        <v>30</v>
      </c>
      <c r="C17" s="717"/>
      <c r="D17" s="705"/>
      <c r="E17" s="736"/>
      <c r="F17" s="705">
        <f t="shared" si="0"/>
        <v>0</v>
      </c>
      <c r="G17" s="703"/>
      <c r="H17" s="704"/>
      <c r="I17" s="740">
        <f t="shared" si="2"/>
        <v>354.75</v>
      </c>
    </row>
    <row r="18" spans="1:9" x14ac:dyDescent="0.25">
      <c r="A18" s="122"/>
      <c r="B18" s="904">
        <f t="shared" si="1"/>
        <v>30</v>
      </c>
      <c r="C18" s="717"/>
      <c r="D18" s="705"/>
      <c r="E18" s="736"/>
      <c r="F18" s="705">
        <f t="shared" si="0"/>
        <v>0</v>
      </c>
      <c r="G18" s="703"/>
      <c r="H18" s="704"/>
      <c r="I18" s="740">
        <f t="shared" si="2"/>
        <v>354.75</v>
      </c>
    </row>
    <row r="19" spans="1:9" x14ac:dyDescent="0.25">
      <c r="A19" s="122"/>
      <c r="B19" s="83">
        <f t="shared" si="1"/>
        <v>30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2"/>
        <v>354.75</v>
      </c>
    </row>
    <row r="20" spans="1:9" x14ac:dyDescent="0.25">
      <c r="A20" s="122"/>
      <c r="B20" s="83">
        <f t="shared" si="1"/>
        <v>30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2"/>
        <v>354.75</v>
      </c>
    </row>
    <row r="21" spans="1:9" x14ac:dyDescent="0.25">
      <c r="A21" s="122"/>
      <c r="B21" s="83">
        <f t="shared" si="1"/>
        <v>30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2"/>
        <v>354.75</v>
      </c>
    </row>
    <row r="22" spans="1:9" x14ac:dyDescent="0.25">
      <c r="A22" s="122"/>
      <c r="B22" s="233">
        <f t="shared" si="1"/>
        <v>30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2"/>
        <v>354.75</v>
      </c>
    </row>
    <row r="23" spans="1:9" x14ac:dyDescent="0.25">
      <c r="A23" s="123"/>
      <c r="B23" s="233">
        <f t="shared" si="1"/>
        <v>30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2"/>
        <v>354.75</v>
      </c>
    </row>
    <row r="24" spans="1:9" x14ac:dyDescent="0.25">
      <c r="A24" s="122"/>
      <c r="B24" s="233">
        <f t="shared" si="1"/>
        <v>30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2"/>
        <v>354.75</v>
      </c>
    </row>
    <row r="25" spans="1:9" x14ac:dyDescent="0.25">
      <c r="A25" s="122"/>
      <c r="B25" s="233">
        <f t="shared" si="1"/>
        <v>30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2"/>
        <v>354.75</v>
      </c>
    </row>
    <row r="26" spans="1:9" x14ac:dyDescent="0.25">
      <c r="A26" s="122"/>
      <c r="B26" s="182">
        <f t="shared" si="1"/>
        <v>30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2"/>
        <v>354.75</v>
      </c>
    </row>
    <row r="27" spans="1:9" x14ac:dyDescent="0.25">
      <c r="A27" s="122"/>
      <c r="B27" s="233">
        <f t="shared" si="1"/>
        <v>30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2"/>
        <v>354.75</v>
      </c>
    </row>
    <row r="28" spans="1:9" x14ac:dyDescent="0.25">
      <c r="A28" s="122"/>
      <c r="B28" s="182">
        <f t="shared" si="1"/>
        <v>30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2"/>
        <v>354.75</v>
      </c>
    </row>
    <row r="29" spans="1:9" x14ac:dyDescent="0.25">
      <c r="A29" s="122"/>
      <c r="B29" s="233">
        <f t="shared" si="1"/>
        <v>30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2"/>
        <v>354.75</v>
      </c>
    </row>
    <row r="30" spans="1:9" x14ac:dyDescent="0.25">
      <c r="A30" s="122"/>
      <c r="B30" s="233">
        <f t="shared" si="1"/>
        <v>30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2"/>
        <v>354.75</v>
      </c>
    </row>
    <row r="31" spans="1:9" x14ac:dyDescent="0.25">
      <c r="A31" s="122"/>
      <c r="B31" s="233">
        <f t="shared" si="1"/>
        <v>30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2"/>
        <v>354.75</v>
      </c>
    </row>
    <row r="32" spans="1:9" x14ac:dyDescent="0.25">
      <c r="A32" s="122"/>
      <c r="B32" s="233">
        <f t="shared" si="1"/>
        <v>30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2"/>
        <v>354.75</v>
      </c>
    </row>
    <row r="33" spans="1:9" x14ac:dyDescent="0.25">
      <c r="A33" s="122"/>
      <c r="B33" s="233">
        <f t="shared" si="1"/>
        <v>30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2"/>
        <v>354.75</v>
      </c>
    </row>
    <row r="34" spans="1:9" x14ac:dyDescent="0.25">
      <c r="A34" s="122"/>
      <c r="B34" s="233">
        <f t="shared" si="1"/>
        <v>30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2"/>
        <v>354.75</v>
      </c>
    </row>
    <row r="35" spans="1:9" x14ac:dyDescent="0.25">
      <c r="A35" s="122"/>
      <c r="B35" s="233">
        <f t="shared" si="1"/>
        <v>30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2"/>
        <v>354.75</v>
      </c>
    </row>
    <row r="36" spans="1:9" x14ac:dyDescent="0.25">
      <c r="A36" s="122" t="s">
        <v>22</v>
      </c>
      <c r="B36" s="233">
        <f t="shared" si="1"/>
        <v>30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2"/>
        <v>354.75</v>
      </c>
    </row>
    <row r="37" spans="1:9" x14ac:dyDescent="0.25">
      <c r="A37" s="123"/>
      <c r="B37" s="233">
        <f t="shared" si="1"/>
        <v>30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2"/>
        <v>354.75</v>
      </c>
    </row>
    <row r="38" spans="1:9" x14ac:dyDescent="0.25">
      <c r="A38" s="122"/>
      <c r="B38" s="233">
        <f t="shared" si="1"/>
        <v>30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2"/>
        <v>354.75</v>
      </c>
    </row>
    <row r="39" spans="1:9" x14ac:dyDescent="0.25">
      <c r="A39" s="122"/>
      <c r="B39" s="83">
        <f t="shared" si="1"/>
        <v>30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2"/>
        <v>354.75</v>
      </c>
    </row>
    <row r="40" spans="1:9" x14ac:dyDescent="0.25">
      <c r="A40" s="122"/>
      <c r="B40" s="83">
        <f t="shared" si="1"/>
        <v>30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2"/>
        <v>354.75</v>
      </c>
    </row>
    <row r="41" spans="1:9" ht="15.75" thickBot="1" x14ac:dyDescent="0.3">
      <c r="A41" s="122"/>
      <c r="B41" s="16"/>
      <c r="C41" s="52"/>
      <c r="D41" s="107"/>
      <c r="E41" s="196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9</v>
      </c>
    </row>
    <row r="46" spans="1:9" ht="15.75" thickBot="1" x14ac:dyDescent="0.3"/>
    <row r="47" spans="1:9" ht="15.75" thickBot="1" x14ac:dyDescent="0.3">
      <c r="C47" s="1201" t="s">
        <v>11</v>
      </c>
      <c r="D47" s="1202"/>
      <c r="E47" s="57">
        <f>E5+E6-F42+E7</f>
        <v>106.18</v>
      </c>
      <c r="F47" s="73"/>
    </row>
    <row r="50" spans="1:7" x14ac:dyDescent="0.25">
      <c r="A50" s="226"/>
      <c r="B50" s="1207"/>
      <c r="C50" s="483"/>
      <c r="D50" s="232"/>
      <c r="E50" s="78"/>
      <c r="F50" s="62"/>
      <c r="G50" s="5"/>
    </row>
    <row r="51" spans="1:7" x14ac:dyDescent="0.25">
      <c r="A51" s="226"/>
      <c r="B51" s="1207"/>
      <c r="C51" s="392"/>
      <c r="D51" s="134"/>
      <c r="E51" s="208"/>
      <c r="F51" s="62"/>
      <c r="G51" s="47"/>
    </row>
    <row r="52" spans="1:7" x14ac:dyDescent="0.25">
      <c r="B52" s="19"/>
      <c r="C52" s="483"/>
      <c r="D52" s="134"/>
      <c r="E52" s="49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9" t="s">
        <v>227</v>
      </c>
      <c r="B1" s="1199"/>
      <c r="C1" s="1199"/>
      <c r="D1" s="1199"/>
      <c r="E1" s="1199"/>
      <c r="F1" s="1199"/>
      <c r="G1" s="1199"/>
      <c r="H1" s="11">
        <v>1</v>
      </c>
      <c r="K1" s="1203" t="s">
        <v>339</v>
      </c>
      <c r="L1" s="1203"/>
      <c r="M1" s="1203"/>
      <c r="N1" s="1203"/>
      <c r="O1" s="1203"/>
      <c r="P1" s="1203"/>
      <c r="Q1" s="12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1"/>
      <c r="D4" s="134"/>
      <c r="E4" s="78">
        <v>92.58</v>
      </c>
      <c r="F4" s="62">
        <v>8</v>
      </c>
      <c r="G4" s="155"/>
      <c r="H4" s="155"/>
      <c r="K4" s="12"/>
      <c r="L4" s="12"/>
      <c r="M4" s="491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204" t="s">
        <v>89</v>
      </c>
      <c r="C5" s="483">
        <v>99</v>
      </c>
      <c r="D5" s="232">
        <v>44873</v>
      </c>
      <c r="E5" s="78">
        <v>1003.37</v>
      </c>
      <c r="F5" s="62">
        <v>83</v>
      </c>
      <c r="G5" s="5"/>
      <c r="K5" s="226" t="s">
        <v>62</v>
      </c>
      <c r="L5" s="1204" t="s">
        <v>89</v>
      </c>
      <c r="M5" s="483">
        <v>99</v>
      </c>
      <c r="N5" s="232">
        <v>44897</v>
      </c>
      <c r="O5" s="78">
        <v>1004.87</v>
      </c>
      <c r="P5" s="62">
        <v>84</v>
      </c>
      <c r="Q5" s="5"/>
    </row>
    <row r="6" spans="1:19" x14ac:dyDescent="0.25">
      <c r="A6" s="226"/>
      <c r="B6" s="1204"/>
      <c r="C6" s="392">
        <v>99</v>
      </c>
      <c r="D6" s="134">
        <v>44888</v>
      </c>
      <c r="E6" s="208">
        <v>507.33</v>
      </c>
      <c r="F6" s="62">
        <v>43</v>
      </c>
      <c r="G6" s="47">
        <f>F78</f>
        <v>1120.1400000000001</v>
      </c>
      <c r="H6" s="7">
        <f>E6-G6+E7+E5-G5+E4</f>
        <v>483.13999999999982</v>
      </c>
      <c r="K6" s="226"/>
      <c r="L6" s="1204"/>
      <c r="M6" s="392"/>
      <c r="N6" s="134"/>
      <c r="O6" s="208"/>
      <c r="P6" s="62"/>
      <c r="Q6" s="47">
        <f>P78</f>
        <v>0</v>
      </c>
      <c r="R6" s="7">
        <f>O6-Q6+O7+O5-Q5+O4</f>
        <v>1004.87</v>
      </c>
    </row>
    <row r="7" spans="1:19" ht="15.75" thickBot="1" x14ac:dyDescent="0.3">
      <c r="B7" s="19"/>
      <c r="C7" s="483"/>
      <c r="D7" s="134"/>
      <c r="E7" s="490"/>
      <c r="F7" s="73"/>
      <c r="L7" s="19"/>
      <c r="M7" s="483"/>
      <c r="N7" s="134"/>
      <c r="O7" s="49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261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84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1004.87</v>
      </c>
    </row>
    <row r="10" spans="1:19" x14ac:dyDescent="0.25">
      <c r="A10" s="194"/>
      <c r="B10" s="896">
        <f>B9-C10</f>
        <v>114</v>
      </c>
      <c r="C10" s="828">
        <v>10</v>
      </c>
      <c r="D10" s="705">
        <v>122.47</v>
      </c>
      <c r="E10" s="736">
        <v>44877</v>
      </c>
      <c r="F10" s="705">
        <f t="shared" ref="F10:F72" si="2">D10</f>
        <v>122.47</v>
      </c>
      <c r="G10" s="703" t="s">
        <v>269</v>
      </c>
      <c r="H10" s="704">
        <v>101</v>
      </c>
      <c r="I10" s="740">
        <f>I9-F10</f>
        <v>1363.1699999999998</v>
      </c>
      <c r="K10" s="194"/>
      <c r="L10" s="896">
        <f>L9-M10</f>
        <v>84</v>
      </c>
      <c r="M10" s="828"/>
      <c r="N10" s="705"/>
      <c r="O10" s="736"/>
      <c r="P10" s="705">
        <f t="shared" si="1"/>
        <v>0</v>
      </c>
      <c r="Q10" s="703"/>
      <c r="R10" s="704"/>
      <c r="S10" s="740">
        <f>S9-P10</f>
        <v>1004.87</v>
      </c>
    </row>
    <row r="11" spans="1:19" x14ac:dyDescent="0.25">
      <c r="A11" s="182"/>
      <c r="B11" s="896">
        <f t="shared" ref="B11:B74" si="3">B10-C11</f>
        <v>104</v>
      </c>
      <c r="C11" s="828">
        <v>10</v>
      </c>
      <c r="D11" s="705">
        <v>120.75</v>
      </c>
      <c r="E11" s="736">
        <v>44877</v>
      </c>
      <c r="F11" s="705">
        <f t="shared" si="2"/>
        <v>120.75</v>
      </c>
      <c r="G11" s="703" t="s">
        <v>271</v>
      </c>
      <c r="H11" s="704">
        <v>101</v>
      </c>
      <c r="I11" s="740">
        <f t="shared" ref="I11:I74" si="4">I10-F11</f>
        <v>1242.4199999999998</v>
      </c>
      <c r="K11" s="182"/>
      <c r="L11" s="896">
        <f t="shared" ref="L11:L74" si="5">L10-M11</f>
        <v>84</v>
      </c>
      <c r="M11" s="828"/>
      <c r="N11" s="705"/>
      <c r="O11" s="736"/>
      <c r="P11" s="705">
        <f t="shared" si="1"/>
        <v>0</v>
      </c>
      <c r="Q11" s="703"/>
      <c r="R11" s="704"/>
      <c r="S11" s="740">
        <f t="shared" ref="S11:S74" si="6">S10-P11</f>
        <v>1004.87</v>
      </c>
    </row>
    <row r="12" spans="1:19" x14ac:dyDescent="0.25">
      <c r="A12" s="182"/>
      <c r="B12" s="896">
        <f t="shared" si="3"/>
        <v>94</v>
      </c>
      <c r="C12" s="828">
        <v>10</v>
      </c>
      <c r="D12" s="705">
        <v>116.04</v>
      </c>
      <c r="E12" s="736">
        <v>44879</v>
      </c>
      <c r="F12" s="705">
        <f t="shared" si="2"/>
        <v>116.04</v>
      </c>
      <c r="G12" s="703" t="s">
        <v>274</v>
      </c>
      <c r="H12" s="704">
        <v>101</v>
      </c>
      <c r="I12" s="740">
        <f t="shared" si="4"/>
        <v>1126.3799999999999</v>
      </c>
      <c r="K12" s="182"/>
      <c r="L12" s="896">
        <f t="shared" si="5"/>
        <v>84</v>
      </c>
      <c r="M12" s="828"/>
      <c r="N12" s="705"/>
      <c r="O12" s="736"/>
      <c r="P12" s="705">
        <f t="shared" si="1"/>
        <v>0</v>
      </c>
      <c r="Q12" s="703"/>
      <c r="R12" s="704"/>
      <c r="S12" s="740">
        <f t="shared" si="6"/>
        <v>1004.87</v>
      </c>
    </row>
    <row r="13" spans="1:19" x14ac:dyDescent="0.25">
      <c r="A13" s="82" t="s">
        <v>33</v>
      </c>
      <c r="B13" s="896">
        <f t="shared" si="3"/>
        <v>84</v>
      </c>
      <c r="C13" s="828">
        <v>10</v>
      </c>
      <c r="D13" s="705">
        <v>121.61</v>
      </c>
      <c r="E13" s="736">
        <v>44879</v>
      </c>
      <c r="F13" s="705">
        <f t="shared" si="2"/>
        <v>121.61</v>
      </c>
      <c r="G13" s="703" t="s">
        <v>273</v>
      </c>
      <c r="H13" s="704">
        <v>101</v>
      </c>
      <c r="I13" s="740">
        <f t="shared" si="4"/>
        <v>1004.7699999999999</v>
      </c>
      <c r="K13" s="82" t="s">
        <v>33</v>
      </c>
      <c r="L13" s="896">
        <f t="shared" si="5"/>
        <v>84</v>
      </c>
      <c r="M13" s="828"/>
      <c r="N13" s="705"/>
      <c r="O13" s="736"/>
      <c r="P13" s="705">
        <f t="shared" si="1"/>
        <v>0</v>
      </c>
      <c r="Q13" s="703"/>
      <c r="R13" s="704"/>
      <c r="S13" s="740">
        <f t="shared" si="6"/>
        <v>1004.87</v>
      </c>
    </row>
    <row r="14" spans="1:19" x14ac:dyDescent="0.25">
      <c r="A14" s="73"/>
      <c r="B14" s="896">
        <f t="shared" si="3"/>
        <v>82</v>
      </c>
      <c r="C14" s="828">
        <v>2</v>
      </c>
      <c r="D14" s="705">
        <v>23.74</v>
      </c>
      <c r="E14" s="736">
        <v>44879</v>
      </c>
      <c r="F14" s="705">
        <f t="shared" si="2"/>
        <v>23.74</v>
      </c>
      <c r="G14" s="703" t="s">
        <v>273</v>
      </c>
      <c r="H14" s="704">
        <v>101</v>
      </c>
      <c r="I14" s="740">
        <f t="shared" si="4"/>
        <v>981.02999999999986</v>
      </c>
      <c r="K14" s="73"/>
      <c r="L14" s="896">
        <f t="shared" si="5"/>
        <v>84</v>
      </c>
      <c r="M14" s="828"/>
      <c r="N14" s="705"/>
      <c r="O14" s="736"/>
      <c r="P14" s="705">
        <f t="shared" si="1"/>
        <v>0</v>
      </c>
      <c r="Q14" s="703"/>
      <c r="R14" s="704"/>
      <c r="S14" s="740">
        <f t="shared" si="6"/>
        <v>1004.87</v>
      </c>
    </row>
    <row r="15" spans="1:19" ht="15.75" customHeight="1" x14ac:dyDescent="0.25">
      <c r="A15" s="73"/>
      <c r="B15" s="896">
        <f t="shared" si="3"/>
        <v>81</v>
      </c>
      <c r="C15" s="828">
        <v>1</v>
      </c>
      <c r="D15" s="705">
        <v>12.38</v>
      </c>
      <c r="E15" s="736">
        <v>44882</v>
      </c>
      <c r="F15" s="705">
        <f t="shared" si="2"/>
        <v>12.38</v>
      </c>
      <c r="G15" s="703" t="s">
        <v>281</v>
      </c>
      <c r="H15" s="704">
        <v>101</v>
      </c>
      <c r="I15" s="740">
        <f t="shared" si="4"/>
        <v>968.64999999999986</v>
      </c>
      <c r="K15" s="73"/>
      <c r="L15" s="896">
        <f t="shared" si="5"/>
        <v>84</v>
      </c>
      <c r="M15" s="828"/>
      <c r="N15" s="705"/>
      <c r="O15" s="736"/>
      <c r="P15" s="705">
        <f t="shared" si="1"/>
        <v>0</v>
      </c>
      <c r="Q15" s="703"/>
      <c r="R15" s="704"/>
      <c r="S15" s="740">
        <f t="shared" si="6"/>
        <v>1004.87</v>
      </c>
    </row>
    <row r="16" spans="1:19" ht="15.75" customHeight="1" x14ac:dyDescent="0.25">
      <c r="B16" s="896">
        <f t="shared" si="3"/>
        <v>76</v>
      </c>
      <c r="C16" s="828">
        <v>5</v>
      </c>
      <c r="D16" s="705">
        <v>60.66</v>
      </c>
      <c r="E16" s="736">
        <v>44883</v>
      </c>
      <c r="F16" s="705">
        <f t="shared" si="2"/>
        <v>60.66</v>
      </c>
      <c r="G16" s="703" t="s">
        <v>286</v>
      </c>
      <c r="H16" s="704">
        <v>101</v>
      </c>
      <c r="I16" s="740">
        <f t="shared" si="4"/>
        <v>907.9899999999999</v>
      </c>
      <c r="L16" s="896">
        <f t="shared" si="5"/>
        <v>84</v>
      </c>
      <c r="M16" s="828"/>
      <c r="N16" s="705"/>
      <c r="O16" s="736"/>
      <c r="P16" s="705">
        <f t="shared" si="1"/>
        <v>0</v>
      </c>
      <c r="Q16" s="703"/>
      <c r="R16" s="704"/>
      <c r="S16" s="740">
        <f t="shared" si="6"/>
        <v>1004.87</v>
      </c>
    </row>
    <row r="17" spans="1:19" x14ac:dyDescent="0.25">
      <c r="B17" s="896">
        <f t="shared" si="3"/>
        <v>75</v>
      </c>
      <c r="C17" s="828">
        <v>1</v>
      </c>
      <c r="D17" s="705">
        <v>12.17</v>
      </c>
      <c r="E17" s="736">
        <v>44887</v>
      </c>
      <c r="F17" s="705">
        <f t="shared" si="2"/>
        <v>12.17</v>
      </c>
      <c r="G17" s="703" t="s">
        <v>293</v>
      </c>
      <c r="H17" s="704">
        <v>101</v>
      </c>
      <c r="I17" s="740">
        <f t="shared" si="4"/>
        <v>895.81999999999994</v>
      </c>
      <c r="L17" s="896">
        <f t="shared" si="5"/>
        <v>84</v>
      </c>
      <c r="M17" s="828"/>
      <c r="N17" s="705"/>
      <c r="O17" s="736"/>
      <c r="P17" s="705">
        <f t="shared" si="1"/>
        <v>0</v>
      </c>
      <c r="Q17" s="703"/>
      <c r="R17" s="704"/>
      <c r="S17" s="740">
        <f t="shared" si="6"/>
        <v>1004.87</v>
      </c>
    </row>
    <row r="18" spans="1:19" x14ac:dyDescent="0.25">
      <c r="A18" s="122"/>
      <c r="B18" s="182">
        <f t="shared" si="3"/>
        <v>70</v>
      </c>
      <c r="C18" s="15">
        <v>5</v>
      </c>
      <c r="D18" s="69">
        <v>61.23</v>
      </c>
      <c r="E18" s="202">
        <v>44887</v>
      </c>
      <c r="F18" s="69">
        <f t="shared" si="2"/>
        <v>61.23</v>
      </c>
      <c r="G18" s="70" t="s">
        <v>294</v>
      </c>
      <c r="H18" s="71">
        <v>101</v>
      </c>
      <c r="I18" s="105">
        <f t="shared" si="4"/>
        <v>834.58999999999992</v>
      </c>
      <c r="K18" s="122"/>
      <c r="L18" s="896">
        <f t="shared" si="5"/>
        <v>84</v>
      </c>
      <c r="M18" s="828"/>
      <c r="N18" s="705"/>
      <c r="O18" s="736"/>
      <c r="P18" s="705">
        <f t="shared" si="1"/>
        <v>0</v>
      </c>
      <c r="Q18" s="703"/>
      <c r="R18" s="704"/>
      <c r="S18" s="740">
        <f t="shared" si="6"/>
        <v>1004.87</v>
      </c>
    </row>
    <row r="19" spans="1:19" x14ac:dyDescent="0.25">
      <c r="A19" s="122"/>
      <c r="B19" s="182">
        <f t="shared" si="3"/>
        <v>54</v>
      </c>
      <c r="C19" s="15">
        <v>16</v>
      </c>
      <c r="D19" s="69">
        <v>195.06</v>
      </c>
      <c r="E19" s="202">
        <v>44888</v>
      </c>
      <c r="F19" s="69">
        <f t="shared" si="2"/>
        <v>195.06</v>
      </c>
      <c r="G19" s="70" t="s">
        <v>296</v>
      </c>
      <c r="H19" s="71">
        <v>101</v>
      </c>
      <c r="I19" s="105">
        <f t="shared" si="4"/>
        <v>639.53</v>
      </c>
      <c r="K19" s="122"/>
      <c r="L19" s="896">
        <f t="shared" si="5"/>
        <v>84</v>
      </c>
      <c r="M19" s="828"/>
      <c r="N19" s="705"/>
      <c r="O19" s="736"/>
      <c r="P19" s="705">
        <f t="shared" si="1"/>
        <v>0</v>
      </c>
      <c r="Q19" s="703"/>
      <c r="R19" s="704"/>
      <c r="S19" s="740">
        <f t="shared" si="6"/>
        <v>1004.87</v>
      </c>
    </row>
    <row r="20" spans="1:19" x14ac:dyDescent="0.25">
      <c r="A20" s="122"/>
      <c r="B20" s="182">
        <f t="shared" si="3"/>
        <v>49</v>
      </c>
      <c r="C20" s="15">
        <v>5</v>
      </c>
      <c r="D20" s="69">
        <v>60.45</v>
      </c>
      <c r="E20" s="202">
        <v>44890</v>
      </c>
      <c r="F20" s="69">
        <f t="shared" si="2"/>
        <v>60.45</v>
      </c>
      <c r="G20" s="70" t="s">
        <v>308</v>
      </c>
      <c r="H20" s="71">
        <v>101</v>
      </c>
      <c r="I20" s="105">
        <f t="shared" si="4"/>
        <v>579.07999999999993</v>
      </c>
      <c r="K20" s="122"/>
      <c r="L20" s="896">
        <f t="shared" si="5"/>
        <v>84</v>
      </c>
      <c r="M20" s="828"/>
      <c r="N20" s="705"/>
      <c r="O20" s="736"/>
      <c r="P20" s="705">
        <f t="shared" si="1"/>
        <v>0</v>
      </c>
      <c r="Q20" s="703"/>
      <c r="R20" s="704"/>
      <c r="S20" s="740">
        <f t="shared" si="6"/>
        <v>1004.87</v>
      </c>
    </row>
    <row r="21" spans="1:19" x14ac:dyDescent="0.25">
      <c r="A21" s="122"/>
      <c r="B21" s="834">
        <f t="shared" si="3"/>
        <v>41</v>
      </c>
      <c r="C21" s="828">
        <v>8</v>
      </c>
      <c r="D21" s="69">
        <v>95.94</v>
      </c>
      <c r="E21" s="202">
        <v>44891</v>
      </c>
      <c r="F21" s="69">
        <f t="shared" si="2"/>
        <v>95.94</v>
      </c>
      <c r="G21" s="70" t="s">
        <v>314</v>
      </c>
      <c r="H21" s="71">
        <v>101</v>
      </c>
      <c r="I21" s="831">
        <f t="shared" si="4"/>
        <v>483.13999999999993</v>
      </c>
      <c r="K21" s="122"/>
      <c r="L21" s="896">
        <f t="shared" si="5"/>
        <v>84</v>
      </c>
      <c r="M21" s="828"/>
      <c r="N21" s="705"/>
      <c r="O21" s="736"/>
      <c r="P21" s="705">
        <f t="shared" si="1"/>
        <v>0</v>
      </c>
      <c r="Q21" s="703"/>
      <c r="R21" s="704"/>
      <c r="S21" s="740">
        <f t="shared" si="6"/>
        <v>1004.87</v>
      </c>
    </row>
    <row r="22" spans="1:19" x14ac:dyDescent="0.25">
      <c r="A22" s="122"/>
      <c r="B22" s="182">
        <f t="shared" si="3"/>
        <v>41</v>
      </c>
      <c r="C22" s="15"/>
      <c r="D22" s="538"/>
      <c r="E22" s="735"/>
      <c r="F22" s="538">
        <f t="shared" si="2"/>
        <v>0</v>
      </c>
      <c r="G22" s="330"/>
      <c r="H22" s="331"/>
      <c r="I22" s="105">
        <f t="shared" si="4"/>
        <v>483.13999999999993</v>
      </c>
      <c r="K22" s="122"/>
      <c r="L22" s="896">
        <f t="shared" si="5"/>
        <v>84</v>
      </c>
      <c r="M22" s="828"/>
      <c r="N22" s="1005"/>
      <c r="O22" s="1009"/>
      <c r="P22" s="1005">
        <f t="shared" si="1"/>
        <v>0</v>
      </c>
      <c r="Q22" s="1006"/>
      <c r="R22" s="1007"/>
      <c r="S22" s="740">
        <f t="shared" si="6"/>
        <v>1004.87</v>
      </c>
    </row>
    <row r="23" spans="1:19" x14ac:dyDescent="0.25">
      <c r="A23" s="123"/>
      <c r="B23" s="182">
        <f t="shared" si="3"/>
        <v>41</v>
      </c>
      <c r="C23" s="15"/>
      <c r="D23" s="538"/>
      <c r="E23" s="735"/>
      <c r="F23" s="538">
        <f t="shared" si="2"/>
        <v>0</v>
      </c>
      <c r="G23" s="330"/>
      <c r="H23" s="331"/>
      <c r="I23" s="105">
        <f t="shared" si="4"/>
        <v>483.13999999999993</v>
      </c>
      <c r="K23" s="123"/>
      <c r="L23" s="896">
        <f t="shared" si="5"/>
        <v>84</v>
      </c>
      <c r="M23" s="828"/>
      <c r="N23" s="1005"/>
      <c r="O23" s="1009"/>
      <c r="P23" s="1005">
        <f t="shared" si="1"/>
        <v>0</v>
      </c>
      <c r="Q23" s="1006"/>
      <c r="R23" s="1007"/>
      <c r="S23" s="740">
        <f t="shared" si="6"/>
        <v>1004.87</v>
      </c>
    </row>
    <row r="24" spans="1:19" x14ac:dyDescent="0.25">
      <c r="A24" s="122"/>
      <c r="B24" s="182">
        <f t="shared" si="3"/>
        <v>41</v>
      </c>
      <c r="C24" s="15"/>
      <c r="D24" s="538"/>
      <c r="E24" s="735"/>
      <c r="F24" s="538">
        <f t="shared" si="2"/>
        <v>0</v>
      </c>
      <c r="G24" s="330"/>
      <c r="H24" s="331"/>
      <c r="I24" s="105">
        <f t="shared" si="4"/>
        <v>483.13999999999993</v>
      </c>
      <c r="K24" s="122"/>
      <c r="L24" s="896">
        <f t="shared" si="5"/>
        <v>84</v>
      </c>
      <c r="M24" s="828"/>
      <c r="N24" s="1005"/>
      <c r="O24" s="1009"/>
      <c r="P24" s="1005">
        <f t="shared" si="1"/>
        <v>0</v>
      </c>
      <c r="Q24" s="1006"/>
      <c r="R24" s="1007"/>
      <c r="S24" s="740">
        <f t="shared" si="6"/>
        <v>1004.87</v>
      </c>
    </row>
    <row r="25" spans="1:19" x14ac:dyDescent="0.25">
      <c r="A25" s="122"/>
      <c r="B25" s="182">
        <f t="shared" si="3"/>
        <v>41</v>
      </c>
      <c r="C25" s="15"/>
      <c r="D25" s="538"/>
      <c r="E25" s="735"/>
      <c r="F25" s="538">
        <f t="shared" si="2"/>
        <v>0</v>
      </c>
      <c r="G25" s="330"/>
      <c r="H25" s="331"/>
      <c r="I25" s="105">
        <f t="shared" si="4"/>
        <v>483.13999999999993</v>
      </c>
      <c r="K25" s="122"/>
      <c r="L25" s="896">
        <f t="shared" si="5"/>
        <v>84</v>
      </c>
      <c r="M25" s="828"/>
      <c r="N25" s="1005"/>
      <c r="O25" s="1009"/>
      <c r="P25" s="1005">
        <f t="shared" si="1"/>
        <v>0</v>
      </c>
      <c r="Q25" s="1006"/>
      <c r="R25" s="1007"/>
      <c r="S25" s="740">
        <f t="shared" si="6"/>
        <v>1004.87</v>
      </c>
    </row>
    <row r="26" spans="1:19" x14ac:dyDescent="0.25">
      <c r="A26" s="122"/>
      <c r="B26" s="182">
        <f t="shared" si="3"/>
        <v>41</v>
      </c>
      <c r="C26" s="15"/>
      <c r="D26" s="538"/>
      <c r="E26" s="735"/>
      <c r="F26" s="538">
        <f t="shared" si="2"/>
        <v>0</v>
      </c>
      <c r="G26" s="330"/>
      <c r="H26" s="331"/>
      <c r="I26" s="105">
        <f t="shared" si="4"/>
        <v>483.13999999999993</v>
      </c>
      <c r="K26" s="122"/>
      <c r="L26" s="182">
        <f t="shared" si="5"/>
        <v>84</v>
      </c>
      <c r="M26" s="15"/>
      <c r="N26" s="538"/>
      <c r="O26" s="735"/>
      <c r="P26" s="538">
        <f t="shared" si="1"/>
        <v>0</v>
      </c>
      <c r="Q26" s="330"/>
      <c r="R26" s="331"/>
      <c r="S26" s="105">
        <f t="shared" si="6"/>
        <v>1004.87</v>
      </c>
    </row>
    <row r="27" spans="1:19" x14ac:dyDescent="0.25">
      <c r="A27" s="122"/>
      <c r="B27" s="182">
        <f t="shared" si="3"/>
        <v>41</v>
      </c>
      <c r="C27" s="15"/>
      <c r="D27" s="538"/>
      <c r="E27" s="735"/>
      <c r="F27" s="538">
        <f t="shared" si="2"/>
        <v>0</v>
      </c>
      <c r="G27" s="330"/>
      <c r="H27" s="331"/>
      <c r="I27" s="105">
        <f t="shared" si="4"/>
        <v>483.13999999999993</v>
      </c>
      <c r="K27" s="122"/>
      <c r="L27" s="182">
        <f t="shared" si="5"/>
        <v>84</v>
      </c>
      <c r="M27" s="15"/>
      <c r="N27" s="538"/>
      <c r="O27" s="735"/>
      <c r="P27" s="538">
        <f t="shared" si="1"/>
        <v>0</v>
      </c>
      <c r="Q27" s="330"/>
      <c r="R27" s="331"/>
      <c r="S27" s="105">
        <f t="shared" si="6"/>
        <v>1004.87</v>
      </c>
    </row>
    <row r="28" spans="1:19" x14ac:dyDescent="0.25">
      <c r="A28" s="122"/>
      <c r="B28" s="182">
        <f t="shared" si="3"/>
        <v>41</v>
      </c>
      <c r="C28" s="15"/>
      <c r="D28" s="538"/>
      <c r="E28" s="735"/>
      <c r="F28" s="538">
        <f t="shared" si="2"/>
        <v>0</v>
      </c>
      <c r="G28" s="330"/>
      <c r="H28" s="331"/>
      <c r="I28" s="105">
        <f t="shared" si="4"/>
        <v>483.13999999999993</v>
      </c>
      <c r="K28" s="122"/>
      <c r="L28" s="182">
        <f t="shared" si="5"/>
        <v>84</v>
      </c>
      <c r="M28" s="15"/>
      <c r="N28" s="538"/>
      <c r="O28" s="735"/>
      <c r="P28" s="538">
        <f t="shared" si="1"/>
        <v>0</v>
      </c>
      <c r="Q28" s="330"/>
      <c r="R28" s="331"/>
      <c r="S28" s="105">
        <f t="shared" si="6"/>
        <v>1004.87</v>
      </c>
    </row>
    <row r="29" spans="1:19" x14ac:dyDescent="0.25">
      <c r="A29" s="122"/>
      <c r="B29" s="182">
        <f t="shared" si="3"/>
        <v>41</v>
      </c>
      <c r="C29" s="15"/>
      <c r="D29" s="538"/>
      <c r="E29" s="735"/>
      <c r="F29" s="538">
        <f t="shared" si="2"/>
        <v>0</v>
      </c>
      <c r="G29" s="330"/>
      <c r="H29" s="331"/>
      <c r="I29" s="105">
        <f t="shared" si="4"/>
        <v>483.13999999999993</v>
      </c>
      <c r="K29" s="122"/>
      <c r="L29" s="182">
        <f t="shared" si="5"/>
        <v>84</v>
      </c>
      <c r="M29" s="15"/>
      <c r="N29" s="538"/>
      <c r="O29" s="735"/>
      <c r="P29" s="538">
        <f t="shared" si="1"/>
        <v>0</v>
      </c>
      <c r="Q29" s="330"/>
      <c r="R29" s="331"/>
      <c r="S29" s="105">
        <f t="shared" si="6"/>
        <v>1004.87</v>
      </c>
    </row>
    <row r="30" spans="1:19" x14ac:dyDescent="0.25">
      <c r="A30" s="122"/>
      <c r="B30" s="182">
        <f t="shared" si="3"/>
        <v>41</v>
      </c>
      <c r="C30" s="15"/>
      <c r="D30" s="538"/>
      <c r="E30" s="735"/>
      <c r="F30" s="538">
        <f t="shared" si="2"/>
        <v>0</v>
      </c>
      <c r="G30" s="330"/>
      <c r="H30" s="331"/>
      <c r="I30" s="105">
        <f t="shared" si="4"/>
        <v>483.13999999999993</v>
      </c>
      <c r="K30" s="122"/>
      <c r="L30" s="182">
        <f t="shared" si="5"/>
        <v>84</v>
      </c>
      <c r="M30" s="15"/>
      <c r="N30" s="538"/>
      <c r="O30" s="735"/>
      <c r="P30" s="538">
        <f t="shared" si="1"/>
        <v>0</v>
      </c>
      <c r="Q30" s="330"/>
      <c r="R30" s="331"/>
      <c r="S30" s="105">
        <f t="shared" si="6"/>
        <v>1004.87</v>
      </c>
    </row>
    <row r="31" spans="1:19" x14ac:dyDescent="0.25">
      <c r="A31" s="122"/>
      <c r="B31" s="182">
        <f t="shared" si="3"/>
        <v>41</v>
      </c>
      <c r="C31" s="15"/>
      <c r="D31" s="538"/>
      <c r="E31" s="735"/>
      <c r="F31" s="538">
        <f t="shared" si="2"/>
        <v>0</v>
      </c>
      <c r="G31" s="330"/>
      <c r="H31" s="331"/>
      <c r="I31" s="105">
        <f t="shared" si="4"/>
        <v>483.13999999999993</v>
      </c>
      <c r="K31" s="122"/>
      <c r="L31" s="182">
        <f t="shared" si="5"/>
        <v>84</v>
      </c>
      <c r="M31" s="15"/>
      <c r="N31" s="538"/>
      <c r="O31" s="735"/>
      <c r="P31" s="538">
        <f t="shared" si="1"/>
        <v>0</v>
      </c>
      <c r="Q31" s="330"/>
      <c r="R31" s="331"/>
      <c r="S31" s="105">
        <f t="shared" si="6"/>
        <v>1004.87</v>
      </c>
    </row>
    <row r="32" spans="1:19" x14ac:dyDescent="0.25">
      <c r="A32" s="122"/>
      <c r="B32" s="182">
        <f t="shared" si="3"/>
        <v>41</v>
      </c>
      <c r="C32" s="15"/>
      <c r="D32" s="538"/>
      <c r="E32" s="735"/>
      <c r="F32" s="538">
        <f t="shared" si="2"/>
        <v>0</v>
      </c>
      <c r="G32" s="330"/>
      <c r="H32" s="331"/>
      <c r="I32" s="105">
        <f t="shared" si="4"/>
        <v>483.13999999999993</v>
      </c>
      <c r="K32" s="122"/>
      <c r="L32" s="182">
        <f t="shared" si="5"/>
        <v>84</v>
      </c>
      <c r="M32" s="15"/>
      <c r="N32" s="538"/>
      <c r="O32" s="735"/>
      <c r="P32" s="538">
        <f t="shared" si="1"/>
        <v>0</v>
      </c>
      <c r="Q32" s="330"/>
      <c r="R32" s="331"/>
      <c r="S32" s="105">
        <f t="shared" si="6"/>
        <v>1004.87</v>
      </c>
    </row>
    <row r="33" spans="1:19" x14ac:dyDescent="0.25">
      <c r="A33" s="122"/>
      <c r="B33" s="182">
        <f t="shared" si="3"/>
        <v>41</v>
      </c>
      <c r="C33" s="15"/>
      <c r="D33" s="538"/>
      <c r="E33" s="735"/>
      <c r="F33" s="538">
        <f t="shared" si="2"/>
        <v>0</v>
      </c>
      <c r="G33" s="330"/>
      <c r="H33" s="331"/>
      <c r="I33" s="105">
        <f t="shared" si="4"/>
        <v>483.13999999999993</v>
      </c>
      <c r="K33" s="122"/>
      <c r="L33" s="182">
        <f t="shared" si="5"/>
        <v>84</v>
      </c>
      <c r="M33" s="15"/>
      <c r="N33" s="538"/>
      <c r="O33" s="735"/>
      <c r="P33" s="538">
        <f t="shared" si="1"/>
        <v>0</v>
      </c>
      <c r="Q33" s="330"/>
      <c r="R33" s="331"/>
      <c r="S33" s="105">
        <f t="shared" si="6"/>
        <v>1004.87</v>
      </c>
    </row>
    <row r="34" spans="1:19" x14ac:dyDescent="0.25">
      <c r="A34" s="122"/>
      <c r="B34" s="182">
        <f t="shared" si="3"/>
        <v>41</v>
      </c>
      <c r="C34" s="15"/>
      <c r="D34" s="538"/>
      <c r="E34" s="735"/>
      <c r="F34" s="538">
        <f t="shared" si="2"/>
        <v>0</v>
      </c>
      <c r="G34" s="330"/>
      <c r="H34" s="331"/>
      <c r="I34" s="105">
        <f t="shared" si="4"/>
        <v>483.13999999999993</v>
      </c>
      <c r="K34" s="122"/>
      <c r="L34" s="182">
        <f t="shared" si="5"/>
        <v>84</v>
      </c>
      <c r="M34" s="15"/>
      <c r="N34" s="538"/>
      <c r="O34" s="735"/>
      <c r="P34" s="538">
        <f t="shared" si="1"/>
        <v>0</v>
      </c>
      <c r="Q34" s="330"/>
      <c r="R34" s="331"/>
      <c r="S34" s="105">
        <f t="shared" si="6"/>
        <v>1004.87</v>
      </c>
    </row>
    <row r="35" spans="1:19" x14ac:dyDescent="0.25">
      <c r="A35" s="122"/>
      <c r="B35" s="182">
        <f t="shared" si="3"/>
        <v>41</v>
      </c>
      <c r="C35" s="15"/>
      <c r="D35" s="538"/>
      <c r="E35" s="735"/>
      <c r="F35" s="538">
        <f t="shared" si="2"/>
        <v>0</v>
      </c>
      <c r="G35" s="330"/>
      <c r="H35" s="331"/>
      <c r="I35" s="105">
        <f t="shared" si="4"/>
        <v>483.13999999999993</v>
      </c>
      <c r="K35" s="122"/>
      <c r="L35" s="182">
        <f t="shared" si="5"/>
        <v>84</v>
      </c>
      <c r="M35" s="15"/>
      <c r="N35" s="538"/>
      <c r="O35" s="735"/>
      <c r="P35" s="538">
        <f t="shared" si="1"/>
        <v>0</v>
      </c>
      <c r="Q35" s="330"/>
      <c r="R35" s="331"/>
      <c r="S35" s="105">
        <f t="shared" si="6"/>
        <v>1004.87</v>
      </c>
    </row>
    <row r="36" spans="1:19" x14ac:dyDescent="0.25">
      <c r="A36" s="122" t="s">
        <v>22</v>
      </c>
      <c r="B36" s="182">
        <f t="shared" si="3"/>
        <v>41</v>
      </c>
      <c r="C36" s="15"/>
      <c r="D36" s="538"/>
      <c r="E36" s="735"/>
      <c r="F36" s="538">
        <f t="shared" si="2"/>
        <v>0</v>
      </c>
      <c r="G36" s="330"/>
      <c r="H36" s="331"/>
      <c r="I36" s="105">
        <f t="shared" si="4"/>
        <v>483.13999999999993</v>
      </c>
      <c r="K36" s="122" t="s">
        <v>22</v>
      </c>
      <c r="L36" s="182">
        <f t="shared" si="5"/>
        <v>84</v>
      </c>
      <c r="M36" s="15"/>
      <c r="N36" s="538"/>
      <c r="O36" s="735"/>
      <c r="P36" s="538">
        <f t="shared" si="1"/>
        <v>0</v>
      </c>
      <c r="Q36" s="330"/>
      <c r="R36" s="331"/>
      <c r="S36" s="105">
        <f t="shared" si="6"/>
        <v>1004.87</v>
      </c>
    </row>
    <row r="37" spans="1:19" x14ac:dyDescent="0.25">
      <c r="A37" s="123"/>
      <c r="B37" s="182">
        <f t="shared" si="3"/>
        <v>41</v>
      </c>
      <c r="C37" s="15"/>
      <c r="D37" s="69"/>
      <c r="E37" s="202"/>
      <c r="F37" s="69">
        <f t="shared" si="2"/>
        <v>0</v>
      </c>
      <c r="G37" s="70"/>
      <c r="H37" s="71"/>
      <c r="I37" s="105">
        <f t="shared" si="4"/>
        <v>483.13999999999993</v>
      </c>
      <c r="K37" s="123"/>
      <c r="L37" s="182">
        <f t="shared" si="5"/>
        <v>84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1004.87</v>
      </c>
    </row>
    <row r="38" spans="1:19" x14ac:dyDescent="0.25">
      <c r="A38" s="122"/>
      <c r="B38" s="182">
        <f t="shared" si="3"/>
        <v>41</v>
      </c>
      <c r="C38" s="15"/>
      <c r="D38" s="69"/>
      <c r="E38" s="202"/>
      <c r="F38" s="69">
        <f t="shared" si="2"/>
        <v>0</v>
      </c>
      <c r="G38" s="70"/>
      <c r="H38" s="71"/>
      <c r="I38" s="105">
        <f t="shared" si="4"/>
        <v>483.13999999999993</v>
      </c>
      <c r="K38" s="122"/>
      <c r="L38" s="182">
        <f t="shared" si="5"/>
        <v>84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1004.87</v>
      </c>
    </row>
    <row r="39" spans="1:19" x14ac:dyDescent="0.25">
      <c r="A39" s="122"/>
      <c r="B39" s="182">
        <f t="shared" si="3"/>
        <v>41</v>
      </c>
      <c r="C39" s="15"/>
      <c r="D39" s="69"/>
      <c r="E39" s="202"/>
      <c r="F39" s="69">
        <f t="shared" si="2"/>
        <v>0</v>
      </c>
      <c r="G39" s="70"/>
      <c r="H39" s="71"/>
      <c r="I39" s="105">
        <f t="shared" si="4"/>
        <v>483.13999999999993</v>
      </c>
      <c r="K39" s="122"/>
      <c r="L39" s="182">
        <f t="shared" si="5"/>
        <v>84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1004.87</v>
      </c>
    </row>
    <row r="40" spans="1:19" x14ac:dyDescent="0.25">
      <c r="A40" s="122"/>
      <c r="B40" s="182">
        <f t="shared" si="3"/>
        <v>41</v>
      </c>
      <c r="C40" s="15"/>
      <c r="D40" s="69"/>
      <c r="E40" s="202"/>
      <c r="F40" s="69">
        <f t="shared" si="2"/>
        <v>0</v>
      </c>
      <c r="G40" s="70"/>
      <c r="H40" s="71"/>
      <c r="I40" s="105">
        <f t="shared" si="4"/>
        <v>483.13999999999993</v>
      </c>
      <c r="K40" s="122"/>
      <c r="L40" s="182">
        <f t="shared" si="5"/>
        <v>84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1004.87</v>
      </c>
    </row>
    <row r="41" spans="1:19" x14ac:dyDescent="0.25">
      <c r="A41" s="122"/>
      <c r="B41" s="182">
        <f t="shared" si="3"/>
        <v>41</v>
      </c>
      <c r="C41" s="15"/>
      <c r="D41" s="69"/>
      <c r="E41" s="202"/>
      <c r="F41" s="69">
        <f t="shared" si="2"/>
        <v>0</v>
      </c>
      <c r="G41" s="70"/>
      <c r="H41" s="71"/>
      <c r="I41" s="105">
        <f t="shared" si="4"/>
        <v>483.13999999999993</v>
      </c>
      <c r="K41" s="122"/>
      <c r="L41" s="182">
        <f t="shared" si="5"/>
        <v>84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1004.87</v>
      </c>
    </row>
    <row r="42" spans="1:19" x14ac:dyDescent="0.25">
      <c r="A42" s="122"/>
      <c r="B42" s="182">
        <f t="shared" si="3"/>
        <v>41</v>
      </c>
      <c r="C42" s="15"/>
      <c r="D42" s="69"/>
      <c r="E42" s="202"/>
      <c r="F42" s="69">
        <f t="shared" si="2"/>
        <v>0</v>
      </c>
      <c r="G42" s="70"/>
      <c r="H42" s="71"/>
      <c r="I42" s="105">
        <f t="shared" si="4"/>
        <v>483.13999999999993</v>
      </c>
      <c r="K42" s="122"/>
      <c r="L42" s="182">
        <f t="shared" si="5"/>
        <v>84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1004.87</v>
      </c>
    </row>
    <row r="43" spans="1:19" x14ac:dyDescent="0.25">
      <c r="A43" s="122"/>
      <c r="B43" s="182">
        <f t="shared" si="3"/>
        <v>41</v>
      </c>
      <c r="C43" s="15"/>
      <c r="D43" s="69"/>
      <c r="E43" s="202"/>
      <c r="F43" s="69">
        <f t="shared" si="2"/>
        <v>0</v>
      </c>
      <c r="G43" s="70"/>
      <c r="H43" s="71"/>
      <c r="I43" s="105">
        <f t="shared" si="4"/>
        <v>483.13999999999993</v>
      </c>
      <c r="K43" s="122"/>
      <c r="L43" s="182">
        <f t="shared" si="5"/>
        <v>84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1004.87</v>
      </c>
    </row>
    <row r="44" spans="1:19" x14ac:dyDescent="0.25">
      <c r="A44" s="122"/>
      <c r="B44" s="182">
        <f t="shared" si="3"/>
        <v>41</v>
      </c>
      <c r="C44" s="15"/>
      <c r="D44" s="69"/>
      <c r="E44" s="202"/>
      <c r="F44" s="69">
        <f t="shared" si="2"/>
        <v>0</v>
      </c>
      <c r="G44" s="70"/>
      <c r="H44" s="71"/>
      <c r="I44" s="105">
        <f t="shared" si="4"/>
        <v>483.13999999999993</v>
      </c>
      <c r="K44" s="122"/>
      <c r="L44" s="182">
        <f t="shared" si="5"/>
        <v>84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1004.87</v>
      </c>
    </row>
    <row r="45" spans="1:19" x14ac:dyDescent="0.25">
      <c r="A45" s="122"/>
      <c r="B45" s="182">
        <f t="shared" si="3"/>
        <v>41</v>
      </c>
      <c r="C45" s="15"/>
      <c r="D45" s="69"/>
      <c r="E45" s="202"/>
      <c r="F45" s="69">
        <f t="shared" si="2"/>
        <v>0</v>
      </c>
      <c r="G45" s="70"/>
      <c r="H45" s="71"/>
      <c r="I45" s="105">
        <f t="shared" si="4"/>
        <v>483.13999999999993</v>
      </c>
      <c r="K45" s="122"/>
      <c r="L45" s="182">
        <f t="shared" si="5"/>
        <v>84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1004.87</v>
      </c>
    </row>
    <row r="46" spans="1:19" x14ac:dyDescent="0.25">
      <c r="A46" s="122"/>
      <c r="B46" s="182">
        <f t="shared" si="3"/>
        <v>41</v>
      </c>
      <c r="C46" s="15"/>
      <c r="D46" s="69"/>
      <c r="E46" s="202"/>
      <c r="F46" s="69">
        <f t="shared" si="2"/>
        <v>0</v>
      </c>
      <c r="G46" s="70"/>
      <c r="H46" s="71"/>
      <c r="I46" s="105">
        <f t="shared" si="4"/>
        <v>483.13999999999993</v>
      </c>
      <c r="K46" s="122"/>
      <c r="L46" s="182">
        <f t="shared" si="5"/>
        <v>84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1004.87</v>
      </c>
    </row>
    <row r="47" spans="1:19" x14ac:dyDescent="0.25">
      <c r="A47" s="122"/>
      <c r="B47" s="182">
        <f t="shared" si="3"/>
        <v>41</v>
      </c>
      <c r="C47" s="15"/>
      <c r="D47" s="69"/>
      <c r="E47" s="202"/>
      <c r="F47" s="69">
        <f t="shared" si="2"/>
        <v>0</v>
      </c>
      <c r="G47" s="70"/>
      <c r="H47" s="71"/>
      <c r="I47" s="105">
        <f t="shared" si="4"/>
        <v>483.13999999999993</v>
      </c>
      <c r="K47" s="122"/>
      <c r="L47" s="182">
        <f t="shared" si="5"/>
        <v>84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1004.87</v>
      </c>
    </row>
    <row r="48" spans="1:19" x14ac:dyDescent="0.25">
      <c r="A48" s="122"/>
      <c r="B48" s="182">
        <f t="shared" si="3"/>
        <v>41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483.13999999999993</v>
      </c>
      <c r="K48" s="122"/>
      <c r="L48" s="182">
        <f t="shared" si="5"/>
        <v>84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1004.87</v>
      </c>
    </row>
    <row r="49" spans="1:19" x14ac:dyDescent="0.25">
      <c r="A49" s="122"/>
      <c r="B49" s="182">
        <f t="shared" si="3"/>
        <v>41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483.13999999999993</v>
      </c>
      <c r="K49" s="122"/>
      <c r="L49" s="182">
        <f t="shared" si="5"/>
        <v>84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1004.87</v>
      </c>
    </row>
    <row r="50" spans="1:19" x14ac:dyDescent="0.25">
      <c r="A50" s="122"/>
      <c r="B50" s="182">
        <f t="shared" si="3"/>
        <v>41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483.13999999999993</v>
      </c>
      <c r="K50" s="122"/>
      <c r="L50" s="182">
        <f t="shared" si="5"/>
        <v>84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1004.87</v>
      </c>
    </row>
    <row r="51" spans="1:19" x14ac:dyDescent="0.25">
      <c r="A51" s="122"/>
      <c r="B51" s="182">
        <f t="shared" si="3"/>
        <v>41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483.13999999999993</v>
      </c>
      <c r="K51" s="122"/>
      <c r="L51" s="182">
        <f t="shared" si="5"/>
        <v>84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1004.87</v>
      </c>
    </row>
    <row r="52" spans="1:19" x14ac:dyDescent="0.25">
      <c r="A52" s="122"/>
      <c r="B52" s="182">
        <f t="shared" si="3"/>
        <v>41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483.13999999999993</v>
      </c>
      <c r="K52" s="122"/>
      <c r="L52" s="182">
        <f t="shared" si="5"/>
        <v>84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1004.87</v>
      </c>
    </row>
    <row r="53" spans="1:19" x14ac:dyDescent="0.25">
      <c r="A53" s="122"/>
      <c r="B53" s="182">
        <f t="shared" si="3"/>
        <v>41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483.13999999999993</v>
      </c>
      <c r="K53" s="122"/>
      <c r="L53" s="182">
        <f t="shared" si="5"/>
        <v>84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1004.87</v>
      </c>
    </row>
    <row r="54" spans="1:19" x14ac:dyDescent="0.25">
      <c r="A54" s="122"/>
      <c r="B54" s="182">
        <f t="shared" si="3"/>
        <v>41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483.13999999999993</v>
      </c>
      <c r="K54" s="122"/>
      <c r="L54" s="182">
        <f t="shared" si="5"/>
        <v>84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1004.87</v>
      </c>
    </row>
    <row r="55" spans="1:19" x14ac:dyDescent="0.25">
      <c r="A55" s="122"/>
      <c r="B55" s="182">
        <f t="shared" si="3"/>
        <v>41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483.13999999999993</v>
      </c>
      <c r="K55" s="122"/>
      <c r="L55" s="182">
        <f t="shared" si="5"/>
        <v>84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1004.87</v>
      </c>
    </row>
    <row r="56" spans="1:19" x14ac:dyDescent="0.25">
      <c r="A56" s="122"/>
      <c r="B56" s="182">
        <f t="shared" si="3"/>
        <v>41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483.13999999999993</v>
      </c>
      <c r="K56" s="122"/>
      <c r="L56" s="182">
        <f t="shared" si="5"/>
        <v>84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1004.87</v>
      </c>
    </row>
    <row r="57" spans="1:19" x14ac:dyDescent="0.25">
      <c r="A57" s="122"/>
      <c r="B57" s="182">
        <f t="shared" si="3"/>
        <v>41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483.13999999999993</v>
      </c>
      <c r="K57" s="122"/>
      <c r="L57" s="182">
        <f t="shared" si="5"/>
        <v>84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1004.87</v>
      </c>
    </row>
    <row r="58" spans="1:19" x14ac:dyDescent="0.25">
      <c r="A58" s="122"/>
      <c r="B58" s="182">
        <f t="shared" si="3"/>
        <v>41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483.13999999999993</v>
      </c>
      <c r="K58" s="122"/>
      <c r="L58" s="182">
        <f t="shared" si="5"/>
        <v>84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1004.87</v>
      </c>
    </row>
    <row r="59" spans="1:19" x14ac:dyDescent="0.25">
      <c r="A59" s="122"/>
      <c r="B59" s="182">
        <f t="shared" si="3"/>
        <v>41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483.13999999999993</v>
      </c>
      <c r="K59" s="122"/>
      <c r="L59" s="182">
        <f t="shared" si="5"/>
        <v>84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1004.87</v>
      </c>
    </row>
    <row r="60" spans="1:19" x14ac:dyDescent="0.25">
      <c r="A60" s="122"/>
      <c r="B60" s="182">
        <f t="shared" si="3"/>
        <v>41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483.13999999999993</v>
      </c>
      <c r="K60" s="122"/>
      <c r="L60" s="182">
        <f t="shared" si="5"/>
        <v>84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1004.87</v>
      </c>
    </row>
    <row r="61" spans="1:19" x14ac:dyDescent="0.25">
      <c r="A61" s="122"/>
      <c r="B61" s="182">
        <f t="shared" si="3"/>
        <v>41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483.13999999999993</v>
      </c>
      <c r="K61" s="122"/>
      <c r="L61" s="182">
        <f t="shared" si="5"/>
        <v>84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1004.87</v>
      </c>
    </row>
    <row r="62" spans="1:19" x14ac:dyDescent="0.25">
      <c r="A62" s="122"/>
      <c r="B62" s="182">
        <f t="shared" si="3"/>
        <v>41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483.13999999999993</v>
      </c>
      <c r="K62" s="122"/>
      <c r="L62" s="182">
        <f t="shared" si="5"/>
        <v>84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1004.87</v>
      </c>
    </row>
    <row r="63" spans="1:19" x14ac:dyDescent="0.25">
      <c r="A63" s="122"/>
      <c r="B63" s="182">
        <f t="shared" si="3"/>
        <v>41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483.13999999999993</v>
      </c>
      <c r="K63" s="122"/>
      <c r="L63" s="182">
        <f t="shared" si="5"/>
        <v>84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1004.87</v>
      </c>
    </row>
    <row r="64" spans="1:19" x14ac:dyDescent="0.25">
      <c r="A64" s="122"/>
      <c r="B64" s="182">
        <f t="shared" si="3"/>
        <v>41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483.13999999999993</v>
      </c>
      <c r="K64" s="122"/>
      <c r="L64" s="182">
        <f t="shared" si="5"/>
        <v>84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1004.87</v>
      </c>
    </row>
    <row r="65" spans="1:19" x14ac:dyDescent="0.25">
      <c r="A65" s="122"/>
      <c r="B65" s="182">
        <f t="shared" si="3"/>
        <v>41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483.13999999999993</v>
      </c>
      <c r="K65" s="122"/>
      <c r="L65" s="182">
        <f t="shared" si="5"/>
        <v>84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1004.87</v>
      </c>
    </row>
    <row r="66" spans="1:19" x14ac:dyDescent="0.25">
      <c r="A66" s="122"/>
      <c r="B66" s="182">
        <f t="shared" si="3"/>
        <v>41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483.13999999999993</v>
      </c>
      <c r="K66" s="122"/>
      <c r="L66" s="182">
        <f t="shared" si="5"/>
        <v>84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1004.87</v>
      </c>
    </row>
    <row r="67" spans="1:19" x14ac:dyDescent="0.25">
      <c r="A67" s="122"/>
      <c r="B67" s="182">
        <f t="shared" si="3"/>
        <v>41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483.13999999999993</v>
      </c>
      <c r="K67" s="122"/>
      <c r="L67" s="182">
        <f t="shared" si="5"/>
        <v>84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1004.87</v>
      </c>
    </row>
    <row r="68" spans="1:19" x14ac:dyDescent="0.25">
      <c r="A68" s="122"/>
      <c r="B68" s="182">
        <f t="shared" si="3"/>
        <v>41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483.13999999999993</v>
      </c>
      <c r="K68" s="122"/>
      <c r="L68" s="182">
        <f t="shared" si="5"/>
        <v>84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1004.87</v>
      </c>
    </row>
    <row r="69" spans="1:19" x14ac:dyDescent="0.25">
      <c r="A69" s="122"/>
      <c r="B69" s="182">
        <f t="shared" si="3"/>
        <v>41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483.13999999999993</v>
      </c>
      <c r="K69" s="122"/>
      <c r="L69" s="182">
        <f t="shared" si="5"/>
        <v>84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1004.87</v>
      </c>
    </row>
    <row r="70" spans="1:19" x14ac:dyDescent="0.25">
      <c r="A70" s="122"/>
      <c r="B70" s="182">
        <f t="shared" si="3"/>
        <v>41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483.13999999999993</v>
      </c>
      <c r="K70" s="122"/>
      <c r="L70" s="182">
        <f t="shared" si="5"/>
        <v>84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1004.87</v>
      </c>
    </row>
    <row r="71" spans="1:19" x14ac:dyDescent="0.25">
      <c r="A71" s="122"/>
      <c r="B71" s="182">
        <f t="shared" si="3"/>
        <v>41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483.13999999999993</v>
      </c>
      <c r="K71" s="122"/>
      <c r="L71" s="182">
        <f t="shared" si="5"/>
        <v>84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1004.87</v>
      </c>
    </row>
    <row r="72" spans="1:19" x14ac:dyDescent="0.25">
      <c r="A72" s="122"/>
      <c r="B72" s="182">
        <f t="shared" si="3"/>
        <v>41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483.13999999999993</v>
      </c>
      <c r="K72" s="122"/>
      <c r="L72" s="182">
        <f t="shared" si="5"/>
        <v>84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1004.87</v>
      </c>
    </row>
    <row r="73" spans="1:19" x14ac:dyDescent="0.25">
      <c r="A73" s="122"/>
      <c r="B73" s="182">
        <f t="shared" si="3"/>
        <v>41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483.13999999999993</v>
      </c>
      <c r="K73" s="122"/>
      <c r="L73" s="182">
        <f t="shared" si="5"/>
        <v>84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1004.87</v>
      </c>
    </row>
    <row r="74" spans="1:19" x14ac:dyDescent="0.25">
      <c r="A74" s="122"/>
      <c r="B74" s="182">
        <f t="shared" si="3"/>
        <v>41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483.13999999999993</v>
      </c>
      <c r="K74" s="122"/>
      <c r="L74" s="182">
        <f t="shared" si="5"/>
        <v>84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1004.87</v>
      </c>
    </row>
    <row r="75" spans="1:19" x14ac:dyDescent="0.25">
      <c r="A75" s="122"/>
      <c r="B75" s="182">
        <f t="shared" ref="B75" si="9">B74-C75</f>
        <v>41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483.13999999999993</v>
      </c>
      <c r="K75" s="122"/>
      <c r="L75" s="182">
        <f t="shared" ref="L75" si="11">L74-M75</f>
        <v>84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1004.87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483.13999999999993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1004.87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93</v>
      </c>
      <c r="D78" s="6">
        <f>SUM(D9:D77)</f>
        <v>1120.1400000000001</v>
      </c>
      <c r="F78" s="6">
        <f>SUM(F9:F77)</f>
        <v>1120.1400000000001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33</v>
      </c>
      <c r="N81" s="45" t="s">
        <v>4</v>
      </c>
      <c r="O81" s="56">
        <f>P5+P6-M78+P7</f>
        <v>84</v>
      </c>
    </row>
    <row r="82" spans="3:16" ht="15.75" thickBot="1" x14ac:dyDescent="0.3"/>
    <row r="83" spans="3:16" ht="15.75" thickBot="1" x14ac:dyDescent="0.3">
      <c r="C83" s="1201" t="s">
        <v>11</v>
      </c>
      <c r="D83" s="1202"/>
      <c r="E83" s="57">
        <f>E5+E6-F78+E7</f>
        <v>390.55999999999995</v>
      </c>
      <c r="F83" s="73"/>
      <c r="M83" s="1201" t="s">
        <v>11</v>
      </c>
      <c r="N83" s="1202"/>
      <c r="O83" s="57">
        <f>O5+O6-P78+O7</f>
        <v>1004.87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19" activePane="bottomLeft" state="frozen"/>
      <selection pane="bottomLeft" activeCell="Q2" sqref="Q2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99" t="s">
        <v>322</v>
      </c>
      <c r="B1" s="1199"/>
      <c r="C1" s="1199"/>
      <c r="D1" s="1199"/>
      <c r="E1" s="1199"/>
      <c r="F1" s="1199"/>
      <c r="G1" s="1199"/>
      <c r="H1" s="11">
        <v>1</v>
      </c>
      <c r="L1" s="1203" t="s">
        <v>340</v>
      </c>
      <c r="M1" s="1203"/>
      <c r="N1" s="1203"/>
      <c r="O1" s="1203"/>
      <c r="P1" s="1203"/>
      <c r="Q1" s="1203"/>
      <c r="R1" s="120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33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3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48"/>
      <c r="B4" s="1208" t="s">
        <v>73</v>
      </c>
      <c r="C4" s="244"/>
      <c r="D4" s="134"/>
      <c r="E4" s="477">
        <v>6.93</v>
      </c>
      <c r="F4" s="73"/>
      <c r="G4" s="155"/>
      <c r="H4" s="155"/>
      <c r="L4" s="448"/>
      <c r="M4" s="1208" t="s">
        <v>73</v>
      </c>
      <c r="N4" s="244"/>
      <c r="O4" s="134"/>
      <c r="P4" s="477"/>
      <c r="Q4" s="73"/>
      <c r="R4" s="155"/>
      <c r="S4" s="155"/>
    </row>
    <row r="5" spans="1:21" ht="21" customHeight="1" x14ac:dyDescent="0.25">
      <c r="A5" s="1210" t="s">
        <v>225</v>
      </c>
      <c r="B5" s="1209"/>
      <c r="C5" s="244"/>
      <c r="D5" s="134">
        <v>44886</v>
      </c>
      <c r="E5" s="477">
        <v>17078.599999999999</v>
      </c>
      <c r="F5" s="73">
        <v>551</v>
      </c>
      <c r="G5" s="5"/>
      <c r="L5" s="1192" t="s">
        <v>97</v>
      </c>
      <c r="M5" s="1209"/>
      <c r="N5" s="244">
        <v>124</v>
      </c>
      <c r="O5" s="134">
        <v>44909</v>
      </c>
      <c r="P5" s="477">
        <v>5029.8</v>
      </c>
      <c r="Q5" s="73">
        <v>166</v>
      </c>
      <c r="R5" s="5"/>
    </row>
    <row r="6" spans="1:21" ht="21" customHeight="1" x14ac:dyDescent="0.25">
      <c r="A6" s="1210"/>
      <c r="B6" s="1209"/>
      <c r="C6" s="402"/>
      <c r="D6" s="134"/>
      <c r="E6" s="478"/>
      <c r="F6" s="73"/>
      <c r="G6" s="47">
        <f>F79</f>
        <v>2699.0899999999997</v>
      </c>
      <c r="H6" s="7">
        <f>E6-G6+E7+E5-G5+E4</f>
        <v>14386.439999999999</v>
      </c>
      <c r="L6" s="1192"/>
      <c r="M6" s="1209"/>
      <c r="N6" s="402"/>
      <c r="O6" s="134"/>
      <c r="P6" s="478"/>
      <c r="Q6" s="73"/>
      <c r="R6" s="47">
        <f>Q79</f>
        <v>0</v>
      </c>
      <c r="S6" s="7">
        <f>P6-R6+P7+P5-R5+P4</f>
        <v>5029.8</v>
      </c>
    </row>
    <row r="7" spans="1:21" ht="15.75" x14ac:dyDescent="0.25">
      <c r="A7" s="942"/>
      <c r="B7" s="1209"/>
      <c r="C7" s="234"/>
      <c r="D7" s="232"/>
      <c r="E7" s="477"/>
      <c r="F7" s="73"/>
      <c r="L7" s="942"/>
      <c r="M7" s="1209"/>
      <c r="N7" s="234"/>
      <c r="O7" s="232"/>
      <c r="P7" s="477"/>
      <c r="Q7" s="73"/>
    </row>
    <row r="8" spans="1:21" ht="15.75" thickBot="1" x14ac:dyDescent="0.3">
      <c r="A8" s="448"/>
      <c r="B8" s="148"/>
      <c r="C8" s="234"/>
      <c r="D8" s="232"/>
      <c r="E8" s="477"/>
      <c r="F8" s="73"/>
      <c r="L8" s="448"/>
      <c r="M8" s="148"/>
      <c r="N8" s="234"/>
      <c r="O8" s="232"/>
      <c r="P8" s="477"/>
      <c r="Q8" s="73"/>
    </row>
    <row r="9" spans="1:21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35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35" t="s">
        <v>3</v>
      </c>
    </row>
    <row r="10" spans="1:21" ht="15.75" thickTop="1" x14ac:dyDescent="0.25">
      <c r="A10" s="80" t="s">
        <v>32</v>
      </c>
      <c r="B10" s="896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294</v>
      </c>
      <c r="H10" s="71">
        <v>137</v>
      </c>
      <c r="I10" s="740">
        <f>E6-F10+E5+E4+E7+E8</f>
        <v>16930.71</v>
      </c>
      <c r="J10" s="878">
        <f>F10*H10</f>
        <v>21210.34</v>
      </c>
      <c r="L10" s="80" t="s">
        <v>32</v>
      </c>
      <c r="M10" s="896">
        <f>Q6-N10+Q5+Q4+Q7+Q8</f>
        <v>166</v>
      </c>
      <c r="N10" s="15"/>
      <c r="O10" s="69"/>
      <c r="P10" s="202"/>
      <c r="Q10" s="69">
        <f t="shared" ref="Q10:Q57" si="1">O10</f>
        <v>0</v>
      </c>
      <c r="R10" s="70"/>
      <c r="S10" s="71"/>
      <c r="T10" s="740">
        <f>P6-Q10+P5+P4+P7+P8</f>
        <v>5029.8</v>
      </c>
      <c r="U10" s="878">
        <f>Q10*S10</f>
        <v>0</v>
      </c>
    </row>
    <row r="11" spans="1:21" x14ac:dyDescent="0.25">
      <c r="A11" s="194"/>
      <c r="B11" s="896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297</v>
      </c>
      <c r="H11" s="71">
        <v>137</v>
      </c>
      <c r="I11" s="740">
        <f>I10-F11</f>
        <v>16679.27</v>
      </c>
      <c r="J11" s="878">
        <f t="shared" ref="J11:J74" si="2">F11*H11</f>
        <v>34447.279999999999</v>
      </c>
      <c r="L11" s="194"/>
      <c r="M11" s="896">
        <f>M10-N11</f>
        <v>166</v>
      </c>
      <c r="N11" s="828"/>
      <c r="O11" s="705"/>
      <c r="P11" s="736"/>
      <c r="Q11" s="705">
        <f t="shared" si="1"/>
        <v>0</v>
      </c>
      <c r="R11" s="703"/>
      <c r="S11" s="704"/>
      <c r="T11" s="740">
        <f>T10-Q11</f>
        <v>5029.8</v>
      </c>
      <c r="U11" s="878">
        <f t="shared" ref="U11:U74" si="3">Q11*S11</f>
        <v>0</v>
      </c>
    </row>
    <row r="12" spans="1:21" x14ac:dyDescent="0.25">
      <c r="A12" s="182"/>
      <c r="B12" s="896">
        <f t="shared" ref="B12:B75" si="4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299</v>
      </c>
      <c r="H12" s="71">
        <v>137</v>
      </c>
      <c r="I12" s="740">
        <f t="shared" ref="I12:I75" si="5">I11-F12</f>
        <v>16652.96</v>
      </c>
      <c r="J12" s="878">
        <f t="shared" si="2"/>
        <v>3604.47</v>
      </c>
      <c r="L12" s="182"/>
      <c r="M12" s="896">
        <f t="shared" ref="M12:M75" si="6">M11-N12</f>
        <v>166</v>
      </c>
      <c r="N12" s="828"/>
      <c r="O12" s="705"/>
      <c r="P12" s="736"/>
      <c r="Q12" s="705">
        <f t="shared" si="1"/>
        <v>0</v>
      </c>
      <c r="R12" s="703"/>
      <c r="S12" s="704"/>
      <c r="T12" s="740">
        <f t="shared" ref="T12:T75" si="7">T11-Q12</f>
        <v>5029.8</v>
      </c>
      <c r="U12" s="878">
        <f t="shared" si="3"/>
        <v>0</v>
      </c>
    </row>
    <row r="13" spans="1:21" x14ac:dyDescent="0.25">
      <c r="A13" s="182"/>
      <c r="B13" s="896">
        <f t="shared" si="4"/>
        <v>536</v>
      </c>
      <c r="C13" s="828">
        <v>1</v>
      </c>
      <c r="D13" s="705">
        <v>33.11</v>
      </c>
      <c r="E13" s="736">
        <v>44889</v>
      </c>
      <c r="F13" s="705">
        <f t="shared" ref="F13:F57" si="8">D13</f>
        <v>33.11</v>
      </c>
      <c r="G13" s="703" t="s">
        <v>301</v>
      </c>
      <c r="H13" s="704">
        <v>137</v>
      </c>
      <c r="I13" s="740">
        <f t="shared" si="5"/>
        <v>16619.849999999999</v>
      </c>
      <c r="J13" s="878">
        <f t="shared" si="2"/>
        <v>4536.07</v>
      </c>
      <c r="L13" s="182"/>
      <c r="M13" s="896">
        <f t="shared" si="6"/>
        <v>166</v>
      </c>
      <c r="N13" s="828"/>
      <c r="O13" s="705"/>
      <c r="P13" s="736"/>
      <c r="Q13" s="705">
        <f t="shared" si="1"/>
        <v>0</v>
      </c>
      <c r="R13" s="703"/>
      <c r="S13" s="704"/>
      <c r="T13" s="740">
        <f t="shared" si="7"/>
        <v>5029.8</v>
      </c>
      <c r="U13" s="878">
        <f t="shared" si="3"/>
        <v>0</v>
      </c>
    </row>
    <row r="14" spans="1:21" x14ac:dyDescent="0.25">
      <c r="A14" s="82" t="s">
        <v>33</v>
      </c>
      <c r="B14" s="896">
        <f t="shared" si="4"/>
        <v>529</v>
      </c>
      <c r="C14" s="828">
        <v>7</v>
      </c>
      <c r="D14" s="705">
        <v>203.38</v>
      </c>
      <c r="E14" s="736">
        <v>44889</v>
      </c>
      <c r="F14" s="705">
        <f t="shared" si="8"/>
        <v>203.38</v>
      </c>
      <c r="G14" s="703" t="s">
        <v>302</v>
      </c>
      <c r="H14" s="704">
        <v>137</v>
      </c>
      <c r="I14" s="740">
        <f t="shared" si="5"/>
        <v>16416.469999999998</v>
      </c>
      <c r="J14" s="878">
        <f t="shared" si="2"/>
        <v>27863.059999999998</v>
      </c>
      <c r="L14" s="82" t="s">
        <v>33</v>
      </c>
      <c r="M14" s="896">
        <f t="shared" si="6"/>
        <v>166</v>
      </c>
      <c r="N14" s="828"/>
      <c r="O14" s="705"/>
      <c r="P14" s="736"/>
      <c r="Q14" s="705">
        <f t="shared" si="1"/>
        <v>0</v>
      </c>
      <c r="R14" s="703"/>
      <c r="S14" s="704"/>
      <c r="T14" s="740">
        <f t="shared" si="7"/>
        <v>5029.8</v>
      </c>
      <c r="U14" s="878">
        <f t="shared" si="3"/>
        <v>0</v>
      </c>
    </row>
    <row r="15" spans="1:21" x14ac:dyDescent="0.25">
      <c r="A15" s="73"/>
      <c r="B15" s="896">
        <f t="shared" si="4"/>
        <v>510</v>
      </c>
      <c r="C15" s="828">
        <v>19</v>
      </c>
      <c r="D15" s="705">
        <v>555.08000000000004</v>
      </c>
      <c r="E15" s="736">
        <v>44889</v>
      </c>
      <c r="F15" s="705">
        <f t="shared" si="8"/>
        <v>555.08000000000004</v>
      </c>
      <c r="G15" s="703" t="s">
        <v>303</v>
      </c>
      <c r="H15" s="704">
        <v>137</v>
      </c>
      <c r="I15" s="740">
        <f t="shared" si="5"/>
        <v>15861.389999999998</v>
      </c>
      <c r="J15" s="878">
        <f t="shared" si="2"/>
        <v>76045.960000000006</v>
      </c>
      <c r="L15" s="73"/>
      <c r="M15" s="896">
        <f t="shared" si="6"/>
        <v>166</v>
      </c>
      <c r="N15" s="828"/>
      <c r="O15" s="705"/>
      <c r="P15" s="736"/>
      <c r="Q15" s="705">
        <f t="shared" si="1"/>
        <v>0</v>
      </c>
      <c r="R15" s="703"/>
      <c r="S15" s="704"/>
      <c r="T15" s="740">
        <f t="shared" si="7"/>
        <v>5029.8</v>
      </c>
      <c r="U15" s="878">
        <f t="shared" si="3"/>
        <v>0</v>
      </c>
    </row>
    <row r="16" spans="1:21" x14ac:dyDescent="0.25">
      <c r="A16" s="73"/>
      <c r="B16" s="182">
        <f t="shared" si="4"/>
        <v>495</v>
      </c>
      <c r="C16" s="15">
        <v>15</v>
      </c>
      <c r="D16" s="69">
        <v>472.79</v>
      </c>
      <c r="E16" s="202">
        <v>44891</v>
      </c>
      <c r="F16" s="69">
        <f t="shared" si="8"/>
        <v>472.79</v>
      </c>
      <c r="G16" s="70" t="s">
        <v>309</v>
      </c>
      <c r="H16" s="970">
        <v>131</v>
      </c>
      <c r="I16" s="105">
        <f t="shared" si="5"/>
        <v>15388.599999999997</v>
      </c>
      <c r="J16" s="17">
        <f t="shared" si="2"/>
        <v>61935.490000000005</v>
      </c>
      <c r="L16" s="73"/>
      <c r="M16" s="896">
        <f t="shared" si="6"/>
        <v>166</v>
      </c>
      <c r="N16" s="828"/>
      <c r="O16" s="705"/>
      <c r="P16" s="736"/>
      <c r="Q16" s="705">
        <f t="shared" si="1"/>
        <v>0</v>
      </c>
      <c r="R16" s="703"/>
      <c r="S16" s="704"/>
      <c r="T16" s="740">
        <f t="shared" si="7"/>
        <v>5029.8</v>
      </c>
      <c r="U16" s="878">
        <f t="shared" si="3"/>
        <v>0</v>
      </c>
    </row>
    <row r="17" spans="1:21" x14ac:dyDescent="0.25">
      <c r="B17" s="182">
        <f t="shared" si="4"/>
        <v>494</v>
      </c>
      <c r="C17" s="15">
        <v>1</v>
      </c>
      <c r="D17" s="69">
        <v>28.49</v>
      </c>
      <c r="E17" s="202">
        <v>44891</v>
      </c>
      <c r="F17" s="69">
        <f t="shared" si="8"/>
        <v>28.49</v>
      </c>
      <c r="G17" s="70" t="s">
        <v>310</v>
      </c>
      <c r="H17" s="71">
        <v>137</v>
      </c>
      <c r="I17" s="105">
        <f t="shared" si="5"/>
        <v>15360.109999999997</v>
      </c>
      <c r="J17" s="17">
        <f t="shared" si="2"/>
        <v>3903.1299999999997</v>
      </c>
      <c r="M17" s="896">
        <f t="shared" si="6"/>
        <v>166</v>
      </c>
      <c r="N17" s="828"/>
      <c r="O17" s="705"/>
      <c r="P17" s="736"/>
      <c r="Q17" s="705">
        <f t="shared" si="1"/>
        <v>0</v>
      </c>
      <c r="R17" s="703"/>
      <c r="S17" s="704"/>
      <c r="T17" s="740">
        <f t="shared" si="7"/>
        <v>5029.8</v>
      </c>
      <c r="U17" s="878">
        <f t="shared" si="3"/>
        <v>0</v>
      </c>
    </row>
    <row r="18" spans="1:21" x14ac:dyDescent="0.25">
      <c r="B18" s="834">
        <f t="shared" si="4"/>
        <v>464</v>
      </c>
      <c r="C18" s="828">
        <v>30</v>
      </c>
      <c r="D18" s="69">
        <v>973.67</v>
      </c>
      <c r="E18" s="202">
        <v>44891</v>
      </c>
      <c r="F18" s="69">
        <f t="shared" si="8"/>
        <v>973.67</v>
      </c>
      <c r="G18" s="70" t="s">
        <v>313</v>
      </c>
      <c r="H18" s="71">
        <v>137</v>
      </c>
      <c r="I18" s="831">
        <f t="shared" si="5"/>
        <v>14386.439999999997</v>
      </c>
      <c r="J18" s="17">
        <f t="shared" si="2"/>
        <v>133392.79</v>
      </c>
      <c r="M18" s="896">
        <f t="shared" si="6"/>
        <v>166</v>
      </c>
      <c r="N18" s="828"/>
      <c r="O18" s="705"/>
      <c r="P18" s="736"/>
      <c r="Q18" s="705">
        <f t="shared" si="1"/>
        <v>0</v>
      </c>
      <c r="R18" s="703"/>
      <c r="S18" s="704"/>
      <c r="T18" s="740">
        <f t="shared" si="7"/>
        <v>5029.8</v>
      </c>
      <c r="U18" s="878">
        <f t="shared" si="3"/>
        <v>0</v>
      </c>
    </row>
    <row r="19" spans="1:21" x14ac:dyDescent="0.25">
      <c r="A19" s="122"/>
      <c r="B19" s="182">
        <f t="shared" si="4"/>
        <v>464</v>
      </c>
      <c r="C19" s="15"/>
      <c r="D19" s="538"/>
      <c r="E19" s="735"/>
      <c r="F19" s="538">
        <f t="shared" si="8"/>
        <v>0</v>
      </c>
      <c r="G19" s="330"/>
      <c r="H19" s="331"/>
      <c r="I19" s="105">
        <f t="shared" si="5"/>
        <v>14386.439999999997</v>
      </c>
      <c r="J19" s="17">
        <f t="shared" si="2"/>
        <v>0</v>
      </c>
      <c r="L19" s="122"/>
      <c r="M19" s="896">
        <f t="shared" si="6"/>
        <v>166</v>
      </c>
      <c r="N19" s="828"/>
      <c r="O19" s="705"/>
      <c r="P19" s="736"/>
      <c r="Q19" s="705">
        <f t="shared" si="1"/>
        <v>0</v>
      </c>
      <c r="R19" s="703"/>
      <c r="S19" s="704"/>
      <c r="T19" s="740">
        <f t="shared" si="7"/>
        <v>5029.8</v>
      </c>
      <c r="U19" s="878">
        <f t="shared" si="3"/>
        <v>0</v>
      </c>
    </row>
    <row r="20" spans="1:21" x14ac:dyDescent="0.25">
      <c r="A20" s="122"/>
      <c r="B20" s="182">
        <f t="shared" si="4"/>
        <v>464</v>
      </c>
      <c r="C20" s="15"/>
      <c r="D20" s="538"/>
      <c r="E20" s="735"/>
      <c r="F20" s="538">
        <f t="shared" si="8"/>
        <v>0</v>
      </c>
      <c r="G20" s="330"/>
      <c r="H20" s="331"/>
      <c r="I20" s="105">
        <f t="shared" si="5"/>
        <v>14386.439999999997</v>
      </c>
      <c r="J20" s="17">
        <f t="shared" si="2"/>
        <v>0</v>
      </c>
      <c r="L20" s="122"/>
      <c r="M20" s="896">
        <f t="shared" si="6"/>
        <v>166</v>
      </c>
      <c r="N20" s="828"/>
      <c r="O20" s="705"/>
      <c r="P20" s="736"/>
      <c r="Q20" s="705">
        <f t="shared" si="1"/>
        <v>0</v>
      </c>
      <c r="R20" s="703"/>
      <c r="S20" s="704"/>
      <c r="T20" s="740">
        <f t="shared" si="7"/>
        <v>5029.8</v>
      </c>
      <c r="U20" s="878">
        <f t="shared" si="3"/>
        <v>0</v>
      </c>
    </row>
    <row r="21" spans="1:21" x14ac:dyDescent="0.25">
      <c r="A21" s="122"/>
      <c r="B21" s="182">
        <f t="shared" si="4"/>
        <v>464</v>
      </c>
      <c r="C21" s="15"/>
      <c r="D21" s="538"/>
      <c r="E21" s="735"/>
      <c r="F21" s="538">
        <f t="shared" si="8"/>
        <v>0</v>
      </c>
      <c r="G21" s="330"/>
      <c r="H21" s="331"/>
      <c r="I21" s="105">
        <f t="shared" si="5"/>
        <v>14386.439999999997</v>
      </c>
      <c r="J21" s="17">
        <f t="shared" si="2"/>
        <v>0</v>
      </c>
      <c r="L21" s="122"/>
      <c r="M21" s="896">
        <f t="shared" si="6"/>
        <v>166</v>
      </c>
      <c r="N21" s="828"/>
      <c r="O21" s="705"/>
      <c r="P21" s="736"/>
      <c r="Q21" s="705">
        <f t="shared" si="1"/>
        <v>0</v>
      </c>
      <c r="R21" s="703"/>
      <c r="S21" s="704"/>
      <c r="T21" s="740">
        <f t="shared" si="7"/>
        <v>5029.8</v>
      </c>
      <c r="U21" s="878">
        <f t="shared" si="3"/>
        <v>0</v>
      </c>
    </row>
    <row r="22" spans="1:21" x14ac:dyDescent="0.25">
      <c r="A22" s="122"/>
      <c r="B22" s="182">
        <f t="shared" si="4"/>
        <v>464</v>
      </c>
      <c r="C22" s="15"/>
      <c r="D22" s="538"/>
      <c r="E22" s="735"/>
      <c r="F22" s="538">
        <f t="shared" si="8"/>
        <v>0</v>
      </c>
      <c r="G22" s="330"/>
      <c r="H22" s="331"/>
      <c r="I22" s="105">
        <f t="shared" si="5"/>
        <v>14386.439999999997</v>
      </c>
      <c r="J22" s="17">
        <f t="shared" si="2"/>
        <v>0</v>
      </c>
      <c r="L22" s="122"/>
      <c r="M22" s="896">
        <f t="shared" si="6"/>
        <v>166</v>
      </c>
      <c r="N22" s="828"/>
      <c r="O22" s="705"/>
      <c r="P22" s="736"/>
      <c r="Q22" s="705">
        <f t="shared" si="1"/>
        <v>0</v>
      </c>
      <c r="R22" s="703"/>
      <c r="S22" s="704"/>
      <c r="T22" s="740">
        <f t="shared" si="7"/>
        <v>5029.8</v>
      </c>
      <c r="U22" s="878">
        <f t="shared" si="3"/>
        <v>0</v>
      </c>
    </row>
    <row r="23" spans="1:21" x14ac:dyDescent="0.25">
      <c r="A23" s="122"/>
      <c r="B23" s="182">
        <f t="shared" si="4"/>
        <v>464</v>
      </c>
      <c r="C23" s="15"/>
      <c r="D23" s="538"/>
      <c r="E23" s="735"/>
      <c r="F23" s="538">
        <f t="shared" si="8"/>
        <v>0</v>
      </c>
      <c r="G23" s="330"/>
      <c r="H23" s="331"/>
      <c r="I23" s="105">
        <f t="shared" si="5"/>
        <v>14386.439999999997</v>
      </c>
      <c r="J23" s="17">
        <f t="shared" si="2"/>
        <v>0</v>
      </c>
      <c r="L23" s="122"/>
      <c r="M23" s="182">
        <f t="shared" si="6"/>
        <v>166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7"/>
        <v>5029.8</v>
      </c>
      <c r="U23" s="17">
        <f t="shared" si="3"/>
        <v>0</v>
      </c>
    </row>
    <row r="24" spans="1:21" x14ac:dyDescent="0.25">
      <c r="A24" s="123"/>
      <c r="B24" s="182">
        <f t="shared" si="4"/>
        <v>464</v>
      </c>
      <c r="C24" s="15"/>
      <c r="D24" s="538"/>
      <c r="E24" s="735"/>
      <c r="F24" s="538">
        <f t="shared" si="8"/>
        <v>0</v>
      </c>
      <c r="G24" s="330"/>
      <c r="H24" s="331"/>
      <c r="I24" s="105">
        <f t="shared" si="5"/>
        <v>14386.439999999997</v>
      </c>
      <c r="J24" s="17">
        <f t="shared" si="2"/>
        <v>0</v>
      </c>
      <c r="L24" s="123"/>
      <c r="M24" s="182">
        <f t="shared" si="6"/>
        <v>166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7"/>
        <v>5029.8</v>
      </c>
      <c r="U24" s="17">
        <f t="shared" si="3"/>
        <v>0</v>
      </c>
    </row>
    <row r="25" spans="1:21" x14ac:dyDescent="0.25">
      <c r="A25" s="122"/>
      <c r="B25" s="182">
        <f t="shared" si="4"/>
        <v>464</v>
      </c>
      <c r="C25" s="15"/>
      <c r="D25" s="538"/>
      <c r="E25" s="735"/>
      <c r="F25" s="538">
        <f t="shared" si="8"/>
        <v>0</v>
      </c>
      <c r="G25" s="330"/>
      <c r="H25" s="331"/>
      <c r="I25" s="105">
        <f t="shared" si="5"/>
        <v>14386.439999999997</v>
      </c>
      <c r="J25" s="17">
        <f t="shared" si="2"/>
        <v>0</v>
      </c>
      <c r="L25" s="122"/>
      <c r="M25" s="182">
        <f t="shared" si="6"/>
        <v>166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7"/>
        <v>5029.8</v>
      </c>
      <c r="U25" s="17">
        <f t="shared" si="3"/>
        <v>0</v>
      </c>
    </row>
    <row r="26" spans="1:21" x14ac:dyDescent="0.25">
      <c r="A26" s="122"/>
      <c r="B26" s="182">
        <f t="shared" si="4"/>
        <v>464</v>
      </c>
      <c r="C26" s="15"/>
      <c r="D26" s="538"/>
      <c r="E26" s="735"/>
      <c r="F26" s="538">
        <f t="shared" si="8"/>
        <v>0</v>
      </c>
      <c r="G26" s="330"/>
      <c r="H26" s="331"/>
      <c r="I26" s="105">
        <f t="shared" si="5"/>
        <v>14386.439999999997</v>
      </c>
      <c r="J26" s="17">
        <f t="shared" si="2"/>
        <v>0</v>
      </c>
      <c r="L26" s="122"/>
      <c r="M26" s="182">
        <f t="shared" si="6"/>
        <v>166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7"/>
        <v>5029.8</v>
      </c>
      <c r="U26" s="17">
        <f t="shared" si="3"/>
        <v>0</v>
      </c>
    </row>
    <row r="27" spans="1:21" x14ac:dyDescent="0.25">
      <c r="A27" s="122"/>
      <c r="B27" s="182">
        <f t="shared" si="4"/>
        <v>464</v>
      </c>
      <c r="C27" s="15"/>
      <c r="D27" s="538"/>
      <c r="E27" s="735"/>
      <c r="F27" s="538">
        <f t="shared" si="8"/>
        <v>0</v>
      </c>
      <c r="G27" s="330"/>
      <c r="H27" s="331"/>
      <c r="I27" s="105">
        <f t="shared" si="5"/>
        <v>14386.439999999997</v>
      </c>
      <c r="J27" s="17">
        <f t="shared" si="2"/>
        <v>0</v>
      </c>
      <c r="L27" s="122"/>
      <c r="M27" s="182">
        <f t="shared" si="6"/>
        <v>166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7"/>
        <v>5029.8</v>
      </c>
      <c r="U27" s="17">
        <f t="shared" si="3"/>
        <v>0</v>
      </c>
    </row>
    <row r="28" spans="1:21" x14ac:dyDescent="0.25">
      <c r="A28" s="122"/>
      <c r="B28" s="182">
        <f t="shared" si="4"/>
        <v>464</v>
      </c>
      <c r="C28" s="15"/>
      <c r="D28" s="538"/>
      <c r="E28" s="735"/>
      <c r="F28" s="538">
        <f t="shared" si="8"/>
        <v>0</v>
      </c>
      <c r="G28" s="330"/>
      <c r="H28" s="331"/>
      <c r="I28" s="105">
        <f t="shared" si="5"/>
        <v>14386.439999999997</v>
      </c>
      <c r="J28" s="17">
        <f t="shared" si="2"/>
        <v>0</v>
      </c>
      <c r="L28" s="122"/>
      <c r="M28" s="182">
        <f t="shared" si="6"/>
        <v>166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7"/>
        <v>5029.8</v>
      </c>
      <c r="U28" s="17">
        <f t="shared" si="3"/>
        <v>0</v>
      </c>
    </row>
    <row r="29" spans="1:21" x14ac:dyDescent="0.25">
      <c r="A29" s="122"/>
      <c r="B29" s="182">
        <f t="shared" si="4"/>
        <v>464</v>
      </c>
      <c r="C29" s="15"/>
      <c r="D29" s="538"/>
      <c r="E29" s="735"/>
      <c r="F29" s="538">
        <f t="shared" si="8"/>
        <v>0</v>
      </c>
      <c r="G29" s="330"/>
      <c r="H29" s="331"/>
      <c r="I29" s="105">
        <f t="shared" si="5"/>
        <v>14386.439999999997</v>
      </c>
      <c r="J29" s="17">
        <f t="shared" si="2"/>
        <v>0</v>
      </c>
      <c r="L29" s="122"/>
      <c r="M29" s="182">
        <f t="shared" si="6"/>
        <v>166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7"/>
        <v>5029.8</v>
      </c>
      <c r="U29" s="17">
        <f t="shared" si="3"/>
        <v>0</v>
      </c>
    </row>
    <row r="30" spans="1:21" x14ac:dyDescent="0.25">
      <c r="A30" s="122"/>
      <c r="B30" s="182">
        <f t="shared" si="4"/>
        <v>464</v>
      </c>
      <c r="C30" s="15"/>
      <c r="D30" s="538"/>
      <c r="E30" s="735"/>
      <c r="F30" s="538">
        <f t="shared" si="8"/>
        <v>0</v>
      </c>
      <c r="G30" s="330"/>
      <c r="H30" s="331"/>
      <c r="I30" s="105">
        <f t="shared" si="5"/>
        <v>14386.439999999997</v>
      </c>
      <c r="J30" s="17">
        <f t="shared" si="2"/>
        <v>0</v>
      </c>
      <c r="L30" s="122"/>
      <c r="M30" s="182">
        <f t="shared" si="6"/>
        <v>166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7"/>
        <v>5029.8</v>
      </c>
      <c r="U30" s="17">
        <f t="shared" si="3"/>
        <v>0</v>
      </c>
    </row>
    <row r="31" spans="1:21" x14ac:dyDescent="0.25">
      <c r="A31" s="122"/>
      <c r="B31" s="182">
        <f t="shared" si="4"/>
        <v>464</v>
      </c>
      <c r="C31" s="15"/>
      <c r="D31" s="538"/>
      <c r="E31" s="735"/>
      <c r="F31" s="538">
        <f t="shared" si="8"/>
        <v>0</v>
      </c>
      <c r="G31" s="330"/>
      <c r="H31" s="331"/>
      <c r="I31" s="105">
        <f t="shared" si="5"/>
        <v>14386.439999999997</v>
      </c>
      <c r="J31" s="17">
        <f t="shared" si="2"/>
        <v>0</v>
      </c>
      <c r="L31" s="122"/>
      <c r="M31" s="182">
        <f t="shared" si="6"/>
        <v>166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7"/>
        <v>5029.8</v>
      </c>
      <c r="U31" s="17">
        <f t="shared" si="3"/>
        <v>0</v>
      </c>
    </row>
    <row r="32" spans="1:21" x14ac:dyDescent="0.25">
      <c r="A32" s="122"/>
      <c r="B32" s="182">
        <f t="shared" si="4"/>
        <v>464</v>
      </c>
      <c r="C32" s="15"/>
      <c r="D32" s="538"/>
      <c r="E32" s="735"/>
      <c r="F32" s="538">
        <f t="shared" si="8"/>
        <v>0</v>
      </c>
      <c r="G32" s="330"/>
      <c r="H32" s="331"/>
      <c r="I32" s="105">
        <f t="shared" si="5"/>
        <v>14386.439999999997</v>
      </c>
      <c r="J32" s="17">
        <f t="shared" si="2"/>
        <v>0</v>
      </c>
      <c r="L32" s="122"/>
      <c r="M32" s="182">
        <f t="shared" si="6"/>
        <v>166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7"/>
        <v>5029.8</v>
      </c>
      <c r="U32" s="17">
        <f t="shared" si="3"/>
        <v>0</v>
      </c>
    </row>
    <row r="33" spans="1:21" x14ac:dyDescent="0.25">
      <c r="A33" s="122"/>
      <c r="B33" s="182">
        <f t="shared" si="4"/>
        <v>464</v>
      </c>
      <c r="C33" s="15"/>
      <c r="D33" s="538"/>
      <c r="E33" s="735"/>
      <c r="F33" s="538">
        <f t="shared" si="8"/>
        <v>0</v>
      </c>
      <c r="G33" s="330"/>
      <c r="H33" s="331"/>
      <c r="I33" s="105">
        <f t="shared" si="5"/>
        <v>14386.439999999997</v>
      </c>
      <c r="J33" s="17">
        <f t="shared" si="2"/>
        <v>0</v>
      </c>
      <c r="L33" s="122"/>
      <c r="M33" s="182">
        <f t="shared" si="6"/>
        <v>166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7"/>
        <v>5029.8</v>
      </c>
      <c r="U33" s="17">
        <f t="shared" si="3"/>
        <v>0</v>
      </c>
    </row>
    <row r="34" spans="1:21" x14ac:dyDescent="0.25">
      <c r="A34" s="122"/>
      <c r="B34" s="182">
        <f t="shared" si="4"/>
        <v>464</v>
      </c>
      <c r="C34" s="15"/>
      <c r="D34" s="538"/>
      <c r="E34" s="735"/>
      <c r="F34" s="538">
        <f t="shared" si="8"/>
        <v>0</v>
      </c>
      <c r="G34" s="330"/>
      <c r="H34" s="331"/>
      <c r="I34" s="105">
        <f t="shared" si="5"/>
        <v>14386.439999999997</v>
      </c>
      <c r="J34" s="17">
        <f t="shared" si="2"/>
        <v>0</v>
      </c>
      <c r="L34" s="122"/>
      <c r="M34" s="182">
        <f t="shared" si="6"/>
        <v>166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7"/>
        <v>5029.8</v>
      </c>
      <c r="U34" s="17">
        <f t="shared" si="3"/>
        <v>0</v>
      </c>
    </row>
    <row r="35" spans="1:21" x14ac:dyDescent="0.25">
      <c r="A35" s="122"/>
      <c r="B35" s="182">
        <f t="shared" si="4"/>
        <v>464</v>
      </c>
      <c r="C35" s="15"/>
      <c r="D35" s="538"/>
      <c r="E35" s="735"/>
      <c r="F35" s="538">
        <f t="shared" si="8"/>
        <v>0</v>
      </c>
      <c r="G35" s="330"/>
      <c r="H35" s="331"/>
      <c r="I35" s="105">
        <f t="shared" si="5"/>
        <v>14386.439999999997</v>
      </c>
      <c r="J35" s="17">
        <f t="shared" si="2"/>
        <v>0</v>
      </c>
      <c r="L35" s="122"/>
      <c r="M35" s="182">
        <f t="shared" si="6"/>
        <v>166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7"/>
        <v>5029.8</v>
      </c>
      <c r="U35" s="17">
        <f t="shared" si="3"/>
        <v>0</v>
      </c>
    </row>
    <row r="36" spans="1:21" x14ac:dyDescent="0.25">
      <c r="A36" s="122"/>
      <c r="B36" s="182">
        <f t="shared" si="4"/>
        <v>464</v>
      </c>
      <c r="C36" s="15"/>
      <c r="D36" s="538"/>
      <c r="E36" s="735"/>
      <c r="F36" s="538">
        <f t="shared" si="8"/>
        <v>0</v>
      </c>
      <c r="G36" s="330"/>
      <c r="H36" s="331"/>
      <c r="I36" s="105">
        <f t="shared" si="5"/>
        <v>14386.439999999997</v>
      </c>
      <c r="J36" s="17">
        <f t="shared" si="2"/>
        <v>0</v>
      </c>
      <c r="L36" s="122"/>
      <c r="M36" s="182">
        <f t="shared" si="6"/>
        <v>166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7"/>
        <v>5029.8</v>
      </c>
      <c r="U36" s="17">
        <f t="shared" si="3"/>
        <v>0</v>
      </c>
    </row>
    <row r="37" spans="1:21" x14ac:dyDescent="0.25">
      <c r="A37" s="122" t="s">
        <v>22</v>
      </c>
      <c r="B37" s="182">
        <f t="shared" si="4"/>
        <v>464</v>
      </c>
      <c r="C37" s="15"/>
      <c r="D37" s="538"/>
      <c r="E37" s="735"/>
      <c r="F37" s="538">
        <f t="shared" si="8"/>
        <v>0</v>
      </c>
      <c r="G37" s="330"/>
      <c r="H37" s="331"/>
      <c r="I37" s="105">
        <f t="shared" si="5"/>
        <v>14386.439999999997</v>
      </c>
      <c r="J37" s="17">
        <f t="shared" si="2"/>
        <v>0</v>
      </c>
      <c r="L37" s="122" t="s">
        <v>22</v>
      </c>
      <c r="M37" s="182">
        <f t="shared" si="6"/>
        <v>166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7"/>
        <v>5029.8</v>
      </c>
      <c r="U37" s="17">
        <f t="shared" si="3"/>
        <v>0</v>
      </c>
    </row>
    <row r="38" spans="1:21" x14ac:dyDescent="0.25">
      <c r="A38" s="123"/>
      <c r="B38" s="182">
        <f t="shared" si="4"/>
        <v>464</v>
      </c>
      <c r="C38" s="15"/>
      <c r="D38" s="538"/>
      <c r="E38" s="735"/>
      <c r="F38" s="538">
        <f t="shared" si="8"/>
        <v>0</v>
      </c>
      <c r="G38" s="330"/>
      <c r="H38" s="331"/>
      <c r="I38" s="105">
        <f t="shared" si="5"/>
        <v>14386.439999999997</v>
      </c>
      <c r="J38" s="17">
        <f t="shared" si="2"/>
        <v>0</v>
      </c>
      <c r="L38" s="123"/>
      <c r="M38" s="182">
        <f t="shared" si="6"/>
        <v>166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7"/>
        <v>5029.8</v>
      </c>
      <c r="U38" s="17">
        <f t="shared" si="3"/>
        <v>0</v>
      </c>
    </row>
    <row r="39" spans="1:21" x14ac:dyDescent="0.25">
      <c r="A39" s="122"/>
      <c r="B39" s="182">
        <f t="shared" si="4"/>
        <v>464</v>
      </c>
      <c r="C39" s="15"/>
      <c r="D39" s="538"/>
      <c r="E39" s="735"/>
      <c r="F39" s="538">
        <f t="shared" si="8"/>
        <v>0</v>
      </c>
      <c r="G39" s="330"/>
      <c r="H39" s="331"/>
      <c r="I39" s="105">
        <f t="shared" si="5"/>
        <v>14386.439999999997</v>
      </c>
      <c r="J39" s="17">
        <f t="shared" si="2"/>
        <v>0</v>
      </c>
      <c r="L39" s="122"/>
      <c r="M39" s="182">
        <f t="shared" si="6"/>
        <v>166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7"/>
        <v>5029.8</v>
      </c>
      <c r="U39" s="17">
        <f t="shared" si="3"/>
        <v>0</v>
      </c>
    </row>
    <row r="40" spans="1:21" x14ac:dyDescent="0.25">
      <c r="A40" s="122"/>
      <c r="B40" s="182">
        <f t="shared" si="4"/>
        <v>464</v>
      </c>
      <c r="C40" s="15"/>
      <c r="D40" s="538"/>
      <c r="E40" s="735"/>
      <c r="F40" s="538">
        <f t="shared" si="8"/>
        <v>0</v>
      </c>
      <c r="G40" s="330"/>
      <c r="H40" s="331"/>
      <c r="I40" s="105">
        <f t="shared" si="5"/>
        <v>14386.439999999997</v>
      </c>
      <c r="J40" s="17">
        <f t="shared" si="2"/>
        <v>0</v>
      </c>
      <c r="L40" s="122"/>
      <c r="M40" s="182">
        <f t="shared" si="6"/>
        <v>166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7"/>
        <v>5029.8</v>
      </c>
      <c r="U40" s="17">
        <f t="shared" si="3"/>
        <v>0</v>
      </c>
    </row>
    <row r="41" spans="1:21" x14ac:dyDescent="0.25">
      <c r="A41" s="122"/>
      <c r="B41" s="182">
        <f t="shared" si="4"/>
        <v>464</v>
      </c>
      <c r="C41" s="15"/>
      <c r="D41" s="538"/>
      <c r="E41" s="735"/>
      <c r="F41" s="538">
        <f t="shared" si="8"/>
        <v>0</v>
      </c>
      <c r="G41" s="330"/>
      <c r="H41" s="331"/>
      <c r="I41" s="105">
        <f t="shared" si="5"/>
        <v>14386.439999999997</v>
      </c>
      <c r="J41" s="17">
        <f t="shared" si="2"/>
        <v>0</v>
      </c>
      <c r="L41" s="122"/>
      <c r="M41" s="182">
        <f t="shared" si="6"/>
        <v>166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7"/>
        <v>5029.8</v>
      </c>
      <c r="U41" s="17">
        <f t="shared" si="3"/>
        <v>0</v>
      </c>
    </row>
    <row r="42" spans="1:21" x14ac:dyDescent="0.25">
      <c r="A42" s="122"/>
      <c r="B42" s="182">
        <f t="shared" si="4"/>
        <v>464</v>
      </c>
      <c r="C42" s="15"/>
      <c r="D42" s="538"/>
      <c r="E42" s="735"/>
      <c r="F42" s="538">
        <f t="shared" si="8"/>
        <v>0</v>
      </c>
      <c r="G42" s="330"/>
      <c r="H42" s="331"/>
      <c r="I42" s="105">
        <f t="shared" si="5"/>
        <v>14386.439999999997</v>
      </c>
      <c r="J42" s="17">
        <f t="shared" si="2"/>
        <v>0</v>
      </c>
      <c r="L42" s="122"/>
      <c r="M42" s="182">
        <f t="shared" si="6"/>
        <v>166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7"/>
        <v>5029.8</v>
      </c>
      <c r="U42" s="17">
        <f t="shared" si="3"/>
        <v>0</v>
      </c>
    </row>
    <row r="43" spans="1:21" x14ac:dyDescent="0.25">
      <c r="A43" s="122"/>
      <c r="B43" s="182">
        <f t="shared" si="4"/>
        <v>464</v>
      </c>
      <c r="C43" s="15"/>
      <c r="D43" s="538"/>
      <c r="E43" s="735"/>
      <c r="F43" s="538">
        <f t="shared" si="8"/>
        <v>0</v>
      </c>
      <c r="G43" s="330"/>
      <c r="H43" s="331"/>
      <c r="I43" s="105">
        <f t="shared" si="5"/>
        <v>14386.439999999997</v>
      </c>
      <c r="J43" s="17">
        <f t="shared" si="2"/>
        <v>0</v>
      </c>
      <c r="L43" s="122"/>
      <c r="M43" s="182">
        <f t="shared" si="6"/>
        <v>166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7"/>
        <v>5029.8</v>
      </c>
      <c r="U43" s="17">
        <f t="shared" si="3"/>
        <v>0</v>
      </c>
    </row>
    <row r="44" spans="1:21" x14ac:dyDescent="0.25">
      <c r="A44" s="122"/>
      <c r="B44" s="182">
        <f t="shared" si="4"/>
        <v>464</v>
      </c>
      <c r="C44" s="15"/>
      <c r="D44" s="538"/>
      <c r="E44" s="735"/>
      <c r="F44" s="538">
        <f t="shared" si="8"/>
        <v>0</v>
      </c>
      <c r="G44" s="330"/>
      <c r="H44" s="331"/>
      <c r="I44" s="105">
        <f t="shared" si="5"/>
        <v>14386.439999999997</v>
      </c>
      <c r="J44" s="17">
        <f t="shared" si="2"/>
        <v>0</v>
      </c>
      <c r="L44" s="122"/>
      <c r="M44" s="182">
        <f t="shared" si="6"/>
        <v>166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7"/>
        <v>5029.8</v>
      </c>
      <c r="U44" s="17">
        <f t="shared" si="3"/>
        <v>0</v>
      </c>
    </row>
    <row r="45" spans="1:21" x14ac:dyDescent="0.25">
      <c r="A45" s="122"/>
      <c r="B45" s="182">
        <f t="shared" si="4"/>
        <v>464</v>
      </c>
      <c r="C45" s="15"/>
      <c r="D45" s="538"/>
      <c r="E45" s="735"/>
      <c r="F45" s="538">
        <f t="shared" si="8"/>
        <v>0</v>
      </c>
      <c r="G45" s="330"/>
      <c r="H45" s="331"/>
      <c r="I45" s="105">
        <f t="shared" si="5"/>
        <v>14386.439999999997</v>
      </c>
      <c r="J45" s="17">
        <f t="shared" si="2"/>
        <v>0</v>
      </c>
      <c r="L45" s="122"/>
      <c r="M45" s="182">
        <f t="shared" si="6"/>
        <v>166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7"/>
        <v>5029.8</v>
      </c>
      <c r="U45" s="17">
        <f t="shared" si="3"/>
        <v>0</v>
      </c>
    </row>
    <row r="46" spans="1:21" x14ac:dyDescent="0.25">
      <c r="A46" s="122"/>
      <c r="B46" s="182">
        <f t="shared" si="4"/>
        <v>464</v>
      </c>
      <c r="C46" s="15"/>
      <c r="D46" s="538"/>
      <c r="E46" s="735"/>
      <c r="F46" s="538">
        <f t="shared" si="8"/>
        <v>0</v>
      </c>
      <c r="G46" s="330"/>
      <c r="H46" s="331"/>
      <c r="I46" s="105">
        <f t="shared" si="5"/>
        <v>14386.439999999997</v>
      </c>
      <c r="J46" s="17">
        <f t="shared" si="2"/>
        <v>0</v>
      </c>
      <c r="L46" s="122"/>
      <c r="M46" s="182">
        <f t="shared" si="6"/>
        <v>166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7"/>
        <v>5029.8</v>
      </c>
      <c r="U46" s="17">
        <f t="shared" si="3"/>
        <v>0</v>
      </c>
    </row>
    <row r="47" spans="1:21" x14ac:dyDescent="0.25">
      <c r="A47" s="122"/>
      <c r="B47" s="182">
        <f t="shared" si="4"/>
        <v>464</v>
      </c>
      <c r="C47" s="15"/>
      <c r="D47" s="538"/>
      <c r="E47" s="735"/>
      <c r="F47" s="538">
        <f t="shared" si="8"/>
        <v>0</v>
      </c>
      <c r="G47" s="330"/>
      <c r="H47" s="331"/>
      <c r="I47" s="105">
        <f t="shared" si="5"/>
        <v>14386.439999999997</v>
      </c>
      <c r="J47" s="17">
        <f t="shared" si="2"/>
        <v>0</v>
      </c>
      <c r="L47" s="122"/>
      <c r="M47" s="182">
        <f t="shared" si="6"/>
        <v>166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7"/>
        <v>5029.8</v>
      </c>
      <c r="U47" s="17">
        <f t="shared" si="3"/>
        <v>0</v>
      </c>
    </row>
    <row r="48" spans="1:21" x14ac:dyDescent="0.25">
      <c r="A48" s="122"/>
      <c r="B48" s="182">
        <f t="shared" si="4"/>
        <v>464</v>
      </c>
      <c r="C48" s="15"/>
      <c r="D48" s="538"/>
      <c r="E48" s="735"/>
      <c r="F48" s="538">
        <f t="shared" si="8"/>
        <v>0</v>
      </c>
      <c r="G48" s="330"/>
      <c r="H48" s="331"/>
      <c r="I48" s="105">
        <f t="shared" si="5"/>
        <v>14386.439999999997</v>
      </c>
      <c r="J48" s="17">
        <f t="shared" si="2"/>
        <v>0</v>
      </c>
      <c r="L48" s="122"/>
      <c r="M48" s="182">
        <f t="shared" si="6"/>
        <v>166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7"/>
        <v>5029.8</v>
      </c>
      <c r="U48" s="17">
        <f t="shared" si="3"/>
        <v>0</v>
      </c>
    </row>
    <row r="49" spans="1:21" x14ac:dyDescent="0.25">
      <c r="A49" s="122"/>
      <c r="B49" s="182">
        <f t="shared" si="4"/>
        <v>464</v>
      </c>
      <c r="C49" s="15"/>
      <c r="D49" s="538"/>
      <c r="E49" s="735"/>
      <c r="F49" s="538">
        <f t="shared" si="8"/>
        <v>0</v>
      </c>
      <c r="G49" s="330"/>
      <c r="H49" s="331"/>
      <c r="I49" s="105">
        <f t="shared" si="5"/>
        <v>14386.439999999997</v>
      </c>
      <c r="J49" s="17">
        <f t="shared" si="2"/>
        <v>0</v>
      </c>
      <c r="L49" s="122"/>
      <c r="M49" s="182">
        <f t="shared" si="6"/>
        <v>166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7"/>
        <v>5029.8</v>
      </c>
      <c r="U49" s="17">
        <f t="shared" si="3"/>
        <v>0</v>
      </c>
    </row>
    <row r="50" spans="1:21" x14ac:dyDescent="0.25">
      <c r="A50" s="122"/>
      <c r="B50" s="182">
        <f t="shared" si="4"/>
        <v>464</v>
      </c>
      <c r="C50" s="15"/>
      <c r="D50" s="538"/>
      <c r="E50" s="735"/>
      <c r="F50" s="538">
        <f t="shared" si="8"/>
        <v>0</v>
      </c>
      <c r="G50" s="330"/>
      <c r="H50" s="331"/>
      <c r="I50" s="105">
        <f t="shared" si="5"/>
        <v>14386.439999999997</v>
      </c>
      <c r="J50" s="17">
        <f t="shared" si="2"/>
        <v>0</v>
      </c>
      <c r="L50" s="122"/>
      <c r="M50" s="182">
        <f t="shared" si="6"/>
        <v>166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7"/>
        <v>5029.8</v>
      </c>
      <c r="U50" s="17">
        <f t="shared" si="3"/>
        <v>0</v>
      </c>
    </row>
    <row r="51" spans="1:21" x14ac:dyDescent="0.25">
      <c r="A51" s="122"/>
      <c r="B51" s="182">
        <f t="shared" si="4"/>
        <v>464</v>
      </c>
      <c r="C51" s="15"/>
      <c r="D51" s="538"/>
      <c r="E51" s="735"/>
      <c r="F51" s="538">
        <f t="shared" si="8"/>
        <v>0</v>
      </c>
      <c r="G51" s="330"/>
      <c r="H51" s="331"/>
      <c r="I51" s="105">
        <f t="shared" si="5"/>
        <v>14386.439999999997</v>
      </c>
      <c r="J51" s="17">
        <f t="shared" si="2"/>
        <v>0</v>
      </c>
      <c r="L51" s="122"/>
      <c r="M51" s="182">
        <f t="shared" si="6"/>
        <v>166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7"/>
        <v>5029.8</v>
      </c>
      <c r="U51" s="17">
        <f t="shared" si="3"/>
        <v>0</v>
      </c>
    </row>
    <row r="52" spans="1:21" x14ac:dyDescent="0.25">
      <c r="A52" s="122"/>
      <c r="B52" s="182">
        <f t="shared" si="4"/>
        <v>464</v>
      </c>
      <c r="C52" s="15"/>
      <c r="D52" s="538"/>
      <c r="E52" s="735"/>
      <c r="F52" s="538">
        <f t="shared" si="8"/>
        <v>0</v>
      </c>
      <c r="G52" s="330"/>
      <c r="H52" s="331"/>
      <c r="I52" s="105">
        <f t="shared" si="5"/>
        <v>14386.439999999997</v>
      </c>
      <c r="J52" s="17">
        <f t="shared" si="2"/>
        <v>0</v>
      </c>
      <c r="L52" s="122"/>
      <c r="M52" s="182">
        <f t="shared" si="6"/>
        <v>166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7"/>
        <v>5029.8</v>
      </c>
      <c r="U52" s="17">
        <f t="shared" si="3"/>
        <v>0</v>
      </c>
    </row>
    <row r="53" spans="1:21" x14ac:dyDescent="0.25">
      <c r="A53" s="122"/>
      <c r="B53" s="182">
        <f t="shared" si="4"/>
        <v>464</v>
      </c>
      <c r="C53" s="15"/>
      <c r="D53" s="538"/>
      <c r="E53" s="735"/>
      <c r="F53" s="538">
        <f t="shared" si="8"/>
        <v>0</v>
      </c>
      <c r="G53" s="330"/>
      <c r="H53" s="331"/>
      <c r="I53" s="105">
        <f t="shared" si="5"/>
        <v>14386.439999999997</v>
      </c>
      <c r="J53" s="17">
        <f t="shared" si="2"/>
        <v>0</v>
      </c>
      <c r="L53" s="122"/>
      <c r="M53" s="182">
        <f t="shared" si="6"/>
        <v>166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7"/>
        <v>5029.8</v>
      </c>
      <c r="U53" s="17">
        <f t="shared" si="3"/>
        <v>0</v>
      </c>
    </row>
    <row r="54" spans="1:21" x14ac:dyDescent="0.25">
      <c r="A54" s="122"/>
      <c r="B54" s="182">
        <f t="shared" si="4"/>
        <v>464</v>
      </c>
      <c r="C54" s="15"/>
      <c r="D54" s="538"/>
      <c r="E54" s="735"/>
      <c r="F54" s="538">
        <f t="shared" si="8"/>
        <v>0</v>
      </c>
      <c r="G54" s="330"/>
      <c r="H54" s="331"/>
      <c r="I54" s="105">
        <f t="shared" si="5"/>
        <v>14386.439999999997</v>
      </c>
      <c r="J54" s="17">
        <f t="shared" si="2"/>
        <v>0</v>
      </c>
      <c r="L54" s="122"/>
      <c r="M54" s="182">
        <f t="shared" si="6"/>
        <v>166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7"/>
        <v>5029.8</v>
      </c>
      <c r="U54" s="17">
        <f t="shared" si="3"/>
        <v>0</v>
      </c>
    </row>
    <row r="55" spans="1:21" x14ac:dyDescent="0.25">
      <c r="A55" s="122"/>
      <c r="B55" s="182">
        <f t="shared" si="4"/>
        <v>464</v>
      </c>
      <c r="C55" s="15"/>
      <c r="D55" s="69"/>
      <c r="E55" s="202"/>
      <c r="F55" s="69">
        <f t="shared" si="8"/>
        <v>0</v>
      </c>
      <c r="G55" s="70"/>
      <c r="H55" s="71"/>
      <c r="I55" s="105">
        <f t="shared" si="5"/>
        <v>14386.439999999997</v>
      </c>
      <c r="J55" s="17">
        <f t="shared" si="2"/>
        <v>0</v>
      </c>
      <c r="L55" s="122"/>
      <c r="M55" s="182">
        <f t="shared" si="6"/>
        <v>166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7"/>
        <v>5029.8</v>
      </c>
      <c r="U55" s="17">
        <f t="shared" si="3"/>
        <v>0</v>
      </c>
    </row>
    <row r="56" spans="1:21" x14ac:dyDescent="0.25">
      <c r="A56" s="122"/>
      <c r="B56" s="182">
        <f t="shared" si="4"/>
        <v>464</v>
      </c>
      <c r="C56" s="15"/>
      <c r="D56" s="69"/>
      <c r="E56" s="202"/>
      <c r="F56" s="69">
        <f t="shared" si="8"/>
        <v>0</v>
      </c>
      <c r="G56" s="70"/>
      <c r="H56" s="71"/>
      <c r="I56" s="105">
        <f t="shared" si="5"/>
        <v>14386.439999999997</v>
      </c>
      <c r="J56" s="17">
        <f t="shared" si="2"/>
        <v>0</v>
      </c>
      <c r="L56" s="122"/>
      <c r="M56" s="182">
        <f t="shared" si="6"/>
        <v>166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7"/>
        <v>5029.8</v>
      </c>
      <c r="U56" s="17">
        <f t="shared" si="3"/>
        <v>0</v>
      </c>
    </row>
    <row r="57" spans="1:21" x14ac:dyDescent="0.25">
      <c r="A57" s="122"/>
      <c r="B57" s="182">
        <f t="shared" si="4"/>
        <v>464</v>
      </c>
      <c r="C57" s="15"/>
      <c r="D57" s="69"/>
      <c r="E57" s="202"/>
      <c r="F57" s="69">
        <f t="shared" si="8"/>
        <v>0</v>
      </c>
      <c r="G57" s="70"/>
      <c r="H57" s="71"/>
      <c r="I57" s="105">
        <f t="shared" si="5"/>
        <v>14386.439999999997</v>
      </c>
      <c r="J57" s="17">
        <f t="shared" si="2"/>
        <v>0</v>
      </c>
      <c r="L57" s="122"/>
      <c r="M57" s="182">
        <f t="shared" si="6"/>
        <v>166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7"/>
        <v>5029.8</v>
      </c>
      <c r="U57" s="17">
        <f t="shared" si="3"/>
        <v>0</v>
      </c>
    </row>
    <row r="58" spans="1:21" x14ac:dyDescent="0.25">
      <c r="A58" s="122"/>
      <c r="B58" s="182">
        <f t="shared" si="4"/>
        <v>464</v>
      </c>
      <c r="C58" s="15"/>
      <c r="D58" s="69"/>
      <c r="E58" s="202"/>
      <c r="F58" s="69">
        <v>0</v>
      </c>
      <c r="G58" s="70"/>
      <c r="H58" s="71"/>
      <c r="I58" s="105">
        <f t="shared" si="5"/>
        <v>14386.439999999997</v>
      </c>
      <c r="J58" s="17">
        <f t="shared" si="2"/>
        <v>0</v>
      </c>
      <c r="L58" s="122"/>
      <c r="M58" s="182">
        <f t="shared" si="6"/>
        <v>166</v>
      </c>
      <c r="N58" s="15"/>
      <c r="O58" s="69"/>
      <c r="P58" s="202"/>
      <c r="Q58" s="69">
        <v>0</v>
      </c>
      <c r="R58" s="70"/>
      <c r="S58" s="71"/>
      <c r="T58" s="105">
        <f t="shared" si="7"/>
        <v>5029.8</v>
      </c>
      <c r="U58" s="17">
        <f t="shared" si="3"/>
        <v>0</v>
      </c>
    </row>
    <row r="59" spans="1:21" x14ac:dyDescent="0.25">
      <c r="A59" s="122"/>
      <c r="B59" s="182">
        <f t="shared" si="4"/>
        <v>464</v>
      </c>
      <c r="C59" s="15"/>
      <c r="D59" s="69"/>
      <c r="E59" s="202"/>
      <c r="F59" s="69">
        <f t="shared" ref="F59:F74" si="9">D59</f>
        <v>0</v>
      </c>
      <c r="G59" s="70"/>
      <c r="H59" s="71"/>
      <c r="I59" s="105">
        <f t="shared" si="5"/>
        <v>14386.439999999997</v>
      </c>
      <c r="J59" s="17">
        <f t="shared" si="2"/>
        <v>0</v>
      </c>
      <c r="L59" s="122"/>
      <c r="M59" s="182">
        <f t="shared" si="6"/>
        <v>166</v>
      </c>
      <c r="N59" s="15"/>
      <c r="O59" s="69"/>
      <c r="P59" s="202"/>
      <c r="Q59" s="69">
        <f t="shared" ref="Q59:Q74" si="10">O59</f>
        <v>0</v>
      </c>
      <c r="R59" s="70"/>
      <c r="S59" s="71"/>
      <c r="T59" s="105">
        <f t="shared" si="7"/>
        <v>5029.8</v>
      </c>
      <c r="U59" s="17">
        <f t="shared" si="3"/>
        <v>0</v>
      </c>
    </row>
    <row r="60" spans="1:21" x14ac:dyDescent="0.25">
      <c r="A60" s="122"/>
      <c r="B60" s="182">
        <f t="shared" si="4"/>
        <v>464</v>
      </c>
      <c r="C60" s="15"/>
      <c r="D60" s="69"/>
      <c r="E60" s="202"/>
      <c r="F60" s="69">
        <f t="shared" si="9"/>
        <v>0</v>
      </c>
      <c r="G60" s="70"/>
      <c r="H60" s="71"/>
      <c r="I60" s="105">
        <f t="shared" si="5"/>
        <v>14386.439999999997</v>
      </c>
      <c r="J60" s="17">
        <f t="shared" si="2"/>
        <v>0</v>
      </c>
      <c r="L60" s="122"/>
      <c r="M60" s="182">
        <f t="shared" si="6"/>
        <v>166</v>
      </c>
      <c r="N60" s="15"/>
      <c r="O60" s="69"/>
      <c r="P60" s="202"/>
      <c r="Q60" s="69">
        <f t="shared" si="10"/>
        <v>0</v>
      </c>
      <c r="R60" s="70"/>
      <c r="S60" s="71"/>
      <c r="T60" s="105">
        <f t="shared" si="7"/>
        <v>5029.8</v>
      </c>
      <c r="U60" s="17">
        <f t="shared" si="3"/>
        <v>0</v>
      </c>
    </row>
    <row r="61" spans="1:21" x14ac:dyDescent="0.25">
      <c r="A61" s="122"/>
      <c r="B61" s="182">
        <f t="shared" si="4"/>
        <v>464</v>
      </c>
      <c r="C61" s="15"/>
      <c r="D61" s="69"/>
      <c r="E61" s="202"/>
      <c r="F61" s="69">
        <f t="shared" si="9"/>
        <v>0</v>
      </c>
      <c r="G61" s="70"/>
      <c r="H61" s="71"/>
      <c r="I61" s="105">
        <f t="shared" si="5"/>
        <v>14386.439999999997</v>
      </c>
      <c r="J61" s="17">
        <f t="shared" si="2"/>
        <v>0</v>
      </c>
      <c r="L61" s="122"/>
      <c r="M61" s="182">
        <f t="shared" si="6"/>
        <v>166</v>
      </c>
      <c r="N61" s="15"/>
      <c r="O61" s="69"/>
      <c r="P61" s="202"/>
      <c r="Q61" s="69">
        <f t="shared" si="10"/>
        <v>0</v>
      </c>
      <c r="R61" s="70"/>
      <c r="S61" s="71"/>
      <c r="T61" s="105">
        <f t="shared" si="7"/>
        <v>5029.8</v>
      </c>
      <c r="U61" s="17">
        <f t="shared" si="3"/>
        <v>0</v>
      </c>
    </row>
    <row r="62" spans="1:21" x14ac:dyDescent="0.25">
      <c r="A62" s="122"/>
      <c r="B62" s="182">
        <f t="shared" si="4"/>
        <v>464</v>
      </c>
      <c r="C62" s="15"/>
      <c r="D62" s="69"/>
      <c r="E62" s="202"/>
      <c r="F62" s="69">
        <f t="shared" si="9"/>
        <v>0</v>
      </c>
      <c r="G62" s="70"/>
      <c r="H62" s="71"/>
      <c r="I62" s="105">
        <f t="shared" si="5"/>
        <v>14386.439999999997</v>
      </c>
      <c r="J62" s="17">
        <f t="shared" si="2"/>
        <v>0</v>
      </c>
      <c r="L62" s="122"/>
      <c r="M62" s="182">
        <f t="shared" si="6"/>
        <v>166</v>
      </c>
      <c r="N62" s="15"/>
      <c r="O62" s="69"/>
      <c r="P62" s="202"/>
      <c r="Q62" s="69">
        <f t="shared" si="10"/>
        <v>0</v>
      </c>
      <c r="R62" s="70"/>
      <c r="S62" s="71"/>
      <c r="T62" s="105">
        <f t="shared" si="7"/>
        <v>5029.8</v>
      </c>
      <c r="U62" s="17">
        <f t="shared" si="3"/>
        <v>0</v>
      </c>
    </row>
    <row r="63" spans="1:21" x14ac:dyDescent="0.25">
      <c r="A63" s="122"/>
      <c r="B63" s="182">
        <f t="shared" si="4"/>
        <v>464</v>
      </c>
      <c r="C63" s="15"/>
      <c r="D63" s="69"/>
      <c r="E63" s="202"/>
      <c r="F63" s="69">
        <f t="shared" si="9"/>
        <v>0</v>
      </c>
      <c r="G63" s="70"/>
      <c r="H63" s="71"/>
      <c r="I63" s="105">
        <f t="shared" si="5"/>
        <v>14386.439999999997</v>
      </c>
      <c r="J63" s="17">
        <f t="shared" si="2"/>
        <v>0</v>
      </c>
      <c r="L63" s="122"/>
      <c r="M63" s="182">
        <f t="shared" si="6"/>
        <v>166</v>
      </c>
      <c r="N63" s="15"/>
      <c r="O63" s="69"/>
      <c r="P63" s="202"/>
      <c r="Q63" s="69">
        <f t="shared" si="10"/>
        <v>0</v>
      </c>
      <c r="R63" s="70"/>
      <c r="S63" s="71"/>
      <c r="T63" s="105">
        <f t="shared" si="7"/>
        <v>5029.8</v>
      </c>
      <c r="U63" s="17">
        <f t="shared" si="3"/>
        <v>0</v>
      </c>
    </row>
    <row r="64" spans="1:21" x14ac:dyDescent="0.25">
      <c r="A64" s="122"/>
      <c r="B64" s="182">
        <f t="shared" si="4"/>
        <v>464</v>
      </c>
      <c r="C64" s="15"/>
      <c r="D64" s="69"/>
      <c r="E64" s="202"/>
      <c r="F64" s="69">
        <f t="shared" si="9"/>
        <v>0</v>
      </c>
      <c r="G64" s="70"/>
      <c r="H64" s="71"/>
      <c r="I64" s="105">
        <f t="shared" si="5"/>
        <v>14386.439999999997</v>
      </c>
      <c r="J64" s="17">
        <f t="shared" si="2"/>
        <v>0</v>
      </c>
      <c r="L64" s="122"/>
      <c r="M64" s="182">
        <f t="shared" si="6"/>
        <v>166</v>
      </c>
      <c r="N64" s="15"/>
      <c r="O64" s="69"/>
      <c r="P64" s="202"/>
      <c r="Q64" s="69">
        <f t="shared" si="10"/>
        <v>0</v>
      </c>
      <c r="R64" s="70"/>
      <c r="S64" s="71"/>
      <c r="T64" s="105">
        <f t="shared" si="7"/>
        <v>5029.8</v>
      </c>
      <c r="U64" s="17">
        <f t="shared" si="3"/>
        <v>0</v>
      </c>
    </row>
    <row r="65" spans="1:21" x14ac:dyDescent="0.25">
      <c r="A65" s="122"/>
      <c r="B65" s="182">
        <f t="shared" si="4"/>
        <v>464</v>
      </c>
      <c r="C65" s="15"/>
      <c r="D65" s="69"/>
      <c r="E65" s="202"/>
      <c r="F65" s="69">
        <f t="shared" si="9"/>
        <v>0</v>
      </c>
      <c r="G65" s="70"/>
      <c r="H65" s="71"/>
      <c r="I65" s="105">
        <f t="shared" si="5"/>
        <v>14386.439999999997</v>
      </c>
      <c r="J65" s="17">
        <f t="shared" si="2"/>
        <v>0</v>
      </c>
      <c r="L65" s="122"/>
      <c r="M65" s="182">
        <f t="shared" si="6"/>
        <v>166</v>
      </c>
      <c r="N65" s="15"/>
      <c r="O65" s="69"/>
      <c r="P65" s="202"/>
      <c r="Q65" s="69">
        <f t="shared" si="10"/>
        <v>0</v>
      </c>
      <c r="R65" s="70"/>
      <c r="S65" s="71"/>
      <c r="T65" s="105">
        <f t="shared" si="7"/>
        <v>5029.8</v>
      </c>
      <c r="U65" s="17">
        <f t="shared" si="3"/>
        <v>0</v>
      </c>
    </row>
    <row r="66" spans="1:21" x14ac:dyDescent="0.25">
      <c r="A66" s="122"/>
      <c r="B66" s="182">
        <f t="shared" si="4"/>
        <v>464</v>
      </c>
      <c r="C66" s="15"/>
      <c r="D66" s="69"/>
      <c r="E66" s="202"/>
      <c r="F66" s="69">
        <f t="shared" si="9"/>
        <v>0</v>
      </c>
      <c r="G66" s="70"/>
      <c r="H66" s="71"/>
      <c r="I66" s="105">
        <f t="shared" si="5"/>
        <v>14386.439999999997</v>
      </c>
      <c r="J66" s="17">
        <f t="shared" si="2"/>
        <v>0</v>
      </c>
      <c r="L66" s="122"/>
      <c r="M66" s="182">
        <f t="shared" si="6"/>
        <v>166</v>
      </c>
      <c r="N66" s="15"/>
      <c r="O66" s="69"/>
      <c r="P66" s="202"/>
      <c r="Q66" s="69">
        <f t="shared" si="10"/>
        <v>0</v>
      </c>
      <c r="R66" s="70"/>
      <c r="S66" s="71"/>
      <c r="T66" s="105">
        <f t="shared" si="7"/>
        <v>5029.8</v>
      </c>
      <c r="U66" s="17">
        <f t="shared" si="3"/>
        <v>0</v>
      </c>
    </row>
    <row r="67" spans="1:21" x14ac:dyDescent="0.25">
      <c r="A67" s="122"/>
      <c r="B67" s="182">
        <f t="shared" si="4"/>
        <v>464</v>
      </c>
      <c r="C67" s="15"/>
      <c r="D67" s="69"/>
      <c r="E67" s="202"/>
      <c r="F67" s="69">
        <f t="shared" si="9"/>
        <v>0</v>
      </c>
      <c r="G67" s="70"/>
      <c r="H67" s="71"/>
      <c r="I67" s="105">
        <f t="shared" si="5"/>
        <v>14386.439999999997</v>
      </c>
      <c r="J67" s="17">
        <f t="shared" si="2"/>
        <v>0</v>
      </c>
      <c r="L67" s="122"/>
      <c r="M67" s="182">
        <f t="shared" si="6"/>
        <v>166</v>
      </c>
      <c r="N67" s="15"/>
      <c r="O67" s="69"/>
      <c r="P67" s="202"/>
      <c r="Q67" s="69">
        <f t="shared" si="10"/>
        <v>0</v>
      </c>
      <c r="R67" s="70"/>
      <c r="S67" s="71"/>
      <c r="T67" s="105">
        <f t="shared" si="7"/>
        <v>5029.8</v>
      </c>
      <c r="U67" s="17">
        <f t="shared" si="3"/>
        <v>0</v>
      </c>
    </row>
    <row r="68" spans="1:21" x14ac:dyDescent="0.25">
      <c r="A68" s="122"/>
      <c r="B68" s="182">
        <f t="shared" si="4"/>
        <v>464</v>
      </c>
      <c r="C68" s="15"/>
      <c r="D68" s="69"/>
      <c r="E68" s="202"/>
      <c r="F68" s="69">
        <f t="shared" si="9"/>
        <v>0</v>
      </c>
      <c r="G68" s="70"/>
      <c r="H68" s="71"/>
      <c r="I68" s="105">
        <f t="shared" si="5"/>
        <v>14386.439999999997</v>
      </c>
      <c r="J68" s="17">
        <f t="shared" si="2"/>
        <v>0</v>
      </c>
      <c r="L68" s="122"/>
      <c r="M68" s="182">
        <f t="shared" si="6"/>
        <v>166</v>
      </c>
      <c r="N68" s="15"/>
      <c r="O68" s="69"/>
      <c r="P68" s="202"/>
      <c r="Q68" s="69">
        <f t="shared" si="10"/>
        <v>0</v>
      </c>
      <c r="R68" s="70"/>
      <c r="S68" s="71"/>
      <c r="T68" s="105">
        <f t="shared" si="7"/>
        <v>5029.8</v>
      </c>
      <c r="U68" s="17">
        <f t="shared" si="3"/>
        <v>0</v>
      </c>
    </row>
    <row r="69" spans="1:21" x14ac:dyDescent="0.25">
      <c r="A69" s="122"/>
      <c r="B69" s="182">
        <f t="shared" si="4"/>
        <v>464</v>
      </c>
      <c r="C69" s="15"/>
      <c r="D69" s="69"/>
      <c r="E69" s="202"/>
      <c r="F69" s="69">
        <f t="shared" si="9"/>
        <v>0</v>
      </c>
      <c r="G69" s="70"/>
      <c r="H69" s="71"/>
      <c r="I69" s="105">
        <f t="shared" si="5"/>
        <v>14386.439999999997</v>
      </c>
      <c r="J69" s="17">
        <f t="shared" si="2"/>
        <v>0</v>
      </c>
      <c r="L69" s="122"/>
      <c r="M69" s="182">
        <f t="shared" si="6"/>
        <v>166</v>
      </c>
      <c r="N69" s="15"/>
      <c r="O69" s="69"/>
      <c r="P69" s="202"/>
      <c r="Q69" s="69">
        <f t="shared" si="10"/>
        <v>0</v>
      </c>
      <c r="R69" s="70"/>
      <c r="S69" s="71"/>
      <c r="T69" s="105">
        <f t="shared" si="7"/>
        <v>5029.8</v>
      </c>
      <c r="U69" s="17">
        <f t="shared" si="3"/>
        <v>0</v>
      </c>
    </row>
    <row r="70" spans="1:21" x14ac:dyDescent="0.25">
      <c r="A70" s="122"/>
      <c r="B70" s="182">
        <f t="shared" si="4"/>
        <v>464</v>
      </c>
      <c r="C70" s="15"/>
      <c r="D70" s="69"/>
      <c r="E70" s="202"/>
      <c r="F70" s="69">
        <f t="shared" si="9"/>
        <v>0</v>
      </c>
      <c r="G70" s="70"/>
      <c r="H70" s="71"/>
      <c r="I70" s="105">
        <f t="shared" si="5"/>
        <v>14386.439999999997</v>
      </c>
      <c r="J70" s="17">
        <f t="shared" si="2"/>
        <v>0</v>
      </c>
      <c r="L70" s="122"/>
      <c r="M70" s="182">
        <f t="shared" si="6"/>
        <v>166</v>
      </c>
      <c r="N70" s="15"/>
      <c r="O70" s="69"/>
      <c r="P70" s="202"/>
      <c r="Q70" s="69">
        <f t="shared" si="10"/>
        <v>0</v>
      </c>
      <c r="R70" s="70"/>
      <c r="S70" s="71"/>
      <c r="T70" s="105">
        <f t="shared" si="7"/>
        <v>5029.8</v>
      </c>
      <c r="U70" s="17">
        <f t="shared" si="3"/>
        <v>0</v>
      </c>
    </row>
    <row r="71" spans="1:21" x14ac:dyDescent="0.25">
      <c r="A71" s="122"/>
      <c r="B71" s="182">
        <f t="shared" si="4"/>
        <v>464</v>
      </c>
      <c r="C71" s="15"/>
      <c r="D71" s="69"/>
      <c r="E71" s="202"/>
      <c r="F71" s="69">
        <f t="shared" si="9"/>
        <v>0</v>
      </c>
      <c r="G71" s="70"/>
      <c r="H71" s="71"/>
      <c r="I71" s="105">
        <f t="shared" si="5"/>
        <v>14386.439999999997</v>
      </c>
      <c r="J71" s="17">
        <f t="shared" si="2"/>
        <v>0</v>
      </c>
      <c r="L71" s="122"/>
      <c r="M71" s="182">
        <f t="shared" si="6"/>
        <v>166</v>
      </c>
      <c r="N71" s="15"/>
      <c r="O71" s="69"/>
      <c r="P71" s="202"/>
      <c r="Q71" s="69">
        <f t="shared" si="10"/>
        <v>0</v>
      </c>
      <c r="R71" s="70"/>
      <c r="S71" s="71"/>
      <c r="T71" s="105">
        <f t="shared" si="7"/>
        <v>5029.8</v>
      </c>
      <c r="U71" s="17">
        <f t="shared" si="3"/>
        <v>0</v>
      </c>
    </row>
    <row r="72" spans="1:21" x14ac:dyDescent="0.25">
      <c r="A72" s="122"/>
      <c r="B72" s="182">
        <f t="shared" si="4"/>
        <v>464</v>
      </c>
      <c r="C72" s="15"/>
      <c r="D72" s="69"/>
      <c r="E72" s="202"/>
      <c r="F72" s="69">
        <f t="shared" si="9"/>
        <v>0</v>
      </c>
      <c r="G72" s="70"/>
      <c r="H72" s="71"/>
      <c r="I72" s="105">
        <f t="shared" si="5"/>
        <v>14386.439999999997</v>
      </c>
      <c r="J72" s="17">
        <f t="shared" si="2"/>
        <v>0</v>
      </c>
      <c r="L72" s="122"/>
      <c r="M72" s="182">
        <f t="shared" si="6"/>
        <v>166</v>
      </c>
      <c r="N72" s="15"/>
      <c r="O72" s="69"/>
      <c r="P72" s="202"/>
      <c r="Q72" s="69">
        <f t="shared" si="10"/>
        <v>0</v>
      </c>
      <c r="R72" s="70"/>
      <c r="S72" s="71"/>
      <c r="T72" s="105">
        <f t="shared" si="7"/>
        <v>5029.8</v>
      </c>
      <c r="U72" s="17">
        <f t="shared" si="3"/>
        <v>0</v>
      </c>
    </row>
    <row r="73" spans="1:21" x14ac:dyDescent="0.25">
      <c r="A73" s="122"/>
      <c r="B73" s="182">
        <f t="shared" si="4"/>
        <v>464</v>
      </c>
      <c r="C73" s="15"/>
      <c r="D73" s="69"/>
      <c r="E73" s="202"/>
      <c r="F73" s="69">
        <f t="shared" si="9"/>
        <v>0</v>
      </c>
      <c r="G73" s="70"/>
      <c r="H73" s="71"/>
      <c r="I73" s="105">
        <f t="shared" si="5"/>
        <v>14386.439999999997</v>
      </c>
      <c r="J73" s="17">
        <f t="shared" si="2"/>
        <v>0</v>
      </c>
      <c r="L73" s="122"/>
      <c r="M73" s="182">
        <f t="shared" si="6"/>
        <v>166</v>
      </c>
      <c r="N73" s="15"/>
      <c r="O73" s="69"/>
      <c r="P73" s="202"/>
      <c r="Q73" s="69">
        <f t="shared" si="10"/>
        <v>0</v>
      </c>
      <c r="R73" s="70"/>
      <c r="S73" s="71"/>
      <c r="T73" s="105">
        <f t="shared" si="7"/>
        <v>5029.8</v>
      </c>
      <c r="U73" s="17">
        <f t="shared" si="3"/>
        <v>0</v>
      </c>
    </row>
    <row r="74" spans="1:21" x14ac:dyDescent="0.25">
      <c r="A74" s="122"/>
      <c r="B74" s="182">
        <f t="shared" si="4"/>
        <v>464</v>
      </c>
      <c r="C74" s="15"/>
      <c r="D74" s="69"/>
      <c r="E74" s="202"/>
      <c r="F74" s="69">
        <f t="shared" si="9"/>
        <v>0</v>
      </c>
      <c r="G74" s="70"/>
      <c r="H74" s="71"/>
      <c r="I74" s="105">
        <f t="shared" si="5"/>
        <v>14386.439999999997</v>
      </c>
      <c r="J74" s="17">
        <f t="shared" si="2"/>
        <v>0</v>
      </c>
      <c r="L74" s="122"/>
      <c r="M74" s="182">
        <f t="shared" si="6"/>
        <v>166</v>
      </c>
      <c r="N74" s="15"/>
      <c r="O74" s="69"/>
      <c r="P74" s="202"/>
      <c r="Q74" s="69">
        <f t="shared" si="10"/>
        <v>0</v>
      </c>
      <c r="R74" s="70"/>
      <c r="S74" s="71"/>
      <c r="T74" s="105">
        <f t="shared" si="7"/>
        <v>5029.8</v>
      </c>
      <c r="U74" s="17">
        <f t="shared" si="3"/>
        <v>0</v>
      </c>
    </row>
    <row r="75" spans="1:21" x14ac:dyDescent="0.25">
      <c r="A75" s="122"/>
      <c r="B75" s="182">
        <f t="shared" si="4"/>
        <v>464</v>
      </c>
      <c r="C75" s="15"/>
      <c r="D75" s="69"/>
      <c r="E75" s="202"/>
      <c r="F75" s="69">
        <f>D75</f>
        <v>0</v>
      </c>
      <c r="G75" s="70"/>
      <c r="H75" s="71"/>
      <c r="I75" s="105">
        <f t="shared" si="5"/>
        <v>14386.439999999997</v>
      </c>
      <c r="J75" s="17">
        <f t="shared" ref="J75:J77" si="11">F75*H75</f>
        <v>0</v>
      </c>
      <c r="L75" s="122"/>
      <c r="M75" s="182">
        <f t="shared" si="6"/>
        <v>166</v>
      </c>
      <c r="N75" s="15"/>
      <c r="O75" s="69"/>
      <c r="P75" s="202"/>
      <c r="Q75" s="69">
        <f>O75</f>
        <v>0</v>
      </c>
      <c r="R75" s="70"/>
      <c r="S75" s="71"/>
      <c r="T75" s="105">
        <f t="shared" si="7"/>
        <v>5029.8</v>
      </c>
      <c r="U75" s="17">
        <f t="shared" ref="U75:U77" si="12">Q75*S75</f>
        <v>0</v>
      </c>
    </row>
    <row r="76" spans="1:21" x14ac:dyDescent="0.25">
      <c r="A76" s="122"/>
      <c r="B76" s="182">
        <f t="shared" ref="B76" si="13">B75-C76</f>
        <v>464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4">I75-F76</f>
        <v>14386.439999999997</v>
      </c>
      <c r="J76" s="17">
        <f t="shared" si="11"/>
        <v>0</v>
      </c>
      <c r="L76" s="122"/>
      <c r="M76" s="182">
        <f t="shared" ref="M76" si="15">M75-N76</f>
        <v>166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16">T75-Q76</f>
        <v>5029.8</v>
      </c>
      <c r="U76" s="17">
        <f t="shared" si="12"/>
        <v>0</v>
      </c>
    </row>
    <row r="77" spans="1:21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4"/>
        <v>14386.439999999997</v>
      </c>
      <c r="J77" s="17">
        <f t="shared" si="11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16"/>
        <v>5029.8</v>
      </c>
      <c r="U77" s="17">
        <f t="shared" si="12"/>
        <v>0</v>
      </c>
    </row>
    <row r="78" spans="1:21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</row>
    <row r="79" spans="1:21" x14ac:dyDescent="0.25">
      <c r="C79" s="53">
        <f>SUM(C10:C78)</f>
        <v>87</v>
      </c>
      <c r="D79" s="6">
        <f>SUM(D10:D78)</f>
        <v>2699.0899999999997</v>
      </c>
      <c r="F79" s="6">
        <f>SUM(F10:F78)</f>
        <v>2699.0899999999997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464</v>
      </c>
      <c r="O82" s="45" t="s">
        <v>4</v>
      </c>
      <c r="P82" s="56">
        <f>Q5+Q6-N79+Q7+Q4</f>
        <v>166</v>
      </c>
    </row>
    <row r="83" spans="3:17" ht="15.75" thickBot="1" x14ac:dyDescent="0.3"/>
    <row r="84" spans="3:17" ht="15.75" thickBot="1" x14ac:dyDescent="0.3">
      <c r="C84" s="1201" t="s">
        <v>11</v>
      </c>
      <c r="D84" s="1202"/>
      <c r="E84" s="57">
        <f>E5+E6-F79+E7+E4</f>
        <v>14386.439999999999</v>
      </c>
      <c r="F84" s="73"/>
      <c r="N84" s="1201" t="s">
        <v>11</v>
      </c>
      <c r="O84" s="1202"/>
      <c r="P84" s="57">
        <f>P5+P6-Q79+P7+P4</f>
        <v>5029.8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2022-12-30T18:56:45Z</dcterms:modified>
</cp:coreProperties>
</file>