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9  SEPTIEMBRE 2023\"/>
    </mc:Choice>
  </mc:AlternateContent>
  <bookViews>
    <workbookView xWindow="5970" yWindow="120" windowWidth="14340" windowHeight="10560" firstSheet="7" activeTab="7"/>
  </bookViews>
  <sheets>
    <sheet name="REMISIONES  ENERO  2023     " sheetId="1" r:id="rId1"/>
    <sheet name="REMISIONES  FEBRERO  2023" sheetId="3" r:id="rId2"/>
    <sheet name="   REMISIONES     MARZO   2023 " sheetId="4" r:id="rId3"/>
    <sheet name=" REMISIONES   ABRIL  2023    " sheetId="5" r:id="rId4"/>
    <sheet name="   REMISIONES   MAYO   2023    " sheetId="6" r:id="rId5"/>
    <sheet name="REMISIONES  JUNIO   2023  " sheetId="8" r:id="rId6"/>
    <sheet name="   REMISIONES   JULIO    2023  " sheetId="7" r:id="rId7"/>
    <sheet name=" REMISONES  AGOSTO 2023   " sheetId="9" r:id="rId8"/>
    <sheet name="Hoja2" sheetId="10" r:id="rId9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83" i="9" l="1"/>
  <c r="H183" i="9" s="1"/>
  <c r="G150" i="9"/>
  <c r="H150" i="9" s="1"/>
  <c r="G182" i="9"/>
  <c r="H182" i="9" s="1"/>
  <c r="G171" i="9"/>
  <c r="G170" i="9"/>
  <c r="G161" i="9"/>
  <c r="H161" i="9" s="1"/>
  <c r="G157" i="9"/>
  <c r="H157" i="9" s="1"/>
  <c r="G154" i="9"/>
  <c r="H154" i="9" s="1"/>
  <c r="G121" i="9"/>
  <c r="B188" i="9"/>
  <c r="B189" i="9" s="1"/>
  <c r="B190" i="9" s="1"/>
  <c r="B191" i="9" s="1"/>
  <c r="H188" i="9"/>
  <c r="H189" i="9"/>
  <c r="H190" i="9"/>
  <c r="H191" i="9"/>
  <c r="H181" i="9"/>
  <c r="H184" i="9"/>
  <c r="H185" i="9"/>
  <c r="H186" i="9"/>
  <c r="H187" i="9"/>
  <c r="H170" i="9"/>
  <c r="G159" i="9"/>
  <c r="H159" i="9" s="1"/>
  <c r="G135" i="9"/>
  <c r="H135" i="9" s="1"/>
  <c r="G148" i="9"/>
  <c r="H148" i="9" s="1"/>
  <c r="G145" i="9"/>
  <c r="H145" i="9" s="1"/>
  <c r="G130" i="9"/>
  <c r="H130" i="9" s="1"/>
  <c r="H147" i="9"/>
  <c r="H149" i="9"/>
  <c r="H151" i="9"/>
  <c r="H152" i="9"/>
  <c r="H153" i="9"/>
  <c r="H155" i="9"/>
  <c r="H156" i="9"/>
  <c r="H158" i="9"/>
  <c r="H160" i="9"/>
  <c r="H162" i="9"/>
  <c r="H163" i="9"/>
  <c r="H164" i="9"/>
  <c r="H165" i="9"/>
  <c r="H166" i="9"/>
  <c r="H167" i="9"/>
  <c r="H168" i="9"/>
  <c r="H169" i="9"/>
  <c r="H171" i="9"/>
  <c r="H172" i="9"/>
  <c r="H173" i="9"/>
  <c r="H174" i="9"/>
  <c r="H175" i="9"/>
  <c r="H176" i="9"/>
  <c r="H177" i="9"/>
  <c r="H178" i="9"/>
  <c r="H179" i="9"/>
  <c r="H121" i="9"/>
  <c r="G122" i="9"/>
  <c r="H122" i="9" s="1"/>
  <c r="G87" i="9"/>
  <c r="H87" i="9" s="1"/>
  <c r="G125" i="9"/>
  <c r="H125" i="9" s="1"/>
  <c r="G123" i="9"/>
  <c r="H123" i="9" s="1"/>
  <c r="H117" i="9"/>
  <c r="G112" i="9"/>
  <c r="H112" i="9" s="1"/>
  <c r="G109" i="9"/>
  <c r="G81" i="9"/>
  <c r="H81" i="9" s="1"/>
  <c r="H109" i="9"/>
  <c r="G105" i="9"/>
  <c r="H105" i="9" s="1"/>
  <c r="G107" i="9"/>
  <c r="G102" i="9"/>
  <c r="H102" i="9" s="1"/>
  <c r="G144" i="7"/>
  <c r="G49" i="9"/>
  <c r="H49" i="9" s="1"/>
  <c r="G83" i="9"/>
  <c r="H144" i="7"/>
  <c r="H83" i="9"/>
  <c r="G74" i="9"/>
  <c r="G73" i="9"/>
  <c r="H73" i="9" s="1"/>
  <c r="G72" i="9"/>
  <c r="H72" i="9" s="1"/>
  <c r="G68" i="9"/>
  <c r="H68" i="9" s="1"/>
  <c r="G66" i="9"/>
  <c r="G65" i="9"/>
  <c r="H65" i="9" s="1"/>
  <c r="G57" i="9"/>
  <c r="H57" i="9" s="1"/>
  <c r="G51" i="9"/>
  <c r="H51" i="9" s="1"/>
  <c r="G48" i="9"/>
  <c r="H48" i="9" s="1"/>
  <c r="G55" i="9"/>
  <c r="H55" i="9" s="1"/>
  <c r="G53" i="9"/>
  <c r="H53" i="9" s="1"/>
  <c r="G47" i="9"/>
  <c r="H47" i="9" s="1"/>
  <c r="G40" i="9"/>
  <c r="H40" i="9" s="1"/>
  <c r="G34" i="9"/>
  <c r="H34" i="9" s="1"/>
  <c r="G31" i="9"/>
  <c r="H31" i="9" s="1"/>
  <c r="G23" i="9"/>
  <c r="H23" i="9" s="1"/>
  <c r="G14" i="9"/>
  <c r="G28" i="9"/>
  <c r="H28" i="9" s="1"/>
  <c r="G19" i="9"/>
  <c r="H19" i="9" s="1"/>
  <c r="G108" i="7"/>
  <c r="G24" i="9"/>
  <c r="G22" i="9"/>
  <c r="H22" i="9" s="1"/>
  <c r="G12" i="9"/>
  <c r="H12" i="9" s="1"/>
  <c r="G4" i="9"/>
  <c r="H4" i="9" s="1"/>
  <c r="H14" i="9"/>
  <c r="G17" i="9"/>
  <c r="G7" i="9"/>
  <c r="H7" i="9" s="1"/>
  <c r="G40" i="7"/>
  <c r="G10" i="9"/>
  <c r="G6" i="9"/>
  <c r="H6" i="9" s="1"/>
  <c r="G139" i="7"/>
  <c r="H139" i="7" s="1"/>
  <c r="G130" i="7"/>
  <c r="G138" i="7"/>
  <c r="H138" i="7" s="1"/>
  <c r="G133" i="7"/>
  <c r="E193" i="9"/>
  <c r="H192" i="9"/>
  <c r="H180" i="9"/>
  <c r="H146" i="9"/>
  <c r="H144" i="9"/>
  <c r="H143" i="9"/>
  <c r="H142" i="9"/>
  <c r="H141" i="9"/>
  <c r="H140" i="9"/>
  <c r="H139" i="9"/>
  <c r="H138" i="9"/>
  <c r="H137" i="9"/>
  <c r="H136" i="9"/>
  <c r="H134" i="9"/>
  <c r="H133" i="9"/>
  <c r="H132" i="9"/>
  <c r="H131" i="9"/>
  <c r="H129" i="9"/>
  <c r="H128" i="9"/>
  <c r="H127" i="9"/>
  <c r="H126" i="9"/>
  <c r="H124" i="9"/>
  <c r="H120" i="9"/>
  <c r="H119" i="9"/>
  <c r="H118" i="9"/>
  <c r="H116" i="9"/>
  <c r="H115" i="9"/>
  <c r="H114" i="9"/>
  <c r="H113" i="9"/>
  <c r="H111" i="9"/>
  <c r="H110" i="9"/>
  <c r="H108" i="9"/>
  <c r="H107" i="9"/>
  <c r="H106" i="9"/>
  <c r="H104" i="9"/>
  <c r="H103" i="9"/>
  <c r="H101" i="9"/>
  <c r="H100" i="9"/>
  <c r="H99" i="9"/>
  <c r="H98" i="9"/>
  <c r="H97" i="9"/>
  <c r="H96" i="9"/>
  <c r="H95" i="9"/>
  <c r="H94" i="9"/>
  <c r="H93" i="9"/>
  <c r="H92" i="9"/>
  <c r="H91" i="9"/>
  <c r="H90" i="9"/>
  <c r="H89" i="9"/>
  <c r="H88" i="9"/>
  <c r="H86" i="9"/>
  <c r="H85" i="9"/>
  <c r="H84" i="9"/>
  <c r="H82" i="9"/>
  <c r="H80" i="9"/>
  <c r="H79" i="9"/>
  <c r="H78" i="9"/>
  <c r="H77" i="9"/>
  <c r="H76" i="9"/>
  <c r="H75" i="9"/>
  <c r="H74" i="9"/>
  <c r="H71" i="9"/>
  <c r="H70" i="9"/>
  <c r="H69" i="9"/>
  <c r="H67" i="9"/>
  <c r="H66" i="9"/>
  <c r="H64" i="9"/>
  <c r="H63" i="9"/>
  <c r="H62" i="9"/>
  <c r="H61" i="9"/>
  <c r="H60" i="9"/>
  <c r="H59" i="9"/>
  <c r="H58" i="9"/>
  <c r="H56" i="9"/>
  <c r="H54" i="9"/>
  <c r="H52" i="9"/>
  <c r="H50" i="9"/>
  <c r="H46" i="9"/>
  <c r="H45" i="9"/>
  <c r="H44" i="9"/>
  <c r="H43" i="9"/>
  <c r="H42" i="9"/>
  <c r="H41" i="9"/>
  <c r="H39" i="9"/>
  <c r="H38" i="9"/>
  <c r="H37" i="9"/>
  <c r="H36" i="9"/>
  <c r="H35" i="9"/>
  <c r="H33" i="9"/>
  <c r="H32" i="9"/>
  <c r="H30" i="9"/>
  <c r="H29" i="9"/>
  <c r="H27" i="9"/>
  <c r="H26" i="9"/>
  <c r="H25" i="9"/>
  <c r="H21" i="9"/>
  <c r="H20" i="9"/>
  <c r="H18" i="9"/>
  <c r="H17" i="9"/>
  <c r="H16" i="9"/>
  <c r="H15" i="9"/>
  <c r="H13" i="9"/>
  <c r="H11" i="9"/>
  <c r="H10" i="9"/>
  <c r="H9" i="9"/>
  <c r="H8" i="9"/>
  <c r="B6" i="9"/>
  <c r="B7" i="9" s="1"/>
  <c r="B8" i="9" s="1"/>
  <c r="B9" i="9" s="1"/>
  <c r="B10" i="9" s="1"/>
  <c r="B11" i="9" s="1"/>
  <c r="B12" i="9" s="1"/>
  <c r="B13" i="9" s="1"/>
  <c r="B14" i="9" s="1"/>
  <c r="B15" i="9" s="1"/>
  <c r="B16" i="9" s="1"/>
  <c r="B17" i="9" s="1"/>
  <c r="B18" i="9" s="1"/>
  <c r="B19" i="9" s="1"/>
  <c r="B20" i="9" s="1"/>
  <c r="B21" i="9" s="1"/>
  <c r="B22" i="9" s="1"/>
  <c r="B23" i="9" s="1"/>
  <c r="B24" i="9" s="1"/>
  <c r="B25" i="9" s="1"/>
  <c r="B26" i="9" s="1"/>
  <c r="B27" i="9" s="1"/>
  <c r="B28" i="9" s="1"/>
  <c r="B29" i="9" s="1"/>
  <c r="B30" i="9" s="1"/>
  <c r="B31" i="9" s="1"/>
  <c r="B32" i="9" s="1"/>
  <c r="B33" i="9" s="1"/>
  <c r="B34" i="9" s="1"/>
  <c r="B35" i="9" s="1"/>
  <c r="B36" i="9" s="1"/>
  <c r="B37" i="9" s="1"/>
  <c r="B38" i="9" s="1"/>
  <c r="B39" i="9" s="1"/>
  <c r="B40" i="9" s="1"/>
  <c r="B41" i="9" s="1"/>
  <c r="B42" i="9" s="1"/>
  <c r="B43" i="9" s="1"/>
  <c r="B44" i="9" s="1"/>
  <c r="B45" i="9" s="1"/>
  <c r="B46" i="9" s="1"/>
  <c r="B47" i="9" s="1"/>
  <c r="B48" i="9" s="1"/>
  <c r="B49" i="9" s="1"/>
  <c r="B50" i="9" s="1"/>
  <c r="B51" i="9" s="1"/>
  <c r="B52" i="9" s="1"/>
  <c r="B53" i="9" s="1"/>
  <c r="B54" i="9" s="1"/>
  <c r="B55" i="9" s="1"/>
  <c r="B56" i="9" s="1"/>
  <c r="B57" i="9" s="1"/>
  <c r="B58" i="9" s="1"/>
  <c r="B59" i="9" s="1"/>
  <c r="B60" i="9" s="1"/>
  <c r="B61" i="9" s="1"/>
  <c r="B62" i="9" s="1"/>
  <c r="B63" i="9" s="1"/>
  <c r="B64" i="9" s="1"/>
  <c r="B65" i="9" s="1"/>
  <c r="B66" i="9" s="1"/>
  <c r="B67" i="9" s="1"/>
  <c r="B68" i="9" s="1"/>
  <c r="B69" i="9" s="1"/>
  <c r="B70" i="9" s="1"/>
  <c r="B71" i="9" s="1"/>
  <c r="B72" i="9" s="1"/>
  <c r="B73" i="9" s="1"/>
  <c r="B74" i="9" s="1"/>
  <c r="B75" i="9" s="1"/>
  <c r="B76" i="9" s="1"/>
  <c r="B77" i="9" s="1"/>
  <c r="B78" i="9" s="1"/>
  <c r="B79" i="9" s="1"/>
  <c r="B80" i="9" s="1"/>
  <c r="B81" i="9" s="1"/>
  <c r="B82" i="9" s="1"/>
  <c r="B83" i="9" s="1"/>
  <c r="B84" i="9" s="1"/>
  <c r="B85" i="9" s="1"/>
  <c r="B86" i="9" s="1"/>
  <c r="B87" i="9" s="1"/>
  <c r="B88" i="9" s="1"/>
  <c r="B89" i="9" s="1"/>
  <c r="B90" i="9" s="1"/>
  <c r="B91" i="9" s="1"/>
  <c r="B92" i="9" s="1"/>
  <c r="B93" i="9" s="1"/>
  <c r="B94" i="9" s="1"/>
  <c r="B95" i="9" s="1"/>
  <c r="B96" i="9" s="1"/>
  <c r="B97" i="9" s="1"/>
  <c r="B98" i="9" s="1"/>
  <c r="B99" i="9" s="1"/>
  <c r="B100" i="9" s="1"/>
  <c r="B101" i="9" s="1"/>
  <c r="B102" i="9" s="1"/>
  <c r="B103" i="9" s="1"/>
  <c r="B104" i="9" s="1"/>
  <c r="B105" i="9" s="1"/>
  <c r="B106" i="9" s="1"/>
  <c r="B107" i="9" s="1"/>
  <c r="B108" i="9" s="1"/>
  <c r="B109" i="9" s="1"/>
  <c r="B110" i="9" s="1"/>
  <c r="B111" i="9" s="1"/>
  <c r="B112" i="9" s="1"/>
  <c r="B113" i="9" s="1"/>
  <c r="B114" i="9" s="1"/>
  <c r="B115" i="9" s="1"/>
  <c r="B116" i="9" s="1"/>
  <c r="B117" i="9" s="1"/>
  <c r="B118" i="9" s="1"/>
  <c r="B119" i="9" s="1"/>
  <c r="B120" i="9" s="1"/>
  <c r="B121" i="9" s="1"/>
  <c r="B122" i="9" s="1"/>
  <c r="B123" i="9" s="1"/>
  <c r="B124" i="9" s="1"/>
  <c r="B125" i="9" s="1"/>
  <c r="B126" i="9" s="1"/>
  <c r="B127" i="9" s="1"/>
  <c r="B128" i="9" s="1"/>
  <c r="B129" i="9" s="1"/>
  <c r="B130" i="9" s="1"/>
  <c r="B131" i="9" s="1"/>
  <c r="B132" i="9" s="1"/>
  <c r="B133" i="9" s="1"/>
  <c r="B134" i="9" s="1"/>
  <c r="B135" i="9" s="1"/>
  <c r="B136" i="9" s="1"/>
  <c r="B137" i="9" s="1"/>
  <c r="B138" i="9" s="1"/>
  <c r="B139" i="9" s="1"/>
  <c r="B140" i="9" s="1"/>
  <c r="B141" i="9" s="1"/>
  <c r="B142" i="9" s="1"/>
  <c r="B143" i="9" s="1"/>
  <c r="B144" i="9" s="1"/>
  <c r="B145" i="9" s="1"/>
  <c r="B146" i="9" s="1"/>
  <c r="B147" i="9" s="1"/>
  <c r="B148" i="9" s="1"/>
  <c r="B149" i="9" s="1"/>
  <c r="B150" i="9" s="1"/>
  <c r="B151" i="9" s="1"/>
  <c r="B152" i="9" s="1"/>
  <c r="B153" i="9" s="1"/>
  <c r="B154" i="9" s="1"/>
  <c r="B155" i="9" s="1"/>
  <c r="B156" i="9" s="1"/>
  <c r="B157" i="9" s="1"/>
  <c r="B158" i="9" s="1"/>
  <c r="B159" i="9" s="1"/>
  <c r="B160" i="9" s="1"/>
  <c r="B161" i="9" s="1"/>
  <c r="B162" i="9" s="1"/>
  <c r="B163" i="9" s="1"/>
  <c r="B164" i="9" s="1"/>
  <c r="B165" i="9" s="1"/>
  <c r="B166" i="9" s="1"/>
  <c r="B167" i="9" s="1"/>
  <c r="B168" i="9" s="1"/>
  <c r="B169" i="9" s="1"/>
  <c r="B170" i="9" s="1"/>
  <c r="B171" i="9" s="1"/>
  <c r="B172" i="9" s="1"/>
  <c r="B173" i="9" s="1"/>
  <c r="B174" i="9" s="1"/>
  <c r="B175" i="9" s="1"/>
  <c r="B176" i="9" s="1"/>
  <c r="B177" i="9" s="1"/>
  <c r="B178" i="9" s="1"/>
  <c r="B179" i="9" s="1"/>
  <c r="B180" i="9" s="1"/>
  <c r="B181" i="9" s="1"/>
  <c r="B182" i="9" s="1"/>
  <c r="B183" i="9" s="1"/>
  <c r="B184" i="9" s="1"/>
  <c r="B185" i="9" s="1"/>
  <c r="B186" i="9" s="1"/>
  <c r="B187" i="9" s="1"/>
  <c r="H5" i="9"/>
  <c r="H140" i="7"/>
  <c r="H141" i="7"/>
  <c r="H142" i="7"/>
  <c r="H143" i="7"/>
  <c r="H145" i="7"/>
  <c r="H146" i="7"/>
  <c r="H147" i="7"/>
  <c r="H148" i="7"/>
  <c r="G128" i="7"/>
  <c r="G193" i="9" l="1"/>
  <c r="E197" i="9" s="1"/>
  <c r="H24" i="9"/>
  <c r="H193" i="9" s="1"/>
  <c r="G125" i="7"/>
  <c r="G126" i="7" l="1"/>
  <c r="G82" i="7"/>
  <c r="H128" i="7" l="1"/>
  <c r="G127" i="7"/>
  <c r="H127" i="7" s="1"/>
  <c r="G103" i="7"/>
  <c r="G105" i="7"/>
  <c r="G114" i="7"/>
  <c r="H125" i="7"/>
  <c r="H126" i="7"/>
  <c r="H129" i="7"/>
  <c r="H130" i="7"/>
  <c r="H131" i="7"/>
  <c r="H132" i="7"/>
  <c r="H133" i="7"/>
  <c r="H134" i="7"/>
  <c r="H135" i="7"/>
  <c r="H136" i="7"/>
  <c r="H137" i="7"/>
  <c r="G95" i="7"/>
  <c r="G92" i="7"/>
  <c r="H107" i="7" l="1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G93" i="7"/>
  <c r="G91" i="7" l="1"/>
  <c r="G84" i="7"/>
  <c r="G75" i="7" l="1"/>
  <c r="G73" i="7"/>
  <c r="G69" i="7"/>
  <c r="G67" i="7"/>
  <c r="G52" i="7"/>
  <c r="G51" i="7" l="1"/>
  <c r="G47" i="7"/>
  <c r="G50" i="7"/>
  <c r="G45" i="7"/>
  <c r="G42" i="7"/>
  <c r="G36" i="7"/>
  <c r="G41" i="7"/>
  <c r="G9" i="7"/>
  <c r="G33" i="7"/>
  <c r="G28" i="7"/>
  <c r="G32" i="7" l="1"/>
  <c r="G29" i="7"/>
  <c r="G26" i="7"/>
  <c r="G24" i="7"/>
  <c r="G25" i="7"/>
  <c r="G14" i="7"/>
  <c r="G91" i="8"/>
  <c r="G16" i="7" l="1"/>
  <c r="G11" i="7"/>
  <c r="G6" i="7"/>
  <c r="G106" i="8"/>
  <c r="G103" i="8" l="1"/>
  <c r="G101" i="8"/>
  <c r="E150" i="7"/>
  <c r="H149" i="7"/>
  <c r="H106" i="7"/>
  <c r="H105" i="7"/>
  <c r="H104" i="7"/>
  <c r="H103" i="7"/>
  <c r="H102" i="7"/>
  <c r="H101" i="7"/>
  <c r="H100" i="7"/>
  <c r="H99" i="7"/>
  <c r="H98" i="7"/>
  <c r="H97" i="7"/>
  <c r="H96" i="7"/>
  <c r="H95" i="7"/>
  <c r="H94" i="7"/>
  <c r="H93" i="7"/>
  <c r="H92" i="7"/>
  <c r="H91" i="7"/>
  <c r="H90" i="7"/>
  <c r="H89" i="7"/>
  <c r="H88" i="7"/>
  <c r="H87" i="7"/>
  <c r="H86" i="7"/>
  <c r="H85" i="7"/>
  <c r="H84" i="7"/>
  <c r="H83" i="7"/>
  <c r="H82" i="7"/>
  <c r="H81" i="7"/>
  <c r="H80" i="7"/>
  <c r="H79" i="7"/>
  <c r="H78" i="7"/>
  <c r="H77" i="7"/>
  <c r="H76" i="7"/>
  <c r="H75" i="7"/>
  <c r="H74" i="7"/>
  <c r="H73" i="7"/>
  <c r="H72" i="7"/>
  <c r="H71" i="7"/>
  <c r="H70" i="7"/>
  <c r="H69" i="7"/>
  <c r="H68" i="7"/>
  <c r="H67" i="7"/>
  <c r="H66" i="7"/>
  <c r="H65" i="7"/>
  <c r="H64" i="7"/>
  <c r="H63" i="7"/>
  <c r="H62" i="7"/>
  <c r="H61" i="7"/>
  <c r="H60" i="7"/>
  <c r="H59" i="7"/>
  <c r="H58" i="7"/>
  <c r="H57" i="7"/>
  <c r="H56" i="7"/>
  <c r="H55" i="7"/>
  <c r="H54" i="7"/>
  <c r="H53" i="7"/>
  <c r="H52" i="7"/>
  <c r="H51" i="7"/>
  <c r="H50" i="7"/>
  <c r="H49" i="7"/>
  <c r="H48" i="7"/>
  <c r="H47" i="7"/>
  <c r="H46" i="7"/>
  <c r="H45" i="7"/>
  <c r="H44" i="7"/>
  <c r="H43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B6" i="7"/>
  <c r="B7" i="7" s="1"/>
  <c r="B8" i="7" s="1"/>
  <c r="B9" i="7" s="1"/>
  <c r="B10" i="7" s="1"/>
  <c r="B11" i="7" s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B32" i="7" s="1"/>
  <c r="B33" i="7" s="1"/>
  <c r="B34" i="7" s="1"/>
  <c r="B35" i="7" s="1"/>
  <c r="B36" i="7" s="1"/>
  <c r="B37" i="7" s="1"/>
  <c r="B38" i="7" s="1"/>
  <c r="B39" i="7" s="1"/>
  <c r="B40" i="7" s="1"/>
  <c r="B41" i="7" s="1"/>
  <c r="B42" i="7" s="1"/>
  <c r="B43" i="7" s="1"/>
  <c r="B44" i="7" s="1"/>
  <c r="B45" i="7" s="1"/>
  <c r="B46" i="7" s="1"/>
  <c r="B47" i="7" s="1"/>
  <c r="B48" i="7" s="1"/>
  <c r="B49" i="7" s="1"/>
  <c r="B50" i="7" s="1"/>
  <c r="B51" i="7" s="1"/>
  <c r="B52" i="7" s="1"/>
  <c r="B53" i="7" s="1"/>
  <c r="B54" i="7" s="1"/>
  <c r="B55" i="7" s="1"/>
  <c r="B56" i="7" s="1"/>
  <c r="B57" i="7" s="1"/>
  <c r="B58" i="7" s="1"/>
  <c r="B59" i="7" s="1"/>
  <c r="B60" i="7" s="1"/>
  <c r="B61" i="7" s="1"/>
  <c r="B62" i="7" s="1"/>
  <c r="B63" i="7" s="1"/>
  <c r="B64" i="7" s="1"/>
  <c r="B65" i="7" s="1"/>
  <c r="B66" i="7" s="1"/>
  <c r="B67" i="7" s="1"/>
  <c r="B68" i="7" s="1"/>
  <c r="B69" i="7" s="1"/>
  <c r="B70" i="7" s="1"/>
  <c r="B71" i="7" s="1"/>
  <c r="B72" i="7" s="1"/>
  <c r="B73" i="7" s="1"/>
  <c r="B74" i="7" s="1"/>
  <c r="B75" i="7" s="1"/>
  <c r="B76" i="7" s="1"/>
  <c r="B77" i="7" s="1"/>
  <c r="B78" i="7" s="1"/>
  <c r="B79" i="7" s="1"/>
  <c r="B80" i="7" s="1"/>
  <c r="B81" i="7" s="1"/>
  <c r="B82" i="7" s="1"/>
  <c r="B83" i="7" s="1"/>
  <c r="B84" i="7" s="1"/>
  <c r="B85" i="7" s="1"/>
  <c r="B86" i="7" s="1"/>
  <c r="B87" i="7" s="1"/>
  <c r="B88" i="7" s="1"/>
  <c r="B89" i="7" s="1"/>
  <c r="B90" i="7" s="1"/>
  <c r="B91" i="7" s="1"/>
  <c r="B92" i="7" s="1"/>
  <c r="B93" i="7" s="1"/>
  <c r="B94" i="7" s="1"/>
  <c r="B95" i="7" s="1"/>
  <c r="B96" i="7" s="1"/>
  <c r="B97" i="7" s="1"/>
  <c r="B98" i="7" s="1"/>
  <c r="B99" i="7" s="1"/>
  <c r="B100" i="7" s="1"/>
  <c r="B101" i="7" s="1"/>
  <c r="B102" i="7" s="1"/>
  <c r="B103" i="7" s="1"/>
  <c r="B104" i="7" s="1"/>
  <c r="B105" i="7" s="1"/>
  <c r="B106" i="7" s="1"/>
  <c r="B107" i="7" s="1"/>
  <c r="B108" i="7" s="1"/>
  <c r="B109" i="7" s="1"/>
  <c r="B110" i="7" s="1"/>
  <c r="B111" i="7" s="1"/>
  <c r="B112" i="7" s="1"/>
  <c r="B113" i="7" s="1"/>
  <c r="B114" i="7" s="1"/>
  <c r="B115" i="7" s="1"/>
  <c r="B116" i="7" s="1"/>
  <c r="B117" i="7" s="1"/>
  <c r="B118" i="7" s="1"/>
  <c r="B119" i="7" s="1"/>
  <c r="B120" i="7" s="1"/>
  <c r="B121" i="7" s="1"/>
  <c r="B122" i="7" s="1"/>
  <c r="B123" i="7" s="1"/>
  <c r="B124" i="7" s="1"/>
  <c r="B125" i="7" s="1"/>
  <c r="B126" i="7" s="1"/>
  <c r="B127" i="7" s="1"/>
  <c r="B128" i="7" s="1"/>
  <c r="B129" i="7" s="1"/>
  <c r="B130" i="7" s="1"/>
  <c r="B131" i="7" s="1"/>
  <c r="B132" i="7" s="1"/>
  <c r="B133" i="7" s="1"/>
  <c r="B134" i="7" s="1"/>
  <c r="B135" i="7" s="1"/>
  <c r="B136" i="7" s="1"/>
  <c r="B137" i="7" s="1"/>
  <c r="B138" i="7" s="1"/>
  <c r="B139" i="7" s="1"/>
  <c r="B140" i="7" s="1"/>
  <c r="B141" i="7" s="1"/>
  <c r="B142" i="7" s="1"/>
  <c r="B143" i="7" s="1"/>
  <c r="B144" i="7" s="1"/>
  <c r="B145" i="7" s="1"/>
  <c r="B146" i="7" s="1"/>
  <c r="H5" i="7"/>
  <c r="G150" i="7"/>
  <c r="E154" i="7" l="1"/>
  <c r="H4" i="7"/>
  <c r="H150" i="7" s="1"/>
  <c r="G97" i="8"/>
  <c r="G95" i="8"/>
  <c r="G96" i="8"/>
  <c r="G92" i="8" l="1"/>
  <c r="G90" i="8"/>
  <c r="G86" i="8"/>
  <c r="G66" i="8"/>
  <c r="G43" i="8"/>
  <c r="G82" i="8" l="1"/>
  <c r="G81" i="8"/>
  <c r="G78" i="8"/>
  <c r="G73" i="8"/>
  <c r="G74" i="8"/>
  <c r="G55" i="8" l="1"/>
  <c r="G54" i="8"/>
  <c r="G49" i="8"/>
  <c r="G48" i="8" l="1"/>
  <c r="G42" i="8" l="1"/>
  <c r="G34" i="8"/>
  <c r="G37" i="8" l="1"/>
  <c r="G26" i="8" l="1"/>
  <c r="G21" i="8"/>
  <c r="G16" i="8" l="1"/>
  <c r="G14" i="8"/>
  <c r="G11" i="8" l="1"/>
  <c r="G5" i="8" l="1"/>
  <c r="G117" i="6"/>
  <c r="G4" i="8" l="1"/>
  <c r="E111" i="8"/>
  <c r="H110" i="8"/>
  <c r="H109" i="8"/>
  <c r="H108" i="8"/>
  <c r="H107" i="8"/>
  <c r="H106" i="8"/>
  <c r="H105" i="8"/>
  <c r="H104" i="8"/>
  <c r="H103" i="8"/>
  <c r="H102" i="8"/>
  <c r="H101" i="8"/>
  <c r="H100" i="8"/>
  <c r="H99" i="8"/>
  <c r="H98" i="8"/>
  <c r="H97" i="8"/>
  <c r="H96" i="8"/>
  <c r="H95" i="8"/>
  <c r="H94" i="8"/>
  <c r="H93" i="8"/>
  <c r="H92" i="8"/>
  <c r="H91" i="8"/>
  <c r="H90" i="8"/>
  <c r="H89" i="8"/>
  <c r="H88" i="8"/>
  <c r="H87" i="8"/>
  <c r="H86" i="8"/>
  <c r="H85" i="8"/>
  <c r="H84" i="8"/>
  <c r="H83" i="8"/>
  <c r="H82" i="8"/>
  <c r="H81" i="8"/>
  <c r="H80" i="8"/>
  <c r="H79" i="8"/>
  <c r="H78" i="8"/>
  <c r="H77" i="8"/>
  <c r="H76" i="8"/>
  <c r="H75" i="8"/>
  <c r="H74" i="8"/>
  <c r="H73" i="8"/>
  <c r="H72" i="8"/>
  <c r="H71" i="8"/>
  <c r="H70" i="8"/>
  <c r="H69" i="8"/>
  <c r="H68" i="8"/>
  <c r="H67" i="8"/>
  <c r="H66" i="8"/>
  <c r="H65" i="8"/>
  <c r="H64" i="8"/>
  <c r="H63" i="8"/>
  <c r="H62" i="8"/>
  <c r="H61" i="8"/>
  <c r="H60" i="8"/>
  <c r="H59" i="8"/>
  <c r="H58" i="8"/>
  <c r="H57" i="8"/>
  <c r="H56" i="8"/>
  <c r="H55" i="8"/>
  <c r="H54" i="8"/>
  <c r="H53" i="8"/>
  <c r="H52" i="8"/>
  <c r="H51" i="8"/>
  <c r="H50" i="8"/>
  <c r="H49" i="8"/>
  <c r="H48" i="8"/>
  <c r="H47" i="8"/>
  <c r="H46" i="8"/>
  <c r="H45" i="8"/>
  <c r="H44" i="8"/>
  <c r="H43" i="8"/>
  <c r="H42" i="8"/>
  <c r="H41" i="8"/>
  <c r="H40" i="8"/>
  <c r="H39" i="8"/>
  <c r="H38" i="8"/>
  <c r="H37" i="8"/>
  <c r="H36" i="8"/>
  <c r="H35" i="8"/>
  <c r="H34" i="8"/>
  <c r="H33" i="8"/>
  <c r="H32" i="8"/>
  <c r="H31" i="8"/>
  <c r="H30" i="8"/>
  <c r="H29" i="8"/>
  <c r="H28" i="8"/>
  <c r="H27" i="8"/>
  <c r="H26" i="8"/>
  <c r="H25" i="8"/>
  <c r="H24" i="8"/>
  <c r="H23" i="8"/>
  <c r="H22" i="8"/>
  <c r="H21" i="8"/>
  <c r="H20" i="8"/>
  <c r="H19" i="8"/>
  <c r="H18" i="8"/>
  <c r="H17" i="8"/>
  <c r="H16" i="8"/>
  <c r="H15" i="8"/>
  <c r="H14" i="8"/>
  <c r="H13" i="8"/>
  <c r="H12" i="8"/>
  <c r="H11" i="8"/>
  <c r="H10" i="8"/>
  <c r="H9" i="8"/>
  <c r="H8" i="8"/>
  <c r="H7" i="8"/>
  <c r="H6" i="8"/>
  <c r="B6" i="8"/>
  <c r="B7" i="8" s="1"/>
  <c r="B8" i="8" s="1"/>
  <c r="B9" i="8" s="1"/>
  <c r="B10" i="8" s="1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31" i="8" s="1"/>
  <c r="B32" i="8" s="1"/>
  <c r="B33" i="8" s="1"/>
  <c r="B34" i="8" s="1"/>
  <c r="B35" i="8" s="1"/>
  <c r="B36" i="8" s="1"/>
  <c r="B37" i="8" s="1"/>
  <c r="B38" i="8" s="1"/>
  <c r="B39" i="8" s="1"/>
  <c r="B40" i="8" s="1"/>
  <c r="B41" i="8" s="1"/>
  <c r="B42" i="8" s="1"/>
  <c r="B43" i="8" s="1"/>
  <c r="B44" i="8" s="1"/>
  <c r="B45" i="8" s="1"/>
  <c r="B46" i="8" s="1"/>
  <c r="B47" i="8" s="1"/>
  <c r="B48" i="8" s="1"/>
  <c r="B49" i="8" s="1"/>
  <c r="B50" i="8" s="1"/>
  <c r="B51" i="8" s="1"/>
  <c r="B52" i="8" s="1"/>
  <c r="B53" i="8" s="1"/>
  <c r="B54" i="8" s="1"/>
  <c r="B55" i="8" s="1"/>
  <c r="B56" i="8" s="1"/>
  <c r="B57" i="8" s="1"/>
  <c r="B58" i="8" s="1"/>
  <c r="B59" i="8" s="1"/>
  <c r="B60" i="8" s="1"/>
  <c r="B61" i="8" s="1"/>
  <c r="B62" i="8" s="1"/>
  <c r="B63" i="8" s="1"/>
  <c r="B64" i="8" s="1"/>
  <c r="B65" i="8" s="1"/>
  <c r="B66" i="8" s="1"/>
  <c r="H5" i="8"/>
  <c r="G111" i="8"/>
  <c r="B67" i="8" l="1"/>
  <c r="B68" i="8" s="1"/>
  <c r="B69" i="8" s="1"/>
  <c r="B70" i="8" s="1"/>
  <c r="B71" i="8" s="1"/>
  <c r="B72" i="8" s="1"/>
  <c r="B73" i="8" s="1"/>
  <c r="B74" i="8" s="1"/>
  <c r="B75" i="8" s="1"/>
  <c r="B76" i="8" s="1"/>
  <c r="B77" i="8" s="1"/>
  <c r="B78" i="8" s="1"/>
  <c r="B79" i="8" s="1"/>
  <c r="B80" i="8" s="1"/>
  <c r="B81" i="8" s="1"/>
  <c r="B82" i="8" s="1"/>
  <c r="B83" i="8" s="1"/>
  <c r="B84" i="8" s="1"/>
  <c r="B85" i="8" s="1"/>
  <c r="B86" i="8" s="1"/>
  <c r="B87" i="8" s="1"/>
  <c r="B88" i="8" s="1"/>
  <c r="B89" i="8" s="1"/>
  <c r="B90" i="8" s="1"/>
  <c r="B91" i="8" s="1"/>
  <c r="B92" i="8" s="1"/>
  <c r="B93" i="8" s="1"/>
  <c r="B94" i="8" s="1"/>
  <c r="B95" i="8" s="1"/>
  <c r="B96" i="8" s="1"/>
  <c r="B97" i="8" s="1"/>
  <c r="B98" i="8" s="1"/>
  <c r="B99" i="8" s="1"/>
  <c r="B100" i="8" s="1"/>
  <c r="B101" i="8" s="1"/>
  <c r="B102" i="8" s="1"/>
  <c r="B103" i="8" s="1"/>
  <c r="B104" i="8" s="1"/>
  <c r="B105" i="8" s="1"/>
  <c r="B106" i="8" s="1"/>
  <c r="B107" i="8" s="1"/>
  <c r="E115" i="8"/>
  <c r="H4" i="8"/>
  <c r="H111" i="8" s="1"/>
  <c r="G114" i="6"/>
  <c r="H120" i="6"/>
  <c r="H121" i="6"/>
  <c r="H122" i="6"/>
  <c r="H123" i="6"/>
  <c r="G106" i="6"/>
  <c r="H112" i="6"/>
  <c r="H113" i="6"/>
  <c r="H114" i="6"/>
  <c r="H115" i="6"/>
  <c r="H116" i="6"/>
  <c r="H117" i="6"/>
  <c r="H118" i="6"/>
  <c r="H119" i="6"/>
  <c r="G99" i="6"/>
  <c r="G95" i="6"/>
  <c r="G27" i="6" l="1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G60" i="6"/>
  <c r="G58" i="6"/>
  <c r="G51" i="6" l="1"/>
  <c r="G30" i="6"/>
  <c r="G44" i="6"/>
  <c r="G42" i="6" l="1"/>
  <c r="G40" i="6"/>
  <c r="G37" i="6"/>
  <c r="G35" i="6" l="1"/>
  <c r="G24" i="6" l="1"/>
  <c r="G21" i="6" l="1"/>
  <c r="G15" i="6" l="1"/>
  <c r="G81" i="5"/>
  <c r="G4" i="6" l="1"/>
  <c r="H4" i="6" s="1"/>
  <c r="G78" i="5"/>
  <c r="E124" i="6"/>
  <c r="H111" i="6"/>
  <c r="H87" i="6"/>
  <c r="H86" i="6"/>
  <c r="H85" i="6"/>
  <c r="H84" i="6"/>
  <c r="H83" i="6"/>
  <c r="H82" i="6"/>
  <c r="H81" i="6"/>
  <c r="H80" i="6"/>
  <c r="H79" i="6"/>
  <c r="H78" i="6"/>
  <c r="H77" i="6"/>
  <c r="H76" i="6"/>
  <c r="H75" i="6"/>
  <c r="H74" i="6"/>
  <c r="H73" i="6"/>
  <c r="H72" i="6"/>
  <c r="H71" i="6"/>
  <c r="H70" i="6"/>
  <c r="H69" i="6"/>
  <c r="H68" i="6"/>
  <c r="H67" i="6"/>
  <c r="H66" i="6"/>
  <c r="H65" i="6"/>
  <c r="H64" i="6"/>
  <c r="H63" i="6"/>
  <c r="H62" i="6"/>
  <c r="H61" i="6"/>
  <c r="H60" i="6"/>
  <c r="H59" i="6"/>
  <c r="H58" i="6"/>
  <c r="H57" i="6"/>
  <c r="H56" i="6"/>
  <c r="H55" i="6"/>
  <c r="H54" i="6"/>
  <c r="H53" i="6"/>
  <c r="H52" i="6"/>
  <c r="H51" i="6"/>
  <c r="H50" i="6"/>
  <c r="H49" i="6"/>
  <c r="H48" i="6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B6" i="6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B50" i="6" s="1"/>
  <c r="B51" i="6" s="1"/>
  <c r="B52" i="6" s="1"/>
  <c r="B53" i="6" s="1"/>
  <c r="B54" i="6" s="1"/>
  <c r="B55" i="6" s="1"/>
  <c r="B56" i="6" s="1"/>
  <c r="B57" i="6" s="1"/>
  <c r="B58" i="6" s="1"/>
  <c r="B59" i="6" s="1"/>
  <c r="B60" i="6" s="1"/>
  <c r="B61" i="6" s="1"/>
  <c r="B62" i="6" s="1"/>
  <c r="B63" i="6" s="1"/>
  <c r="B64" i="6" s="1"/>
  <c r="B65" i="6" s="1"/>
  <c r="B66" i="6" s="1"/>
  <c r="B67" i="6" s="1"/>
  <c r="B68" i="6" s="1"/>
  <c r="B69" i="6" s="1"/>
  <c r="B70" i="6" s="1"/>
  <c r="B71" i="6" s="1"/>
  <c r="B72" i="6" s="1"/>
  <c r="B73" i="6" s="1"/>
  <c r="B74" i="6" s="1"/>
  <c r="B75" i="6" s="1"/>
  <c r="B76" i="6" s="1"/>
  <c r="B77" i="6" s="1"/>
  <c r="B78" i="6" s="1"/>
  <c r="B79" i="6" s="1"/>
  <c r="B80" i="6" s="1"/>
  <c r="B81" i="6" s="1"/>
  <c r="B82" i="6" s="1"/>
  <c r="B83" i="6" s="1"/>
  <c r="B84" i="6" s="1"/>
  <c r="B85" i="6" s="1"/>
  <c r="B86" i="6" s="1"/>
  <c r="B87" i="6" s="1"/>
  <c r="B88" i="6" s="1"/>
  <c r="B89" i="6" s="1"/>
  <c r="B90" i="6" s="1"/>
  <c r="B91" i="6" s="1"/>
  <c r="B92" i="6" s="1"/>
  <c r="B93" i="6" s="1"/>
  <c r="B94" i="6" s="1"/>
  <c r="B95" i="6" s="1"/>
  <c r="B96" i="6" s="1"/>
  <c r="B97" i="6" s="1"/>
  <c r="B98" i="6" s="1"/>
  <c r="B99" i="6" s="1"/>
  <c r="B100" i="6" s="1"/>
  <c r="B101" i="6" s="1"/>
  <c r="B102" i="6" s="1"/>
  <c r="B103" i="6" s="1"/>
  <c r="B104" i="6" s="1"/>
  <c r="B105" i="6" s="1"/>
  <c r="B106" i="6" s="1"/>
  <c r="B107" i="6" s="1"/>
  <c r="B108" i="6" s="1"/>
  <c r="B109" i="6" s="1"/>
  <c r="B110" i="6" s="1"/>
  <c r="B111" i="6" s="1"/>
  <c r="B112" i="6" s="1"/>
  <c r="B113" i="6" s="1"/>
  <c r="B114" i="6" s="1"/>
  <c r="B115" i="6" s="1"/>
  <c r="B116" i="6" s="1"/>
  <c r="B117" i="6" s="1"/>
  <c r="B118" i="6" s="1"/>
  <c r="B119" i="6" s="1"/>
  <c r="B120" i="6" s="1"/>
  <c r="H5" i="6"/>
  <c r="G124" i="6" l="1"/>
  <c r="E128" i="6" s="1"/>
  <c r="H6" i="6"/>
  <c r="H124" i="6" s="1"/>
  <c r="G65" i="5"/>
  <c r="G39" i="5" l="1"/>
  <c r="G25" i="5"/>
  <c r="G41" i="4" l="1"/>
  <c r="G55" i="4"/>
  <c r="G10" i="5" l="1"/>
  <c r="G6" i="5"/>
  <c r="G95" i="4" l="1"/>
  <c r="G92" i="4"/>
  <c r="E92" i="5" l="1"/>
  <c r="H91" i="5"/>
  <c r="H90" i="5"/>
  <c r="H89" i="5"/>
  <c r="H88" i="5"/>
  <c r="H87" i="5"/>
  <c r="H86" i="5"/>
  <c r="H85" i="5"/>
  <c r="H84" i="5"/>
  <c r="H83" i="5"/>
  <c r="H82" i="5"/>
  <c r="H81" i="5"/>
  <c r="H80" i="5"/>
  <c r="H79" i="5"/>
  <c r="H78" i="5"/>
  <c r="H77" i="5"/>
  <c r="H76" i="5"/>
  <c r="H75" i="5"/>
  <c r="H74" i="5"/>
  <c r="H73" i="5"/>
  <c r="H72" i="5"/>
  <c r="H71" i="5"/>
  <c r="H70" i="5"/>
  <c r="H69" i="5"/>
  <c r="H68" i="5"/>
  <c r="H67" i="5"/>
  <c r="H66" i="5"/>
  <c r="H65" i="5"/>
  <c r="H64" i="5"/>
  <c r="H63" i="5"/>
  <c r="H62" i="5"/>
  <c r="H61" i="5"/>
  <c r="H60" i="5"/>
  <c r="H59" i="5"/>
  <c r="H58" i="5"/>
  <c r="H57" i="5"/>
  <c r="H56" i="5"/>
  <c r="H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G92" i="5"/>
  <c r="H10" i="5"/>
  <c r="H9" i="5"/>
  <c r="H8" i="5"/>
  <c r="H7" i="5"/>
  <c r="H6" i="5"/>
  <c r="B6" i="5"/>
  <c r="B7" i="5" s="1"/>
  <c r="B8" i="5" s="1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B41" i="5" s="1"/>
  <c r="B42" i="5" s="1"/>
  <c r="B43" i="5" s="1"/>
  <c r="B44" i="5" s="1"/>
  <c r="B45" i="5" s="1"/>
  <c r="B46" i="5" s="1"/>
  <c r="B47" i="5" s="1"/>
  <c r="B48" i="5" s="1"/>
  <c r="B49" i="5" s="1"/>
  <c r="B50" i="5" s="1"/>
  <c r="B51" i="5" s="1"/>
  <c r="B52" i="5" s="1"/>
  <c r="B53" i="5" s="1"/>
  <c r="B54" i="5" s="1"/>
  <c r="B55" i="5" s="1"/>
  <c r="B56" i="5" s="1"/>
  <c r="B57" i="5" s="1"/>
  <c r="B58" i="5" s="1"/>
  <c r="B59" i="5" s="1"/>
  <c r="B60" i="5" s="1"/>
  <c r="B61" i="5" s="1"/>
  <c r="B62" i="5" s="1"/>
  <c r="B63" i="5" s="1"/>
  <c r="B64" i="5" s="1"/>
  <c r="B65" i="5" s="1"/>
  <c r="B66" i="5" s="1"/>
  <c r="B67" i="5" s="1"/>
  <c r="B68" i="5" s="1"/>
  <c r="B69" i="5" s="1"/>
  <c r="B70" i="5" s="1"/>
  <c r="B71" i="5" s="1"/>
  <c r="B72" i="5" s="1"/>
  <c r="B73" i="5" s="1"/>
  <c r="B74" i="5" s="1"/>
  <c r="B75" i="5" s="1"/>
  <c r="B76" i="5" s="1"/>
  <c r="B77" i="5" s="1"/>
  <c r="B78" i="5" s="1"/>
  <c r="B79" i="5" s="1"/>
  <c r="B80" i="5" s="1"/>
  <c r="B81" i="5" s="1"/>
  <c r="B82" i="5" s="1"/>
  <c r="B83" i="5" s="1"/>
  <c r="B84" i="5" s="1"/>
  <c r="B85" i="5" s="1"/>
  <c r="B86" i="5" s="1"/>
  <c r="B87" i="5" s="1"/>
  <c r="H5" i="5"/>
  <c r="H4" i="5"/>
  <c r="H92" i="5" l="1"/>
  <c r="E96" i="5"/>
  <c r="G89" i="4" l="1"/>
  <c r="G86" i="4"/>
  <c r="H92" i="4" l="1"/>
  <c r="H93" i="4"/>
  <c r="H94" i="4"/>
  <c r="H95" i="4"/>
  <c r="H96" i="4"/>
  <c r="G81" i="4"/>
  <c r="G73" i="4" l="1"/>
  <c r="G71" i="4"/>
  <c r="G62" i="4" l="1"/>
  <c r="G65" i="4"/>
  <c r="G59" i="4"/>
  <c r="G56" i="4"/>
  <c r="G48" i="4" l="1"/>
  <c r="G44" i="4"/>
  <c r="G45" i="4" l="1"/>
  <c r="G36" i="4" l="1"/>
  <c r="G27" i="4"/>
  <c r="G29" i="4"/>
  <c r="G31" i="4"/>
  <c r="G25" i="4"/>
  <c r="G24" i="4"/>
  <c r="G12" i="4" l="1"/>
  <c r="G11" i="4"/>
  <c r="G90" i="3"/>
  <c r="G89" i="3"/>
  <c r="G81" i="3"/>
  <c r="E98" i="4" l="1"/>
  <c r="H97" i="4"/>
  <c r="H91" i="4"/>
  <c r="H90" i="4"/>
  <c r="H89" i="4"/>
  <c r="H88" i="4"/>
  <c r="H87" i="4"/>
  <c r="H86" i="4"/>
  <c r="H85" i="4"/>
  <c r="H84" i="4"/>
  <c r="H83" i="4"/>
  <c r="H82" i="4"/>
  <c r="H81" i="4"/>
  <c r="H80" i="4"/>
  <c r="H79" i="4"/>
  <c r="H78" i="4"/>
  <c r="H77" i="4"/>
  <c r="H76" i="4"/>
  <c r="H75" i="4"/>
  <c r="H74" i="4"/>
  <c r="H73" i="4"/>
  <c r="H72" i="4"/>
  <c r="H71" i="4"/>
  <c r="H70" i="4"/>
  <c r="H69" i="4"/>
  <c r="H68" i="4"/>
  <c r="H67" i="4"/>
  <c r="H66" i="4"/>
  <c r="H65" i="4"/>
  <c r="H64" i="4"/>
  <c r="H63" i="4"/>
  <c r="H62" i="4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B6" i="4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H5" i="4"/>
  <c r="G98" i="4"/>
  <c r="H4" i="4"/>
  <c r="B82" i="4" l="1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E102" i="4"/>
  <c r="H98" i="4"/>
  <c r="H89" i="3"/>
  <c r="H81" i="3"/>
  <c r="G75" i="3"/>
  <c r="G72" i="3"/>
  <c r="G71" i="3"/>
  <c r="H74" i="3"/>
  <c r="H75" i="3"/>
  <c r="H76" i="3"/>
  <c r="H77" i="3"/>
  <c r="H78" i="3"/>
  <c r="H79" i="3"/>
  <c r="H80" i="3"/>
  <c r="H82" i="3"/>
  <c r="H83" i="3"/>
  <c r="H84" i="3"/>
  <c r="H85" i="3"/>
  <c r="H86" i="3"/>
  <c r="H87" i="3"/>
  <c r="H88" i="3"/>
  <c r="H90" i="3"/>
  <c r="H91" i="3"/>
  <c r="H92" i="3"/>
  <c r="H93" i="3"/>
  <c r="G57" i="3"/>
  <c r="G62" i="3"/>
  <c r="G50" i="3"/>
  <c r="G51" i="3"/>
  <c r="G42" i="3"/>
  <c r="G32" i="3"/>
  <c r="G46" i="3"/>
  <c r="G22" i="3"/>
  <c r="G28" i="3" l="1"/>
  <c r="G33" i="3" l="1"/>
  <c r="G20" i="3"/>
  <c r="G18" i="3" l="1"/>
  <c r="H18" i="3" l="1"/>
  <c r="G17" i="3"/>
  <c r="H17" i="3" s="1"/>
  <c r="G12" i="3"/>
  <c r="H12" i="3" s="1"/>
  <c r="G8" i="3"/>
  <c r="G5" i="3"/>
  <c r="H5" i="3" s="1"/>
  <c r="H74" i="1"/>
  <c r="G70" i="1"/>
  <c r="E9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6" i="3"/>
  <c r="H15" i="3"/>
  <c r="H14" i="3"/>
  <c r="H13" i="3"/>
  <c r="H11" i="3"/>
  <c r="H10" i="3"/>
  <c r="H9" i="3"/>
  <c r="H7" i="3"/>
  <c r="H6" i="3"/>
  <c r="B6" i="3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B80" i="3" s="1"/>
  <c r="B81" i="3" s="1"/>
  <c r="B82" i="3" s="1"/>
  <c r="B83" i="3" s="1"/>
  <c r="B84" i="3" s="1"/>
  <c r="B85" i="3" s="1"/>
  <c r="B86" i="3" s="1"/>
  <c r="B87" i="3" s="1"/>
  <c r="B88" i="3" s="1"/>
  <c r="B89" i="3" s="1"/>
  <c r="B90" i="3" s="1"/>
  <c r="B91" i="3" s="1"/>
  <c r="H4" i="3"/>
  <c r="G94" i="3" l="1"/>
  <c r="E98" i="3" s="1"/>
  <c r="H8" i="3"/>
  <c r="H94" i="3" s="1"/>
  <c r="G66" i="1"/>
  <c r="G63" i="1"/>
  <c r="G53" i="1"/>
  <c r="G51" i="1" l="1"/>
  <c r="G49" i="1"/>
  <c r="G48" i="1"/>
  <c r="G45" i="1"/>
  <c r="G42" i="1"/>
  <c r="G32" i="1"/>
  <c r="G26" i="1"/>
  <c r="G29" i="1"/>
  <c r="G22" i="1"/>
  <c r="G17" i="1"/>
  <c r="G8" i="1" l="1"/>
  <c r="G7" i="1"/>
  <c r="G13" i="1"/>
  <c r="G6" i="1"/>
  <c r="E80" i="1" l="1"/>
  <c r="H79" i="1"/>
  <c r="H78" i="1"/>
  <c r="H77" i="1"/>
  <c r="H76" i="1"/>
  <c r="H75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G80" i="1"/>
  <c r="H6" i="1"/>
  <c r="B6" i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H5" i="1"/>
  <c r="H4" i="1"/>
  <c r="H80" i="1" l="1"/>
  <c r="E84" i="1"/>
</calcChain>
</file>

<file path=xl/sharedStrings.xml><?xml version="1.0" encoding="utf-8"?>
<sst xmlns="http://schemas.openxmlformats.org/spreadsheetml/2006/main" count="1208" uniqueCount="246">
  <si>
    <t xml:space="preserve">ABASTO 4 CARNES    H E R R A D U R A </t>
  </si>
  <si>
    <t>REMISION</t>
  </si>
  <si>
    <t>Remision en SISTEMA</t>
  </si>
  <si>
    <t xml:space="preserve">      C L I E N T E S</t>
  </si>
  <si>
    <t>IMPORTE</t>
  </si>
  <si>
    <t>Fecha de pago</t>
  </si>
  <si>
    <t>IMPORTE D/PAGO</t>
  </si>
  <si>
    <t>SALDO</t>
  </si>
  <si>
    <t>Importe Vendido</t>
  </si>
  <si>
    <t>Importe Cobrado</t>
  </si>
  <si>
    <t>IMPORTE POR COBRAR</t>
  </si>
  <si>
    <t>REMISIONES    POR     CREDITOS         DE   E N E R O      2 0 2 3</t>
  </si>
  <si>
    <t>OBRADOR</t>
  </si>
  <si>
    <t>MARCELO</t>
  </si>
  <si>
    <t>PACO</t>
  </si>
  <si>
    <t>GABRIEL</t>
  </si>
  <si>
    <t>HERRADURA GUSTAVO</t>
  </si>
  <si>
    <t>MICH</t>
  </si>
  <si>
    <t>CANCELADA</t>
  </si>
  <si>
    <t>HERRADURA DAVID</t>
  </si>
  <si>
    <t>10-Ene-23--12-Ene-23</t>
  </si>
  <si>
    <t>12-Ene-23--</t>
  </si>
  <si>
    <t>11-Ene-23--12-Ene-23</t>
  </si>
  <si>
    <t>12-Ene-23--13-Ene-23</t>
  </si>
  <si>
    <t>EL PRIMO</t>
  </si>
  <si>
    <t>MAURO</t>
  </si>
  <si>
    <t>12-Ene-23--15-Ene-23</t>
  </si>
  <si>
    <t>14-Ene-23--15-Ene-23</t>
  </si>
  <si>
    <t>16-Ene-23--</t>
  </si>
  <si>
    <t>15-Ene-23--17-Ene-23</t>
  </si>
  <si>
    <t>15-Ene-23--19-Ene-23</t>
  </si>
  <si>
    <t>19-Ene-23--20-Ene-23</t>
  </si>
  <si>
    <t>21-Ene-23--22-Ene-23</t>
  </si>
  <si>
    <t>22-Ene-23--23-Ene-23</t>
  </si>
  <si>
    <t>24-Ene-23--25-Ene-23--26-Ene-23</t>
  </si>
  <si>
    <t>26-Ene-23--27-Ene-23</t>
  </si>
  <si>
    <t>28-Ene-23--29-Ene-23</t>
  </si>
  <si>
    <t>REMISIONES    POR     CREDITOS         DE   FEBRERO      2 0 2 3</t>
  </si>
  <si>
    <t>29-Ene-23--30-Ene-23</t>
  </si>
  <si>
    <t>31-Ene-23--1-Feb-23</t>
  </si>
  <si>
    <t>1-Feb-23--2-Feb-23</t>
  </si>
  <si>
    <t>3-Feb-23--4-Feb-23</t>
  </si>
  <si>
    <t>4-Feb-23--5-Feb-23</t>
  </si>
  <si>
    <t>5-Feb-23--7-Feb-23--9-Feb-23</t>
  </si>
  <si>
    <t>9-Feb-23--10-Feb-23</t>
  </si>
  <si>
    <t>10-Feb-23--11-Feb-23</t>
  </si>
  <si>
    <t>11-Feb-23--12-Feb-23</t>
  </si>
  <si>
    <t>6-Feb-23--13-Feb-23</t>
  </si>
  <si>
    <t>14-Feb-23--15-Feb-23</t>
  </si>
  <si>
    <t>13-Feb-23--16-Feb-23</t>
  </si>
  <si>
    <t>17-feb-23--18-Feb-23</t>
  </si>
  <si>
    <t>18-Feb-23--19-Feb-23</t>
  </si>
  <si>
    <t>16-feb-23--19-Feb-23</t>
  </si>
  <si>
    <t>20-Feb-23--</t>
  </si>
  <si>
    <t>20-Feb-23--22-Feb-23</t>
  </si>
  <si>
    <t>23-Feb-23--25-Feb-23</t>
  </si>
  <si>
    <t>25-Feb-23--26-Feb-23</t>
  </si>
  <si>
    <t>MARCELO 2</t>
  </si>
  <si>
    <t>26-Feb-23--27-Feb-23</t>
  </si>
  <si>
    <t>REMISIONES    POR     CREDITOS         DE   MARZO      2 0 2 3</t>
  </si>
  <si>
    <t>27-Feb-23--2-Mar-23--3-Mar-23--</t>
  </si>
  <si>
    <t>28-Feb-23--3-Mar-23</t>
  </si>
  <si>
    <t xml:space="preserve">GUSTAVO HERRADURA </t>
  </si>
  <si>
    <t>4-Mar-23--5-Mar-23</t>
  </si>
  <si>
    <t>5-Mar-23--6-Mar-23--7-Mar-23--</t>
  </si>
  <si>
    <t>7-Mar-23--9-Mar-23</t>
  </si>
  <si>
    <t>9-Mar-23--10-Mar-23</t>
  </si>
  <si>
    <t>10-Mar-23--11-Mar-23</t>
  </si>
  <si>
    <t>10-Mar-23--12-Mar-23</t>
  </si>
  <si>
    <t>11-Mar-23--12-Mar-23</t>
  </si>
  <si>
    <t>13-Mar-23--</t>
  </si>
  <si>
    <t>OSCAR</t>
  </si>
  <si>
    <t>13-Mar-23--14-Mar-23--</t>
  </si>
  <si>
    <t>14-Mar-23--16-Mar-23</t>
  </si>
  <si>
    <t>13-Mar-23--14-Mar-23--16-Mar-23</t>
  </si>
  <si>
    <t>14-Mar-23--18-Mar-23</t>
  </si>
  <si>
    <t>18-Mar-23--19-Mar-23</t>
  </si>
  <si>
    <t>20-Mar-23--21-Mar-23</t>
  </si>
  <si>
    <t>20-Mar-23--22-Mar-23</t>
  </si>
  <si>
    <t>22-Mar-23--23-Mar-23</t>
  </si>
  <si>
    <t>23-Mar-23--24-Mar-23</t>
  </si>
  <si>
    <t>25-Mar-23--26-Mar-23</t>
  </si>
  <si>
    <t>27-Mar-23--28-Mar-23</t>
  </si>
  <si>
    <t>28-Mar-23--29-Mar-23</t>
  </si>
  <si>
    <t>REMISIONES    POR     CREDITOS         DE   A B R I L       2 0 2 3</t>
  </si>
  <si>
    <t>30-Mar-23--31-Mar-23</t>
  </si>
  <si>
    <t>31-Mar-23--01-ABR-23</t>
  </si>
  <si>
    <t>2-Abr-23--4-Abr-23</t>
  </si>
  <si>
    <t>4-Abr-23--</t>
  </si>
  <si>
    <t>3-Abr-23--4-Abr-23</t>
  </si>
  <si>
    <t>19-Mar-23--28-Mar-23--2-Abr-23--8-Abr-23</t>
  </si>
  <si>
    <t>15-Abr-23--16-Abr-23</t>
  </si>
  <si>
    <t>19-Abr-23--21-Abr-23</t>
  </si>
  <si>
    <t>GUSTAVO</t>
  </si>
  <si>
    <t>28-Abr-23--29-Abr-23</t>
  </si>
  <si>
    <t>REMISIONES    POR     CREDITOS         DE    MAYO      2 0 2 3</t>
  </si>
  <si>
    <t>2-May-23--5-May-23</t>
  </si>
  <si>
    <t>5-May-23--6-May-23</t>
  </si>
  <si>
    <t>5-May-23--8-May-23</t>
  </si>
  <si>
    <t>8-May-23--10-May-23</t>
  </si>
  <si>
    <t>11-May-23--13-May-23</t>
  </si>
  <si>
    <t>12-May-23--14-May-23</t>
  </si>
  <si>
    <t>15-May-23--16-May-23</t>
  </si>
  <si>
    <t>16-May-23--17-May-23</t>
  </si>
  <si>
    <t>18-May-23--19-May-23</t>
  </si>
  <si>
    <t>17-May-23--19-May-23</t>
  </si>
  <si>
    <t>19-May-23--20-May-23</t>
  </si>
  <si>
    <t>14-May-23--16-May-23--21-May-23</t>
  </si>
  <si>
    <t>20-May-23--21-May-23</t>
  </si>
  <si>
    <t>JOSE LUIS</t>
  </si>
  <si>
    <t>23-May-23--25-MAY-23</t>
  </si>
  <si>
    <t>23-may-23--26-May-23</t>
  </si>
  <si>
    <t>21-May-23--28-May-23</t>
  </si>
  <si>
    <t>ADI</t>
  </si>
  <si>
    <t>CREMERIA</t>
  </si>
  <si>
    <t>1-Jun-23--2-Jun-23</t>
  </si>
  <si>
    <t>2-Jun-23--3-Jun-23</t>
  </si>
  <si>
    <t>3-Jun-23--4-Jun-23</t>
  </si>
  <si>
    <t>REMISIONES    POR     CREDITOS         DE    JUNIO      2 0 2 3</t>
  </si>
  <si>
    <t>5-Jun-23--</t>
  </si>
  <si>
    <t>5-Jun-23--6-Jun-23</t>
  </si>
  <si>
    <t>8-Jun-23--9-Jun-23</t>
  </si>
  <si>
    <t>9-Jun-23--</t>
  </si>
  <si>
    <t>8-Jun-23--10-Jun-23</t>
  </si>
  <si>
    <t>9-Jun-23--10-Jun-23</t>
  </si>
  <si>
    <t>10-Jun-23--22-Jun-23</t>
  </si>
  <si>
    <t>10-Jun-23--11-Jun-23</t>
  </si>
  <si>
    <t>12-Jun-23--13-Jun-23</t>
  </si>
  <si>
    <t>13-Jun-23--15-Jun-23</t>
  </si>
  <si>
    <t>15-Jun-23--16-Jun-23</t>
  </si>
  <si>
    <t>16-Jun-23--17-Jun-23</t>
  </si>
  <si>
    <t>17-Jun-23--18-Jun-23</t>
  </si>
  <si>
    <t>18-Jun-23--20-Jun-23</t>
  </si>
  <si>
    <t>22-Jun-23--23-Jun-23</t>
  </si>
  <si>
    <t>22-Jun-23--24-Jun-23</t>
  </si>
  <si>
    <t>24-Jun-23--25-Jun-23</t>
  </si>
  <si>
    <t>25-Jun-23--26-Jun-23</t>
  </si>
  <si>
    <t>23-Jun-23--27-Jun-23</t>
  </si>
  <si>
    <t>20-Jun-23--27-Jun-23</t>
  </si>
  <si>
    <t>27-Jun-23--29-Jun-23</t>
  </si>
  <si>
    <t>29-Jun-23--</t>
  </si>
  <si>
    <t>29-Jun-23--30-Jun-23</t>
  </si>
  <si>
    <t>30-Jun-23--1-Jul-23</t>
  </si>
  <si>
    <t>29-Jun-23--30-Jun-23--2-Jul-23</t>
  </si>
  <si>
    <t>1-Jul-23--2-Jul-23</t>
  </si>
  <si>
    <t>2-Jul-23--3-JUL-23</t>
  </si>
  <si>
    <t>4-Jul-23-----7-Jul-23</t>
  </si>
  <si>
    <t>6-Jul-23--7-Jul-23</t>
  </si>
  <si>
    <t>4-Jul-23-----9-Jul-23</t>
  </si>
  <si>
    <t>8-Jul-23-----9-Jul-23</t>
  </si>
  <si>
    <t>8-Jul-23--------9-Jul-23</t>
  </si>
  <si>
    <t>8-Jul-23-----10-Jul-23</t>
  </si>
  <si>
    <t>9-Jul-23----10-Jul-23</t>
  </si>
  <si>
    <t xml:space="preserve">DAVID HERRADURA </t>
  </si>
  <si>
    <t>10-Jul-23-----11-Jul-23</t>
  </si>
  <si>
    <t>9-Jul-23----13-Jul-23</t>
  </si>
  <si>
    <t>10-Jul-23-----11-Jul-23------13-Jul-23</t>
  </si>
  <si>
    <t>SEÑOR DEL CUERO DE ATRÁS</t>
  </si>
  <si>
    <t>11-Jul-23----14-Jul-23</t>
  </si>
  <si>
    <t>13-Jul-23----14-Jul-23</t>
  </si>
  <si>
    <t>14-Jul-23----15-Jul-23</t>
  </si>
  <si>
    <t>13-Jul-23----14-Jul-23---15-Jul-23--16-Jul-23</t>
  </si>
  <si>
    <t>15-Jul-23-----16-Jul-23</t>
  </si>
  <si>
    <t>15-Jul-23-----17-Jul-23</t>
  </si>
  <si>
    <t>SEÑOR DEL CUERO DE TEPEACA</t>
  </si>
  <si>
    <t>16-Jul-23----18-Jul-23</t>
  </si>
  <si>
    <t>17-Jul-23-----21-Jul-23</t>
  </si>
  <si>
    <t>20-Jul-23----21-Jul-23</t>
  </si>
  <si>
    <t>SERRANO</t>
  </si>
  <si>
    <t>20-Jul-23----22-Jul-23</t>
  </si>
  <si>
    <t>21-Jul-23-----23-Jul-23</t>
  </si>
  <si>
    <t>22-Jul-23----23-Jul-23</t>
  </si>
  <si>
    <t>23-Jul-23------24-Jul-23</t>
  </si>
  <si>
    <t>24-Jul-23--25-Jul-23</t>
  </si>
  <si>
    <t>24-Jul-23-------25-Jul-23-----27-Jul-23</t>
  </si>
  <si>
    <t>24-Jul-23-------27-Jul-23</t>
  </si>
  <si>
    <t xml:space="preserve">NORMA CENTRAL </t>
  </si>
  <si>
    <t>27-Jul-23-----28-Jul-23</t>
  </si>
  <si>
    <t>27-Jul-23-----29-Jul-23</t>
  </si>
  <si>
    <t>28-Jul-23----29-Jul-23</t>
  </si>
  <si>
    <t>28-Jul-23----30-Jul-23</t>
  </si>
  <si>
    <t>28-Jul-23----29-Jul-23--30-Jul-</t>
  </si>
  <si>
    <t>29-Jul-23------30-Jul-23</t>
  </si>
  <si>
    <t>EL PAISA</t>
  </si>
  <si>
    <t>REMISIONES    POR     CREDITOS         DE    AGOSTO      2 0 2 3</t>
  </si>
  <si>
    <t>REMISIONES    POR     CREDITOS         DE    JULIO      2 0 2 3</t>
  </si>
  <si>
    <t>30-Jul-23---31-jUL-23</t>
  </si>
  <si>
    <t>29-Jul-23--01-Ago-23</t>
  </si>
  <si>
    <t>31-Jul-23--2-Ago-23</t>
  </si>
  <si>
    <t>1-Ago-23---2-Ago-23</t>
  </si>
  <si>
    <t>2--Ago-23--3-Ago-23</t>
  </si>
  <si>
    <t>PRIMO</t>
  </si>
  <si>
    <t>18-Jul-23--21-Jul-23---23-Jul-23---28-Jul-23--4-Ago-23</t>
  </si>
  <si>
    <t>2-Ago-23--4-Ago-23</t>
  </si>
  <si>
    <t>31-Jul-23--5-Ago-23</t>
  </si>
  <si>
    <t>4-Ago-23--5-Ago-23</t>
  </si>
  <si>
    <t>5-Ago-23--</t>
  </si>
  <si>
    <t>4-Ago-23--6-Ago-23</t>
  </si>
  <si>
    <t>5-Ago-23--6-Ago-23</t>
  </si>
  <si>
    <t>6-Ago-23--7-Ago-23</t>
  </si>
  <si>
    <t>7-Ago-23--8-Ago-23</t>
  </si>
  <si>
    <t>7-Ago-23--9-Ago-23</t>
  </si>
  <si>
    <t>9-Ago-23--10-Ago-23</t>
  </si>
  <si>
    <t>10-Ago-23--</t>
  </si>
  <si>
    <t>10-Ago-23--11-Ago-23</t>
  </si>
  <si>
    <t>11-Ago-23--</t>
  </si>
  <si>
    <t>11-Ago-23--12-Ago-23</t>
  </si>
  <si>
    <t>10-Ago-23--12-Ago-23</t>
  </si>
  <si>
    <t>12-Ago-23--13-Ago-23</t>
  </si>
  <si>
    <t>12-Ago-23--14-Ago-23</t>
  </si>
  <si>
    <t>12-Ago-23--15-Ago-23</t>
  </si>
  <si>
    <t>13-Ago-23--14-Ago-23--15-Ago-23</t>
  </si>
  <si>
    <t>13-Ago-23--15-Ago-23</t>
  </si>
  <si>
    <t>14-Ago-23--18-Ago-23</t>
  </si>
  <si>
    <t>18-Ago-23--19-Ago-23</t>
  </si>
  <si>
    <t>9-Ago-23--15-Ago-23--20-Ago-23</t>
  </si>
  <si>
    <t>6-AGO-23--11-Ago-23--18-Ago-23--20-Ago-23</t>
  </si>
  <si>
    <t>158-Ago-23--20-Ago-23--</t>
  </si>
  <si>
    <t>20-Ago-23--</t>
  </si>
  <si>
    <t>20-Ago-23--21-Ago-23</t>
  </si>
  <si>
    <t>15-Ago-23--22-Ago-23</t>
  </si>
  <si>
    <t>21-Ago-23--22-Ago-23</t>
  </si>
  <si>
    <t>21-Ago-23--22-aGO-23</t>
  </si>
  <si>
    <t>MICH    (   1785  )</t>
  </si>
  <si>
    <t>GABIEL    (   1784  )</t>
  </si>
  <si>
    <t>PACO    (  1783   )</t>
  </si>
  <si>
    <t>CRISTIAN     (  1788  )</t>
  </si>
  <si>
    <t>CREMERIA   /   1789  )</t>
  </si>
  <si>
    <t>MARCELO    1787  )</t>
  </si>
  <si>
    <t>MAURO   (  1786  )</t>
  </si>
  <si>
    <t>22-Ago-23--24-Ago-23</t>
  </si>
  <si>
    <t>24-Ago-23--25-Ago-23</t>
  </si>
  <si>
    <t xml:space="preserve">CREMERIA      </t>
  </si>
  <si>
    <t>22-ago-23--26-Ago-23</t>
  </si>
  <si>
    <t>24-Ago-23--26-Ago-23</t>
  </si>
  <si>
    <t>25-Ago-23--26-Ago-23--27-Ago-23-28-Ago-23</t>
  </si>
  <si>
    <t>29-Ago-23--31-ago-23</t>
  </si>
  <si>
    <t>ERIK</t>
  </si>
  <si>
    <t>31-Ago-23--1-Sept-23</t>
  </si>
  <si>
    <t>26-Ago-23--29-Ago-23--2-Sept-23</t>
  </si>
  <si>
    <t>1-Sept-23--2-Sept-23</t>
  </si>
  <si>
    <t>SEÑOR DE CUERO TEPEACA</t>
  </si>
  <si>
    <t>25-Ago-23--27-Ago-23--3-Sept-23--5-sept-23</t>
  </si>
  <si>
    <t>2-Sept-23--5-Sept-23</t>
  </si>
  <si>
    <t>2-Sept-23--3-Sept-23--5-Sept-23</t>
  </si>
  <si>
    <t>5-Sept-23--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</si>
</sst>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rgb="FF0070C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CC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rgb="FF660066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5" tint="-0.249977111117893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0"/>
      <color rgb="FF0000FF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FFCC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7">
    <xf numFmtId="0" fontId="0" fillId="0" borderId="0" xfId="0"/>
    <xf numFmtId="164" fontId="0" fillId="0" borderId="0" xfId="0" applyNumberFormat="1" applyAlignment="1">
      <alignment horizontal="center"/>
    </xf>
    <xf numFmtId="0" fontId="0" fillId="2" borderId="0" xfId="0" applyFill="1"/>
    <xf numFmtId="164" fontId="0" fillId="0" borderId="4" xfId="0" applyNumberFormat="1" applyBorder="1" applyAlignment="1">
      <alignment horizontal="center"/>
    </xf>
    <xf numFmtId="0" fontId="0" fillId="0" borderId="4" xfId="0" applyBorder="1"/>
    <xf numFmtId="164" fontId="2" fillId="0" borderId="6" xfId="0" applyNumberFormat="1" applyFont="1" applyBorder="1" applyAlignment="1">
      <alignment horizontal="center"/>
    </xf>
    <xf numFmtId="0" fontId="6" fillId="0" borderId="6" xfId="0" applyFont="1" applyBorder="1" applyAlignment="1">
      <alignment horizontal="center" wrapText="1"/>
    </xf>
    <xf numFmtId="0" fontId="2" fillId="4" borderId="6" xfId="0" applyFont="1" applyFill="1" applyBorder="1" applyAlignment="1">
      <alignment horizontal="center" wrapText="1"/>
    </xf>
    <xf numFmtId="0" fontId="7" fillId="5" borderId="6" xfId="0" applyFont="1" applyFill="1" applyBorder="1" applyAlignment="1">
      <alignment horizontal="center" vertical="center" wrapText="1"/>
    </xf>
    <xf numFmtId="44" fontId="2" fillId="0" borderId="6" xfId="1" applyFont="1" applyBorder="1" applyAlignment="1">
      <alignment horizontal="center"/>
    </xf>
    <xf numFmtId="165" fontId="6" fillId="0" borderId="6" xfId="0" applyNumberFormat="1" applyFont="1" applyBorder="1" applyAlignment="1">
      <alignment horizontal="center" vertical="center" wrapText="1"/>
    </xf>
    <xf numFmtId="44" fontId="6" fillId="5" borderId="6" xfId="1" applyFont="1" applyFill="1" applyBorder="1" applyAlignment="1">
      <alignment horizontal="center" wrapText="1"/>
    </xf>
    <xf numFmtId="0" fontId="3" fillId="0" borderId="6" xfId="0" applyFont="1" applyBorder="1" applyAlignment="1">
      <alignment horizontal="center"/>
    </xf>
    <xf numFmtId="164" fontId="2" fillId="0" borderId="7" xfId="0" applyNumberFormat="1" applyFont="1" applyBorder="1" applyAlignment="1">
      <alignment horizontal="center"/>
    </xf>
    <xf numFmtId="0" fontId="8" fillId="0" borderId="0" xfId="0" applyFont="1" applyAlignment="1">
      <alignment horizontal="center" wrapText="1"/>
    </xf>
    <xf numFmtId="0" fontId="9" fillId="0" borderId="0" xfId="0" applyFont="1" applyAlignment="1">
      <alignment horizontal="center" wrapText="1"/>
    </xf>
    <xf numFmtId="0" fontId="6" fillId="0" borderId="8" xfId="0" applyFont="1" applyBorder="1"/>
    <xf numFmtId="44" fontId="2" fillId="0" borderId="9" xfId="1" applyFont="1" applyFill="1" applyBorder="1"/>
    <xf numFmtId="165" fontId="6" fillId="0" borderId="0" xfId="0" applyNumberFormat="1" applyFont="1" applyAlignment="1">
      <alignment horizontal="center" wrapText="1"/>
    </xf>
    <xf numFmtId="166" fontId="2" fillId="0" borderId="10" xfId="0" applyNumberFormat="1" applyFont="1" applyBorder="1"/>
    <xf numFmtId="0" fontId="6" fillId="0" borderId="7" xfId="0" applyFont="1" applyBorder="1"/>
    <xf numFmtId="44" fontId="2" fillId="0" borderId="7" xfId="1" applyFont="1" applyFill="1" applyBorder="1"/>
    <xf numFmtId="165" fontId="6" fillId="0" borderId="7" xfId="0" applyNumberFormat="1" applyFont="1" applyBorder="1" applyAlignment="1">
      <alignment horizontal="center" wrapText="1"/>
    </xf>
    <xf numFmtId="164" fontId="2" fillId="0" borderId="8" xfId="0" applyNumberFormat="1" applyFont="1" applyBorder="1" applyAlignment="1">
      <alignment horizontal="center"/>
    </xf>
    <xf numFmtId="0" fontId="6" fillId="0" borderId="7" xfId="0" applyFont="1" applyBorder="1" applyAlignment="1">
      <alignment wrapText="1"/>
    </xf>
    <xf numFmtId="0" fontId="9" fillId="0" borderId="0" xfId="0" applyFont="1" applyAlignment="1">
      <alignment horizontal="center" vertical="center" wrapText="1"/>
    </xf>
    <xf numFmtId="0" fontId="9" fillId="0" borderId="11" xfId="0" applyFont="1" applyBorder="1" applyAlignment="1">
      <alignment horizontal="center" wrapText="1"/>
    </xf>
    <xf numFmtId="0" fontId="9" fillId="6" borderId="0" xfId="0" applyFont="1" applyFill="1" applyAlignment="1">
      <alignment horizontal="center" vertical="center" wrapText="1"/>
    </xf>
    <xf numFmtId="0" fontId="9" fillId="5" borderId="0" xfId="0" applyFont="1" applyFill="1" applyAlignment="1">
      <alignment horizontal="center" vertical="center" wrapText="1"/>
    </xf>
    <xf numFmtId="164" fontId="2" fillId="0" borderId="7" xfId="0" applyNumberFormat="1" applyFont="1" applyBorder="1" applyAlignment="1">
      <alignment horizontal="center" wrapText="1"/>
    </xf>
    <xf numFmtId="44" fontId="2" fillId="0" borderId="7" xfId="1" applyFont="1" applyFill="1" applyBorder="1" applyAlignment="1">
      <alignment wrapText="1"/>
    </xf>
    <xf numFmtId="44" fontId="6" fillId="0" borderId="7" xfId="1" applyFont="1" applyFill="1" applyBorder="1" applyAlignment="1">
      <alignment wrapText="1"/>
    </xf>
    <xf numFmtId="166" fontId="2" fillId="0" borderId="10" xfId="0" applyNumberFormat="1" applyFont="1" applyBorder="1" applyAlignment="1">
      <alignment wrapText="1"/>
    </xf>
    <xf numFmtId="0" fontId="0" fillId="0" borderId="0" xfId="0" applyAlignment="1">
      <alignment wrapText="1"/>
    </xf>
    <xf numFmtId="0" fontId="2" fillId="0" borderId="7" xfId="0" applyFont="1" applyBorder="1"/>
    <xf numFmtId="164" fontId="10" fillId="0" borderId="8" xfId="0" applyNumberFormat="1" applyFon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0" fontId="6" fillId="0" borderId="13" xfId="0" applyFont="1" applyBorder="1" applyAlignment="1">
      <alignment horizontal="center" wrapText="1"/>
    </xf>
    <xf numFmtId="0" fontId="2" fillId="0" borderId="13" xfId="0" applyFont="1" applyBorder="1"/>
    <xf numFmtId="44" fontId="2" fillId="0" borderId="13" xfId="1" applyFont="1" applyBorder="1"/>
    <xf numFmtId="165" fontId="6" fillId="0" borderId="13" xfId="0" applyNumberFormat="1" applyFont="1" applyBorder="1" applyAlignment="1">
      <alignment horizontal="center" wrapText="1"/>
    </xf>
    <xf numFmtId="0" fontId="5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44" fontId="2" fillId="2" borderId="0" xfId="1" applyFont="1" applyFill="1"/>
    <xf numFmtId="44" fontId="2" fillId="2" borderId="0" xfId="1" applyFont="1" applyFill="1" applyAlignment="1">
      <alignment wrapText="1"/>
    </xf>
    <xf numFmtId="166" fontId="2" fillId="0" borderId="0" xfId="0" applyNumberFormat="1" applyFont="1"/>
    <xf numFmtId="44" fontId="0" fillId="2" borderId="0" xfId="1" applyFont="1" applyFill="1"/>
    <xf numFmtId="165" fontId="5" fillId="2" borderId="0" xfId="0" applyNumberFormat="1" applyFont="1" applyFill="1" applyAlignment="1">
      <alignment horizontal="center" wrapText="1"/>
    </xf>
    <xf numFmtId="166" fontId="0" fillId="0" borderId="0" xfId="0" applyNumberFormat="1"/>
    <xf numFmtId="44" fontId="11" fillId="2" borderId="0" xfId="1" applyFont="1" applyFill="1" applyAlignment="1">
      <alignment horizontal="center" wrapText="1"/>
    </xf>
    <xf numFmtId="44" fontId="12" fillId="2" borderId="0" xfId="1" applyFont="1" applyFill="1" applyAlignment="1">
      <alignment horizontal="center" wrapText="1"/>
    </xf>
    <xf numFmtId="0" fontId="2" fillId="0" borderId="0" xfId="0" applyFont="1" applyAlignment="1">
      <alignment wrapText="1"/>
    </xf>
    <xf numFmtId="44" fontId="3" fillId="0" borderId="0" xfId="1" applyFont="1" applyFill="1" applyBorder="1"/>
    <xf numFmtId="165" fontId="15" fillId="0" borderId="0" xfId="0" applyNumberFormat="1" applyFont="1" applyAlignment="1">
      <alignment horizontal="center" wrapText="1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165" fontId="5" fillId="0" borderId="0" xfId="0" applyNumberFormat="1" applyFont="1" applyAlignment="1">
      <alignment horizontal="center" wrapText="1"/>
    </xf>
    <xf numFmtId="44" fontId="5" fillId="2" borderId="4" xfId="1" applyFont="1" applyFill="1" applyBorder="1" applyAlignment="1">
      <alignment wrapText="1"/>
    </xf>
    <xf numFmtId="44" fontId="6" fillId="0" borderId="0" xfId="1" applyFont="1" applyFill="1" applyAlignment="1">
      <alignment wrapText="1"/>
    </xf>
    <xf numFmtId="44" fontId="6" fillId="0" borderId="13" xfId="1" applyFont="1" applyBorder="1" applyAlignment="1">
      <alignment wrapText="1"/>
    </xf>
    <xf numFmtId="44" fontId="5" fillId="2" borderId="0" xfId="1" applyFont="1" applyFill="1" applyAlignment="1">
      <alignment wrapText="1"/>
    </xf>
    <xf numFmtId="44" fontId="3" fillId="0" borderId="0" xfId="1" applyFont="1" applyFill="1" applyBorder="1" applyAlignment="1">
      <alignment wrapText="1"/>
    </xf>
    <xf numFmtId="44" fontId="5" fillId="0" borderId="0" xfId="1" applyFont="1" applyAlignment="1">
      <alignment wrapText="1"/>
    </xf>
    <xf numFmtId="165" fontId="8" fillId="8" borderId="7" xfId="0" applyNumberFormat="1" applyFont="1" applyFill="1" applyBorder="1" applyAlignment="1">
      <alignment horizontal="center" wrapText="1"/>
    </xf>
    <xf numFmtId="44" fontId="8" fillId="8" borderId="7" xfId="1" applyFont="1" applyFill="1" applyBorder="1" applyAlignment="1">
      <alignment wrapText="1"/>
    </xf>
    <xf numFmtId="165" fontId="6" fillId="5" borderId="7" xfId="0" applyNumberFormat="1" applyFont="1" applyFill="1" applyBorder="1" applyAlignment="1">
      <alignment horizontal="center" wrapText="1"/>
    </xf>
    <xf numFmtId="44" fontId="6" fillId="5" borderId="7" xfId="1" applyFont="1" applyFill="1" applyBorder="1" applyAlignment="1">
      <alignment wrapText="1"/>
    </xf>
    <xf numFmtId="165" fontId="8" fillId="0" borderId="7" xfId="0" applyNumberFormat="1" applyFont="1" applyBorder="1" applyAlignment="1">
      <alignment horizontal="center" wrapText="1"/>
    </xf>
    <xf numFmtId="44" fontId="8" fillId="0" borderId="7" xfId="1" applyFont="1" applyFill="1" applyBorder="1" applyAlignment="1">
      <alignment wrapText="1"/>
    </xf>
    <xf numFmtId="0" fontId="16" fillId="0" borderId="7" xfId="0" applyFont="1" applyBorder="1"/>
    <xf numFmtId="0" fontId="6" fillId="5" borderId="7" xfId="0" applyFont="1" applyFill="1" applyBorder="1"/>
    <xf numFmtId="44" fontId="2" fillId="5" borderId="7" xfId="1" applyFont="1" applyFill="1" applyBorder="1"/>
    <xf numFmtId="0" fontId="3" fillId="0" borderId="7" xfId="0" applyFont="1" applyBorder="1"/>
    <xf numFmtId="0" fontId="17" fillId="0" borderId="7" xfId="0" applyFont="1" applyBorder="1"/>
    <xf numFmtId="0" fontId="18" fillId="0" borderId="7" xfId="0" applyFont="1" applyBorder="1"/>
    <xf numFmtId="165" fontId="15" fillId="5" borderId="7" xfId="0" applyNumberFormat="1" applyFont="1" applyFill="1" applyBorder="1" applyAlignment="1">
      <alignment horizontal="center" wrapText="1"/>
    </xf>
    <xf numFmtId="44" fontId="6" fillId="8" borderId="7" xfId="1" applyFont="1" applyFill="1" applyBorder="1" applyAlignment="1">
      <alignment wrapText="1"/>
    </xf>
    <xf numFmtId="165" fontId="2" fillId="0" borderId="7" xfId="0" applyNumberFormat="1" applyFont="1" applyBorder="1" applyAlignment="1">
      <alignment horizontal="center" wrapText="1"/>
    </xf>
    <xf numFmtId="165" fontId="15" fillId="0" borderId="7" xfId="0" applyNumberFormat="1" applyFont="1" applyBorder="1" applyAlignment="1">
      <alignment horizontal="center" wrapText="1"/>
    </xf>
    <xf numFmtId="166" fontId="2" fillId="8" borderId="10" xfId="0" applyNumberFormat="1" applyFont="1" applyFill="1" applyBorder="1"/>
    <xf numFmtId="0" fontId="19" fillId="0" borderId="7" xfId="0" applyFont="1" applyBorder="1"/>
    <xf numFmtId="44" fontId="19" fillId="0" borderId="7" xfId="1" applyFont="1" applyFill="1" applyBorder="1"/>
    <xf numFmtId="165" fontId="20" fillId="0" borderId="7" xfId="0" applyNumberFormat="1" applyFont="1" applyBorder="1" applyAlignment="1">
      <alignment horizontal="center" wrapText="1"/>
    </xf>
    <xf numFmtId="0" fontId="2" fillId="5" borderId="7" xfId="0" applyFont="1" applyFill="1" applyBorder="1"/>
    <xf numFmtId="0" fontId="2" fillId="9" borderId="7" xfId="0" applyFont="1" applyFill="1" applyBorder="1"/>
    <xf numFmtId="44" fontId="2" fillId="9" borderId="7" xfId="1" applyFont="1" applyFill="1" applyBorder="1"/>
    <xf numFmtId="165" fontId="6" fillId="0" borderId="7" xfId="0" applyNumberFormat="1" applyFont="1" applyFill="1" applyBorder="1" applyAlignment="1">
      <alignment horizontal="center" wrapText="1"/>
    </xf>
    <xf numFmtId="165" fontId="2" fillId="0" borderId="7" xfId="0" applyNumberFormat="1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166" fontId="13" fillId="7" borderId="1" xfId="0" applyNumberFormat="1" applyFont="1" applyFill="1" applyBorder="1" applyAlignment="1">
      <alignment horizontal="center"/>
    </xf>
    <xf numFmtId="166" fontId="13" fillId="7" borderId="2" xfId="0" applyNumberFormat="1" applyFont="1" applyFill="1" applyBorder="1" applyAlignment="1">
      <alignment horizontal="center"/>
    </xf>
    <xf numFmtId="166" fontId="13" fillId="7" borderId="3" xfId="0" applyNumberFormat="1" applyFont="1" applyFill="1" applyBorder="1" applyAlignment="1">
      <alignment horizontal="center"/>
    </xf>
    <xf numFmtId="166" fontId="14" fillId="2" borderId="0" xfId="0" applyNumberFormat="1" applyFont="1" applyFill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66FFCC"/>
      <color rgb="FF00FF00"/>
      <color rgb="FFFFCCFF"/>
      <color rgb="FFFF00FF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80</xdr:row>
      <xdr:rowOff>152402</xdr:rowOff>
    </xdr:from>
    <xdr:to>
      <xdr:col>5</xdr:col>
      <xdr:colOff>180974</xdr:colOff>
      <xdr:row>82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 rot="16200000" flipH="1">
          <a:off x="4576765" y="441817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80</xdr:row>
      <xdr:rowOff>123829</xdr:rowOff>
    </xdr:from>
    <xdr:to>
      <xdr:col>6</xdr:col>
      <xdr:colOff>171450</xdr:colOff>
      <xdr:row>82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 rot="5400000">
          <a:off x="5472114" y="442293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94</xdr:row>
      <xdr:rowOff>152402</xdr:rowOff>
    </xdr:from>
    <xdr:to>
      <xdr:col>5</xdr:col>
      <xdr:colOff>180974</xdr:colOff>
      <xdr:row>96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CxnSpPr/>
      </xdr:nvCxnSpPr>
      <xdr:spPr>
        <a:xfrm rot="16200000" flipH="1">
          <a:off x="4576765" y="2064544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94</xdr:row>
      <xdr:rowOff>123829</xdr:rowOff>
    </xdr:from>
    <xdr:to>
      <xdr:col>6</xdr:col>
      <xdr:colOff>171450</xdr:colOff>
      <xdr:row>96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CxnSpPr/>
      </xdr:nvCxnSpPr>
      <xdr:spPr>
        <a:xfrm rot="5400000">
          <a:off x="5472114" y="2069306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98</xdr:row>
      <xdr:rowOff>152402</xdr:rowOff>
    </xdr:from>
    <xdr:to>
      <xdr:col>5</xdr:col>
      <xdr:colOff>180974</xdr:colOff>
      <xdr:row>100</xdr:row>
      <xdr:rowOff>133349</xdr:rowOff>
    </xdr:to>
    <xdr:cxnSp macro="">
      <xdr:nvCxnSpPr>
        <xdr:cNvPr id="4" name="1 Conector recto de flecha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CxnSpPr/>
      </xdr:nvCxnSpPr>
      <xdr:spPr>
        <a:xfrm rot="16200000" flipH="1">
          <a:off x="4576765" y="2449354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98</xdr:row>
      <xdr:rowOff>123829</xdr:rowOff>
    </xdr:from>
    <xdr:to>
      <xdr:col>6</xdr:col>
      <xdr:colOff>171450</xdr:colOff>
      <xdr:row>100</xdr:row>
      <xdr:rowOff>161927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 rot="5400000">
          <a:off x="5472114" y="2454116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92</xdr:row>
      <xdr:rowOff>152402</xdr:rowOff>
    </xdr:from>
    <xdr:to>
      <xdr:col>5</xdr:col>
      <xdr:colOff>180974</xdr:colOff>
      <xdr:row>94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CxnSpPr/>
      </xdr:nvCxnSpPr>
      <xdr:spPr>
        <a:xfrm rot="16200000" flipH="1">
          <a:off x="4576765" y="2784634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92</xdr:row>
      <xdr:rowOff>123829</xdr:rowOff>
    </xdr:from>
    <xdr:to>
      <xdr:col>6</xdr:col>
      <xdr:colOff>171450</xdr:colOff>
      <xdr:row>94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CxnSpPr/>
      </xdr:nvCxnSpPr>
      <xdr:spPr>
        <a:xfrm rot="5400000">
          <a:off x="5472114" y="2789396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124</xdr:row>
      <xdr:rowOff>152402</xdr:rowOff>
    </xdr:from>
    <xdr:to>
      <xdr:col>5</xdr:col>
      <xdr:colOff>180974</xdr:colOff>
      <xdr:row>126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CxnSpPr/>
      </xdr:nvCxnSpPr>
      <xdr:spPr>
        <a:xfrm rot="16200000" flipH="1">
          <a:off x="4576765" y="256270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124</xdr:row>
      <xdr:rowOff>123829</xdr:rowOff>
    </xdr:from>
    <xdr:to>
      <xdr:col>6</xdr:col>
      <xdr:colOff>171450</xdr:colOff>
      <xdr:row>126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CxnSpPr/>
      </xdr:nvCxnSpPr>
      <xdr:spPr>
        <a:xfrm rot="5400000">
          <a:off x="5472114" y="256746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111</xdr:row>
      <xdr:rowOff>152402</xdr:rowOff>
    </xdr:from>
    <xdr:to>
      <xdr:col>5</xdr:col>
      <xdr:colOff>180974</xdr:colOff>
      <xdr:row>113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CxnSpPr/>
      </xdr:nvCxnSpPr>
      <xdr:spPr>
        <a:xfrm rot="16200000" flipH="1">
          <a:off x="4576765" y="3969544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111</xdr:row>
      <xdr:rowOff>123829</xdr:rowOff>
    </xdr:from>
    <xdr:to>
      <xdr:col>6</xdr:col>
      <xdr:colOff>171450</xdr:colOff>
      <xdr:row>113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CxnSpPr/>
      </xdr:nvCxnSpPr>
      <xdr:spPr>
        <a:xfrm rot="5400000">
          <a:off x="5472114" y="3974306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150</xdr:row>
      <xdr:rowOff>152402</xdr:rowOff>
    </xdr:from>
    <xdr:to>
      <xdr:col>5</xdr:col>
      <xdr:colOff>180974</xdr:colOff>
      <xdr:row>152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CxnSpPr/>
      </xdr:nvCxnSpPr>
      <xdr:spPr>
        <a:xfrm rot="16200000" flipH="1">
          <a:off x="4576765" y="3997166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150</xdr:row>
      <xdr:rowOff>123829</xdr:rowOff>
    </xdr:from>
    <xdr:to>
      <xdr:col>6</xdr:col>
      <xdr:colOff>171450</xdr:colOff>
      <xdr:row>152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CxnSpPr/>
      </xdr:nvCxnSpPr>
      <xdr:spPr>
        <a:xfrm rot="5400000">
          <a:off x="5472114" y="4001929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193</xdr:row>
      <xdr:rowOff>152402</xdr:rowOff>
    </xdr:from>
    <xdr:to>
      <xdr:col>5</xdr:col>
      <xdr:colOff>180974</xdr:colOff>
      <xdr:row>195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7075CD-51E3-4078-961B-7EC20AABF2C9}"/>
            </a:ext>
          </a:extLst>
        </xdr:cNvPr>
        <xdr:cNvCxnSpPr/>
      </xdr:nvCxnSpPr>
      <xdr:spPr>
        <a:xfrm rot="16200000" flipH="1">
          <a:off x="4757740" y="5708809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193</xdr:row>
      <xdr:rowOff>123829</xdr:rowOff>
    </xdr:from>
    <xdr:to>
      <xdr:col>6</xdr:col>
      <xdr:colOff>171450</xdr:colOff>
      <xdr:row>195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BADD5DB-733E-4BF9-B0F5-0A7FD1A1B27F}"/>
            </a:ext>
          </a:extLst>
        </xdr:cNvPr>
        <xdr:cNvCxnSpPr/>
      </xdr:nvCxnSpPr>
      <xdr:spPr>
        <a:xfrm rot="5400000">
          <a:off x="5653089" y="5713571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97"/>
  <sheetViews>
    <sheetView workbookViewId="0">
      <pane ySplit="3" topLeftCell="A64" activePane="bottomLeft" state="frozen"/>
      <selection pane="bottomLeft" activeCell="H68" sqref="H68"/>
    </sheetView>
  </sheetViews>
  <sheetFormatPr baseColWidth="10" defaultRowHeight="15.75" x14ac:dyDescent="0.25"/>
  <cols>
    <col min="1" max="1" width="11.42578125" style="1"/>
    <col min="2" max="2" width="13.140625" style="54" customWidth="1"/>
    <col min="3" max="3" width="9.85546875" style="55" hidden="1" customWidth="1"/>
    <col min="4" max="4" width="34.28515625" customWidth="1"/>
    <col min="5" max="5" width="15.85546875" style="56" bestFit="1" customWidth="1"/>
    <col min="6" max="6" width="13.28515625" style="57" customWidth="1"/>
    <col min="7" max="7" width="18" style="63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19.5" thickBot="1" x14ac:dyDescent="0.35">
      <c r="B1" s="89" t="s">
        <v>11</v>
      </c>
      <c r="C1" s="90"/>
      <c r="D1" s="90"/>
      <c r="E1" s="90"/>
      <c r="F1" s="90"/>
      <c r="G1" s="91"/>
      <c r="I1" s="2"/>
    </row>
    <row r="2" spans="1:9" ht="21" x14ac:dyDescent="0.35">
      <c r="A2" s="3"/>
      <c r="B2" s="92" t="s">
        <v>0</v>
      </c>
      <c r="C2" s="92"/>
      <c r="D2" s="92"/>
      <c r="E2" s="92"/>
      <c r="F2" s="92"/>
      <c r="G2" s="58"/>
      <c r="H2" s="4"/>
      <c r="I2" s="2"/>
    </row>
    <row r="3" spans="1:9" ht="46.5" thickBot="1" x14ac:dyDescent="0.35">
      <c r="A3" s="5"/>
      <c r="B3" s="6" t="s">
        <v>1</v>
      </c>
      <c r="C3" s="7" t="s">
        <v>2</v>
      </c>
      <c r="D3" s="8" t="s">
        <v>3</v>
      </c>
      <c r="E3" s="9" t="s">
        <v>4</v>
      </c>
      <c r="F3" s="10" t="s">
        <v>5</v>
      </c>
      <c r="G3" s="11" t="s">
        <v>6</v>
      </c>
      <c r="H3" s="12" t="s">
        <v>7</v>
      </c>
      <c r="I3" s="2"/>
    </row>
    <row r="4" spans="1:9" ht="16.5" thickTop="1" x14ac:dyDescent="0.25">
      <c r="A4" s="13">
        <v>44935</v>
      </c>
      <c r="B4" s="14">
        <v>969</v>
      </c>
      <c r="C4" s="15"/>
      <c r="D4" s="16" t="s">
        <v>12</v>
      </c>
      <c r="E4" s="17">
        <v>335</v>
      </c>
      <c r="F4" s="18">
        <v>44936</v>
      </c>
      <c r="G4" s="59">
        <v>335</v>
      </c>
      <c r="H4" s="19">
        <f t="shared" ref="H4:H79" si="0">E4-G4</f>
        <v>0</v>
      </c>
      <c r="I4" s="2"/>
    </row>
    <row r="5" spans="1:9" x14ac:dyDescent="0.25">
      <c r="A5" s="13">
        <v>44935</v>
      </c>
      <c r="B5" s="14">
        <v>970</v>
      </c>
      <c r="C5" s="15"/>
      <c r="D5" s="20" t="s">
        <v>13</v>
      </c>
      <c r="E5" s="21">
        <v>5328</v>
      </c>
      <c r="F5" s="22">
        <v>44936</v>
      </c>
      <c r="G5" s="31">
        <v>5328</v>
      </c>
      <c r="H5" s="19">
        <f t="shared" si="0"/>
        <v>0</v>
      </c>
    </row>
    <row r="6" spans="1:9" ht="31.5" x14ac:dyDescent="0.25">
      <c r="A6" s="13">
        <v>44935</v>
      </c>
      <c r="B6" s="14">
        <f t="shared" ref="B6:B69" si="1">B5+1</f>
        <v>971</v>
      </c>
      <c r="C6" s="15"/>
      <c r="D6" s="20" t="s">
        <v>14</v>
      </c>
      <c r="E6" s="21">
        <v>607</v>
      </c>
      <c r="F6" s="22" t="s">
        <v>20</v>
      </c>
      <c r="G6" s="31">
        <f>212+395</f>
        <v>607</v>
      </c>
      <c r="H6" s="19">
        <f t="shared" si="0"/>
        <v>0</v>
      </c>
    </row>
    <row r="7" spans="1:9" ht="31.5" x14ac:dyDescent="0.25">
      <c r="A7" s="23">
        <v>44936</v>
      </c>
      <c r="B7" s="14">
        <f t="shared" si="1"/>
        <v>972</v>
      </c>
      <c r="C7" s="15"/>
      <c r="D7" s="20" t="s">
        <v>15</v>
      </c>
      <c r="E7" s="21">
        <v>2287</v>
      </c>
      <c r="F7" s="22" t="s">
        <v>23</v>
      </c>
      <c r="G7" s="31">
        <f>1200+1087</f>
        <v>2287</v>
      </c>
      <c r="H7" s="19">
        <f t="shared" si="0"/>
        <v>0</v>
      </c>
    </row>
    <row r="8" spans="1:9" ht="31.5" x14ac:dyDescent="0.25">
      <c r="A8" s="13">
        <v>44936</v>
      </c>
      <c r="B8" s="14">
        <f t="shared" si="1"/>
        <v>973</v>
      </c>
      <c r="C8" s="15"/>
      <c r="D8" s="24" t="s">
        <v>16</v>
      </c>
      <c r="E8" s="21">
        <v>7268</v>
      </c>
      <c r="F8" s="22" t="s">
        <v>23</v>
      </c>
      <c r="G8" s="31">
        <f>4000+3268</f>
        <v>7268</v>
      </c>
      <c r="H8" s="19">
        <f t="shared" si="0"/>
        <v>0</v>
      </c>
    </row>
    <row r="9" spans="1:9" x14ac:dyDescent="0.25">
      <c r="A9" s="13">
        <v>44936</v>
      </c>
      <c r="B9" s="14">
        <f t="shared" si="1"/>
        <v>974</v>
      </c>
      <c r="C9" s="15"/>
      <c r="D9" s="20" t="s">
        <v>13</v>
      </c>
      <c r="E9" s="21">
        <v>5933</v>
      </c>
      <c r="F9" s="22">
        <v>44937</v>
      </c>
      <c r="G9" s="31">
        <v>5933</v>
      </c>
      <c r="H9" s="19">
        <f t="shared" si="0"/>
        <v>0</v>
      </c>
    </row>
    <row r="10" spans="1:9" x14ac:dyDescent="0.25">
      <c r="A10" s="13">
        <v>44936</v>
      </c>
      <c r="B10" s="14">
        <f t="shared" si="1"/>
        <v>975</v>
      </c>
      <c r="C10" s="15"/>
      <c r="D10" s="20" t="s">
        <v>17</v>
      </c>
      <c r="E10" s="21">
        <v>7688</v>
      </c>
      <c r="F10" s="22">
        <v>44943</v>
      </c>
      <c r="G10" s="31">
        <v>7688</v>
      </c>
      <c r="H10" s="19">
        <f t="shared" si="0"/>
        <v>0</v>
      </c>
    </row>
    <row r="11" spans="1:9" x14ac:dyDescent="0.25">
      <c r="A11" s="13">
        <v>44937</v>
      </c>
      <c r="B11" s="14">
        <f t="shared" si="1"/>
        <v>976</v>
      </c>
      <c r="C11" s="15"/>
      <c r="D11" s="20" t="s">
        <v>13</v>
      </c>
      <c r="E11" s="21">
        <v>4453</v>
      </c>
      <c r="F11" s="22" t="s">
        <v>21</v>
      </c>
      <c r="G11" s="31">
        <v>4453</v>
      </c>
      <c r="H11" s="19">
        <f t="shared" si="0"/>
        <v>0</v>
      </c>
    </row>
    <row r="12" spans="1:9" x14ac:dyDescent="0.25">
      <c r="A12" s="13">
        <v>44937</v>
      </c>
      <c r="B12" s="14">
        <f t="shared" si="1"/>
        <v>977</v>
      </c>
      <c r="C12" s="25"/>
      <c r="D12" s="20" t="s">
        <v>18</v>
      </c>
      <c r="E12" s="21">
        <v>0</v>
      </c>
      <c r="F12" s="22"/>
      <c r="G12" s="31"/>
      <c r="H12" s="19">
        <f t="shared" si="0"/>
        <v>0</v>
      </c>
    </row>
    <row r="13" spans="1:9" ht="31.5" x14ac:dyDescent="0.25">
      <c r="A13" s="13">
        <v>44937</v>
      </c>
      <c r="B13" s="14">
        <f t="shared" si="1"/>
        <v>978</v>
      </c>
      <c r="C13" s="26"/>
      <c r="D13" s="20" t="s">
        <v>14</v>
      </c>
      <c r="E13" s="21">
        <v>5360</v>
      </c>
      <c r="F13" s="22" t="s">
        <v>22</v>
      </c>
      <c r="G13" s="31">
        <f>5000+360</f>
        <v>5360</v>
      </c>
      <c r="H13" s="19">
        <f t="shared" si="0"/>
        <v>0</v>
      </c>
    </row>
    <row r="14" spans="1:9" x14ac:dyDescent="0.25">
      <c r="A14" s="13">
        <v>44937</v>
      </c>
      <c r="B14" s="14">
        <f t="shared" si="1"/>
        <v>979</v>
      </c>
      <c r="C14" s="25"/>
      <c r="D14" s="20" t="s">
        <v>18</v>
      </c>
      <c r="E14" s="21">
        <v>0</v>
      </c>
      <c r="F14" s="22"/>
      <c r="G14" s="31"/>
      <c r="H14" s="19">
        <f t="shared" si="0"/>
        <v>0</v>
      </c>
    </row>
    <row r="15" spans="1:9" x14ac:dyDescent="0.25">
      <c r="A15" s="13">
        <v>44937</v>
      </c>
      <c r="B15" s="14">
        <f t="shared" si="1"/>
        <v>980</v>
      </c>
      <c r="C15" s="26"/>
      <c r="D15" s="20" t="s">
        <v>19</v>
      </c>
      <c r="E15" s="21">
        <v>7786</v>
      </c>
      <c r="F15" s="22">
        <v>44939</v>
      </c>
      <c r="G15" s="31">
        <v>7786</v>
      </c>
      <c r="H15" s="19">
        <f t="shared" si="0"/>
        <v>0</v>
      </c>
    </row>
    <row r="16" spans="1:9" x14ac:dyDescent="0.25">
      <c r="A16" s="13">
        <v>44938</v>
      </c>
      <c r="B16" s="14">
        <f t="shared" si="1"/>
        <v>981</v>
      </c>
      <c r="C16" s="25"/>
      <c r="D16" s="20" t="s">
        <v>15</v>
      </c>
      <c r="E16" s="21">
        <v>1260</v>
      </c>
      <c r="F16" s="22">
        <v>44940</v>
      </c>
      <c r="G16" s="31">
        <v>1260</v>
      </c>
      <c r="H16" s="19">
        <f t="shared" si="0"/>
        <v>0</v>
      </c>
    </row>
    <row r="17" spans="1:8" ht="31.5" x14ac:dyDescent="0.25">
      <c r="A17" s="13">
        <v>44938</v>
      </c>
      <c r="B17" s="14">
        <f t="shared" si="1"/>
        <v>982</v>
      </c>
      <c r="C17" s="26"/>
      <c r="D17" s="20" t="s">
        <v>14</v>
      </c>
      <c r="E17" s="21">
        <v>5327</v>
      </c>
      <c r="F17" s="22" t="s">
        <v>26</v>
      </c>
      <c r="G17" s="31">
        <f>4245+1082</f>
        <v>5327</v>
      </c>
      <c r="H17" s="19">
        <f t="shared" si="0"/>
        <v>0</v>
      </c>
    </row>
    <row r="18" spans="1:8" x14ac:dyDescent="0.25">
      <c r="A18" s="13">
        <v>44938</v>
      </c>
      <c r="B18" s="14">
        <f t="shared" si="1"/>
        <v>983</v>
      </c>
      <c r="C18" s="25"/>
      <c r="D18" s="20" t="s">
        <v>16</v>
      </c>
      <c r="E18" s="21">
        <v>6876</v>
      </c>
      <c r="F18" s="22">
        <v>44940</v>
      </c>
      <c r="G18" s="31">
        <v>6876</v>
      </c>
      <c r="H18" s="19">
        <f t="shared" si="0"/>
        <v>0</v>
      </c>
    </row>
    <row r="19" spans="1:8" x14ac:dyDescent="0.25">
      <c r="A19" s="13">
        <v>44938</v>
      </c>
      <c r="B19" s="14">
        <f t="shared" si="1"/>
        <v>984</v>
      </c>
      <c r="C19" s="26"/>
      <c r="D19" s="20" t="s">
        <v>13</v>
      </c>
      <c r="E19" s="21">
        <v>5085</v>
      </c>
      <c r="F19" s="22">
        <v>44939</v>
      </c>
      <c r="G19" s="31">
        <v>5085</v>
      </c>
      <c r="H19" s="19">
        <f t="shared" si="0"/>
        <v>0</v>
      </c>
    </row>
    <row r="20" spans="1:8" x14ac:dyDescent="0.25">
      <c r="A20" s="13">
        <v>44939</v>
      </c>
      <c r="B20" s="14">
        <f t="shared" si="1"/>
        <v>985</v>
      </c>
      <c r="C20" s="25"/>
      <c r="D20" s="20" t="s">
        <v>12</v>
      </c>
      <c r="E20" s="21">
        <v>320</v>
      </c>
      <c r="F20" s="22">
        <v>44950</v>
      </c>
      <c r="G20" s="31">
        <v>320</v>
      </c>
      <c r="H20" s="19">
        <f t="shared" si="0"/>
        <v>0</v>
      </c>
    </row>
    <row r="21" spans="1:8" x14ac:dyDescent="0.25">
      <c r="A21" s="13">
        <v>44939</v>
      </c>
      <c r="B21" s="14">
        <f t="shared" si="1"/>
        <v>986</v>
      </c>
      <c r="C21" s="25"/>
      <c r="D21" s="20" t="s">
        <v>16</v>
      </c>
      <c r="E21" s="21">
        <v>6831</v>
      </c>
      <c r="F21" s="22">
        <v>44941</v>
      </c>
      <c r="G21" s="31">
        <v>6831</v>
      </c>
      <c r="H21" s="19">
        <f t="shared" si="0"/>
        <v>0</v>
      </c>
    </row>
    <row r="22" spans="1:8" ht="31.5" x14ac:dyDescent="0.25">
      <c r="A22" s="13">
        <v>44939</v>
      </c>
      <c r="B22" s="14">
        <f t="shared" si="1"/>
        <v>987</v>
      </c>
      <c r="C22" s="25"/>
      <c r="D22" s="20" t="s">
        <v>15</v>
      </c>
      <c r="E22" s="21">
        <v>3937</v>
      </c>
      <c r="F22" s="22" t="s">
        <v>27</v>
      </c>
      <c r="G22" s="31">
        <f>2000+1937</f>
        <v>3937</v>
      </c>
      <c r="H22" s="19">
        <f t="shared" si="0"/>
        <v>0</v>
      </c>
    </row>
    <row r="23" spans="1:8" x14ac:dyDescent="0.25">
      <c r="A23" s="13">
        <v>44939</v>
      </c>
      <c r="B23" s="14">
        <f t="shared" si="1"/>
        <v>988</v>
      </c>
      <c r="C23" s="25"/>
      <c r="D23" s="20" t="s">
        <v>13</v>
      </c>
      <c r="E23" s="21">
        <v>5884</v>
      </c>
      <c r="F23" s="22">
        <v>44940</v>
      </c>
      <c r="G23" s="31">
        <v>5884</v>
      </c>
      <c r="H23" s="19">
        <f t="shared" si="0"/>
        <v>0</v>
      </c>
    </row>
    <row r="24" spans="1:8" x14ac:dyDescent="0.25">
      <c r="A24" s="13">
        <v>44939</v>
      </c>
      <c r="B24" s="14">
        <f t="shared" si="1"/>
        <v>989</v>
      </c>
      <c r="C24" s="25"/>
      <c r="D24" s="20" t="s">
        <v>24</v>
      </c>
      <c r="E24" s="21">
        <v>11420</v>
      </c>
      <c r="F24" s="22">
        <v>44948</v>
      </c>
      <c r="G24" s="31">
        <v>11420</v>
      </c>
      <c r="H24" s="19">
        <f t="shared" si="0"/>
        <v>0</v>
      </c>
    </row>
    <row r="25" spans="1:8" x14ac:dyDescent="0.25">
      <c r="A25" s="13">
        <v>44939</v>
      </c>
      <c r="B25" s="14">
        <f t="shared" si="1"/>
        <v>990</v>
      </c>
      <c r="C25" s="25"/>
      <c r="D25" s="20" t="s">
        <v>25</v>
      </c>
      <c r="E25" s="21">
        <v>10240</v>
      </c>
      <c r="F25" s="22">
        <v>44942</v>
      </c>
      <c r="G25" s="31">
        <v>10240</v>
      </c>
      <c r="H25" s="19">
        <f t="shared" si="0"/>
        <v>0</v>
      </c>
    </row>
    <row r="26" spans="1:8" ht="31.5" x14ac:dyDescent="0.25">
      <c r="A26" s="13">
        <v>44940</v>
      </c>
      <c r="B26" s="14">
        <f t="shared" si="1"/>
        <v>991</v>
      </c>
      <c r="C26" s="25"/>
      <c r="D26" s="20" t="s">
        <v>15</v>
      </c>
      <c r="E26" s="21">
        <v>5185</v>
      </c>
      <c r="F26" s="22" t="s">
        <v>30</v>
      </c>
      <c r="G26" s="31">
        <f>3200+1985</f>
        <v>5185</v>
      </c>
      <c r="H26" s="19">
        <f t="shared" si="0"/>
        <v>0</v>
      </c>
    </row>
    <row r="27" spans="1:8" x14ac:dyDescent="0.25">
      <c r="A27" s="13">
        <v>44940</v>
      </c>
      <c r="B27" s="14">
        <f t="shared" si="1"/>
        <v>992</v>
      </c>
      <c r="C27" s="25"/>
      <c r="D27" s="20" t="s">
        <v>13</v>
      </c>
      <c r="E27" s="21">
        <v>4563</v>
      </c>
      <c r="F27" s="22">
        <v>44941</v>
      </c>
      <c r="G27" s="31">
        <v>4563</v>
      </c>
      <c r="H27" s="19">
        <f t="shared" si="0"/>
        <v>0</v>
      </c>
    </row>
    <row r="28" spans="1:8" x14ac:dyDescent="0.25">
      <c r="A28" s="13">
        <v>44941</v>
      </c>
      <c r="B28" s="14">
        <f t="shared" si="1"/>
        <v>993</v>
      </c>
      <c r="C28" s="25"/>
      <c r="D28" s="20" t="s">
        <v>15</v>
      </c>
      <c r="E28" s="21">
        <v>2351</v>
      </c>
      <c r="F28" s="22">
        <v>44945</v>
      </c>
      <c r="G28" s="31">
        <v>2351</v>
      </c>
      <c r="H28" s="19">
        <f t="shared" si="0"/>
        <v>0</v>
      </c>
    </row>
    <row r="29" spans="1:8" ht="31.5" x14ac:dyDescent="0.25">
      <c r="A29" s="13">
        <v>44941</v>
      </c>
      <c r="B29" s="14">
        <f t="shared" si="1"/>
        <v>994</v>
      </c>
      <c r="C29" s="25"/>
      <c r="D29" s="20" t="s">
        <v>16</v>
      </c>
      <c r="E29" s="21">
        <v>6732</v>
      </c>
      <c r="F29" s="22" t="s">
        <v>29</v>
      </c>
      <c r="G29" s="31">
        <f>4000+2732</f>
        <v>6732</v>
      </c>
      <c r="H29" s="19">
        <f t="shared" si="0"/>
        <v>0</v>
      </c>
    </row>
    <row r="30" spans="1:8" x14ac:dyDescent="0.25">
      <c r="A30" s="13">
        <v>44941</v>
      </c>
      <c r="B30" s="14">
        <f t="shared" si="1"/>
        <v>995</v>
      </c>
      <c r="C30" s="25"/>
      <c r="D30" s="20" t="s">
        <v>13</v>
      </c>
      <c r="E30" s="21">
        <v>5244</v>
      </c>
      <c r="F30" s="22" t="s">
        <v>28</v>
      </c>
      <c r="G30" s="31">
        <v>5244</v>
      </c>
      <c r="H30" s="19">
        <f t="shared" si="0"/>
        <v>0</v>
      </c>
    </row>
    <row r="31" spans="1:8" x14ac:dyDescent="0.25">
      <c r="A31" s="13">
        <v>44942</v>
      </c>
      <c r="B31" s="14">
        <f t="shared" si="1"/>
        <v>996</v>
      </c>
      <c r="C31" s="25"/>
      <c r="D31" s="20" t="s">
        <v>16</v>
      </c>
      <c r="E31" s="21">
        <v>6930</v>
      </c>
      <c r="F31" s="22">
        <v>44943</v>
      </c>
      <c r="G31" s="31">
        <v>6930</v>
      </c>
      <c r="H31" s="19">
        <f t="shared" si="0"/>
        <v>0</v>
      </c>
    </row>
    <row r="32" spans="1:8" ht="31.5" x14ac:dyDescent="0.25">
      <c r="A32" s="13">
        <v>44942</v>
      </c>
      <c r="B32" s="14">
        <f t="shared" si="1"/>
        <v>997</v>
      </c>
      <c r="C32" s="25"/>
      <c r="D32" s="20" t="s">
        <v>15</v>
      </c>
      <c r="E32" s="21">
        <v>4500</v>
      </c>
      <c r="F32" s="22" t="s">
        <v>31</v>
      </c>
      <c r="G32" s="31">
        <f>500+3000+1000</f>
        <v>4500</v>
      </c>
      <c r="H32" s="19">
        <f t="shared" si="0"/>
        <v>0</v>
      </c>
    </row>
    <row r="33" spans="1:8" x14ac:dyDescent="0.25">
      <c r="A33" s="13">
        <v>44942</v>
      </c>
      <c r="B33" s="14">
        <f t="shared" si="1"/>
        <v>998</v>
      </c>
      <c r="C33" s="25"/>
      <c r="D33" s="20" t="s">
        <v>13</v>
      </c>
      <c r="E33" s="21">
        <v>4250</v>
      </c>
      <c r="F33" s="22">
        <v>44943</v>
      </c>
      <c r="G33" s="31">
        <v>4250</v>
      </c>
      <c r="H33" s="19">
        <f t="shared" si="0"/>
        <v>0</v>
      </c>
    </row>
    <row r="34" spans="1:8" x14ac:dyDescent="0.25">
      <c r="A34" s="13">
        <v>44943</v>
      </c>
      <c r="B34" s="14">
        <f t="shared" si="1"/>
        <v>999</v>
      </c>
      <c r="C34" s="25"/>
      <c r="D34" s="20" t="s">
        <v>16</v>
      </c>
      <c r="E34" s="21">
        <v>7821</v>
      </c>
      <c r="F34" s="22">
        <v>44946</v>
      </c>
      <c r="G34" s="31">
        <v>7821</v>
      </c>
      <c r="H34" s="19">
        <f t="shared" si="0"/>
        <v>0</v>
      </c>
    </row>
    <row r="35" spans="1:8" ht="17.25" customHeight="1" x14ac:dyDescent="0.25">
      <c r="A35" s="13">
        <v>44943</v>
      </c>
      <c r="B35" s="14">
        <f t="shared" si="1"/>
        <v>1000</v>
      </c>
      <c r="C35" s="25"/>
      <c r="D35" s="20" t="s">
        <v>13</v>
      </c>
      <c r="E35" s="21">
        <v>5456</v>
      </c>
      <c r="F35" s="22">
        <v>44943</v>
      </c>
      <c r="G35" s="31">
        <v>5456</v>
      </c>
      <c r="H35" s="19">
        <f t="shared" si="0"/>
        <v>0</v>
      </c>
    </row>
    <row r="36" spans="1:8" x14ac:dyDescent="0.25">
      <c r="A36" s="13">
        <v>44943</v>
      </c>
      <c r="B36" s="14">
        <f t="shared" si="1"/>
        <v>1001</v>
      </c>
      <c r="C36" s="25"/>
      <c r="D36" s="20" t="s">
        <v>17</v>
      </c>
      <c r="E36" s="21">
        <v>5900</v>
      </c>
      <c r="F36" s="22">
        <v>44950</v>
      </c>
      <c r="G36" s="31">
        <v>5900</v>
      </c>
      <c r="H36" s="19">
        <f t="shared" si="0"/>
        <v>0</v>
      </c>
    </row>
    <row r="37" spans="1:8" x14ac:dyDescent="0.25">
      <c r="A37" s="13">
        <v>44944</v>
      </c>
      <c r="B37" s="14">
        <f t="shared" si="1"/>
        <v>1002</v>
      </c>
      <c r="C37" s="25"/>
      <c r="D37" s="20" t="s">
        <v>19</v>
      </c>
      <c r="E37" s="21">
        <v>7938</v>
      </c>
      <c r="F37" s="22">
        <v>44945</v>
      </c>
      <c r="G37" s="31">
        <v>7938</v>
      </c>
      <c r="H37" s="19">
        <f t="shared" si="0"/>
        <v>0</v>
      </c>
    </row>
    <row r="38" spans="1:8" x14ac:dyDescent="0.25">
      <c r="A38" s="13">
        <v>44944</v>
      </c>
      <c r="B38" s="14">
        <f t="shared" si="1"/>
        <v>1003</v>
      </c>
      <c r="C38" s="25"/>
      <c r="D38" s="20" t="s">
        <v>13</v>
      </c>
      <c r="E38" s="21">
        <v>4734</v>
      </c>
      <c r="F38" s="22">
        <v>44945</v>
      </c>
      <c r="G38" s="31">
        <v>4734</v>
      </c>
      <c r="H38" s="19">
        <f t="shared" si="0"/>
        <v>0</v>
      </c>
    </row>
    <row r="39" spans="1:8" x14ac:dyDescent="0.25">
      <c r="A39" s="13">
        <v>44945</v>
      </c>
      <c r="B39" s="14">
        <f t="shared" si="1"/>
        <v>1004</v>
      </c>
      <c r="C39" s="25"/>
      <c r="D39" s="20" t="s">
        <v>12</v>
      </c>
      <c r="E39" s="21">
        <v>3631</v>
      </c>
      <c r="F39" s="22">
        <v>44950</v>
      </c>
      <c r="G39" s="31">
        <v>3631</v>
      </c>
      <c r="H39" s="19">
        <f t="shared" si="0"/>
        <v>0</v>
      </c>
    </row>
    <row r="40" spans="1:8" x14ac:dyDescent="0.25">
      <c r="A40" s="13">
        <v>44945</v>
      </c>
      <c r="B40" s="14">
        <f t="shared" si="1"/>
        <v>1005</v>
      </c>
      <c r="C40" s="25"/>
      <c r="D40" s="20" t="s">
        <v>15</v>
      </c>
      <c r="E40" s="21">
        <v>1778</v>
      </c>
      <c r="F40" s="22">
        <v>44947</v>
      </c>
      <c r="G40" s="31">
        <v>1778</v>
      </c>
      <c r="H40" s="19">
        <f t="shared" si="0"/>
        <v>0</v>
      </c>
    </row>
    <row r="41" spans="1:8" x14ac:dyDescent="0.25">
      <c r="A41" s="13">
        <v>44945</v>
      </c>
      <c r="B41" s="14">
        <f t="shared" si="1"/>
        <v>1006</v>
      </c>
      <c r="C41" s="25"/>
      <c r="D41" s="20" t="s">
        <v>13</v>
      </c>
      <c r="E41" s="21">
        <v>3344</v>
      </c>
      <c r="F41" s="22">
        <v>44946</v>
      </c>
      <c r="G41" s="31">
        <v>3344</v>
      </c>
      <c r="H41" s="19">
        <f t="shared" si="0"/>
        <v>0</v>
      </c>
    </row>
    <row r="42" spans="1:8" ht="31.5" x14ac:dyDescent="0.25">
      <c r="A42" s="13">
        <v>44946</v>
      </c>
      <c r="B42" s="14">
        <f t="shared" si="1"/>
        <v>1007</v>
      </c>
      <c r="C42" s="25"/>
      <c r="D42" s="20" t="s">
        <v>16</v>
      </c>
      <c r="E42" s="21">
        <v>6828</v>
      </c>
      <c r="F42" s="22" t="s">
        <v>32</v>
      </c>
      <c r="G42" s="31">
        <f>5000+1828</f>
        <v>6828</v>
      </c>
      <c r="H42" s="19">
        <f t="shared" si="0"/>
        <v>0</v>
      </c>
    </row>
    <row r="43" spans="1:8" x14ac:dyDescent="0.25">
      <c r="A43" s="13">
        <v>44946</v>
      </c>
      <c r="B43" s="14">
        <f t="shared" si="1"/>
        <v>1008</v>
      </c>
      <c r="C43" s="25"/>
      <c r="D43" s="20" t="s">
        <v>13</v>
      </c>
      <c r="E43" s="21">
        <v>4326</v>
      </c>
      <c r="F43" s="22">
        <v>44947</v>
      </c>
      <c r="G43" s="31">
        <v>4326</v>
      </c>
      <c r="H43" s="19">
        <f t="shared" si="0"/>
        <v>0</v>
      </c>
    </row>
    <row r="44" spans="1:8" x14ac:dyDescent="0.25">
      <c r="A44" s="13">
        <v>44946</v>
      </c>
      <c r="B44" s="14">
        <f t="shared" si="1"/>
        <v>1009</v>
      </c>
      <c r="C44" s="25"/>
      <c r="D44" s="20" t="s">
        <v>24</v>
      </c>
      <c r="E44" s="21">
        <v>15860</v>
      </c>
      <c r="F44" s="22">
        <v>44955</v>
      </c>
      <c r="G44" s="31">
        <v>15860</v>
      </c>
      <c r="H44" s="19">
        <f t="shared" si="0"/>
        <v>0</v>
      </c>
    </row>
    <row r="45" spans="1:8" ht="31.5" x14ac:dyDescent="0.25">
      <c r="A45" s="13">
        <v>44946</v>
      </c>
      <c r="B45" s="14">
        <f t="shared" si="1"/>
        <v>1010</v>
      </c>
      <c r="C45" s="25"/>
      <c r="D45" s="20" t="s">
        <v>15</v>
      </c>
      <c r="E45" s="21">
        <v>2520</v>
      </c>
      <c r="F45" s="22" t="s">
        <v>32</v>
      </c>
      <c r="G45" s="31">
        <f>1000+1520</f>
        <v>2520</v>
      </c>
      <c r="H45" s="19">
        <f t="shared" si="0"/>
        <v>0</v>
      </c>
    </row>
    <row r="46" spans="1:8" x14ac:dyDescent="0.25">
      <c r="A46" s="13">
        <v>44946</v>
      </c>
      <c r="B46" s="14">
        <f t="shared" si="1"/>
        <v>1011</v>
      </c>
      <c r="C46" s="25"/>
      <c r="D46" s="20" t="s">
        <v>25</v>
      </c>
      <c r="E46" s="21">
        <v>8400</v>
      </c>
      <c r="F46" s="22">
        <v>44949</v>
      </c>
      <c r="G46" s="31">
        <v>8400</v>
      </c>
      <c r="H46" s="19">
        <f t="shared" si="0"/>
        <v>0</v>
      </c>
    </row>
    <row r="47" spans="1:8" x14ac:dyDescent="0.25">
      <c r="A47" s="13">
        <v>44947</v>
      </c>
      <c r="B47" s="14">
        <f t="shared" si="1"/>
        <v>1012</v>
      </c>
      <c r="C47" s="27"/>
      <c r="D47" s="20" t="s">
        <v>12</v>
      </c>
      <c r="E47" s="21">
        <v>246</v>
      </c>
      <c r="F47" s="22">
        <v>44950</v>
      </c>
      <c r="G47" s="31">
        <v>246</v>
      </c>
      <c r="H47" s="19">
        <f t="shared" si="0"/>
        <v>0</v>
      </c>
    </row>
    <row r="48" spans="1:8" ht="31.5" x14ac:dyDescent="0.25">
      <c r="A48" s="13">
        <v>44947</v>
      </c>
      <c r="B48" s="14">
        <f t="shared" si="1"/>
        <v>1013</v>
      </c>
      <c r="C48" s="28"/>
      <c r="D48" s="20" t="s">
        <v>14</v>
      </c>
      <c r="E48" s="21">
        <v>6515</v>
      </c>
      <c r="F48" s="22" t="s">
        <v>32</v>
      </c>
      <c r="G48" s="31">
        <f>5515+1000</f>
        <v>6515</v>
      </c>
      <c r="H48" s="19">
        <f t="shared" si="0"/>
        <v>0</v>
      </c>
    </row>
    <row r="49" spans="1:8" ht="31.5" x14ac:dyDescent="0.25">
      <c r="A49" s="13">
        <v>44947</v>
      </c>
      <c r="B49" s="14">
        <f t="shared" si="1"/>
        <v>1014</v>
      </c>
      <c r="C49" s="25"/>
      <c r="D49" s="20" t="s">
        <v>15</v>
      </c>
      <c r="E49" s="21">
        <v>3510</v>
      </c>
      <c r="F49" s="22" t="s">
        <v>33</v>
      </c>
      <c r="G49" s="31">
        <f>1500+400+1610</f>
        <v>3510</v>
      </c>
      <c r="H49" s="19">
        <f t="shared" si="0"/>
        <v>0</v>
      </c>
    </row>
    <row r="50" spans="1:8" x14ac:dyDescent="0.25">
      <c r="A50" s="13">
        <v>44947</v>
      </c>
      <c r="B50" s="14">
        <f t="shared" si="1"/>
        <v>1015</v>
      </c>
      <c r="C50" s="25"/>
      <c r="D50" s="20" t="s">
        <v>15</v>
      </c>
      <c r="E50" s="21">
        <v>454</v>
      </c>
      <c r="F50" s="22">
        <v>44948</v>
      </c>
      <c r="G50" s="31">
        <v>454</v>
      </c>
      <c r="H50" s="19">
        <f t="shared" si="0"/>
        <v>0</v>
      </c>
    </row>
    <row r="51" spans="1:8" ht="31.5" x14ac:dyDescent="0.25">
      <c r="A51" s="13">
        <v>44947</v>
      </c>
      <c r="B51" s="14">
        <f t="shared" si="1"/>
        <v>1016</v>
      </c>
      <c r="C51" s="25"/>
      <c r="D51" s="20" t="s">
        <v>16</v>
      </c>
      <c r="E51" s="21">
        <v>6579</v>
      </c>
      <c r="F51" s="22" t="s">
        <v>33</v>
      </c>
      <c r="G51" s="31">
        <f>2572+4007</f>
        <v>6579</v>
      </c>
      <c r="H51" s="19">
        <f t="shared" si="0"/>
        <v>0</v>
      </c>
    </row>
    <row r="52" spans="1:8" x14ac:dyDescent="0.25">
      <c r="A52" s="13">
        <v>44947</v>
      </c>
      <c r="B52" s="14">
        <f t="shared" si="1"/>
        <v>1017</v>
      </c>
      <c r="C52" s="25"/>
      <c r="D52" s="20" t="s">
        <v>13</v>
      </c>
      <c r="E52" s="21">
        <v>5151</v>
      </c>
      <c r="F52" s="22">
        <v>44948</v>
      </c>
      <c r="G52" s="31">
        <v>5151</v>
      </c>
      <c r="H52" s="19">
        <f t="shared" si="0"/>
        <v>0</v>
      </c>
    </row>
    <row r="53" spans="1:8" ht="47.25" x14ac:dyDescent="0.25">
      <c r="A53" s="13">
        <v>44948</v>
      </c>
      <c r="B53" s="14">
        <f t="shared" si="1"/>
        <v>1018</v>
      </c>
      <c r="C53" s="25"/>
      <c r="D53" s="20" t="s">
        <v>15</v>
      </c>
      <c r="E53" s="21">
        <v>3630</v>
      </c>
      <c r="F53" s="22" t="s">
        <v>34</v>
      </c>
      <c r="G53" s="31">
        <f>2600+900+130</f>
        <v>3630</v>
      </c>
      <c r="H53" s="19">
        <f t="shared" si="0"/>
        <v>0</v>
      </c>
    </row>
    <row r="54" spans="1:8" x14ac:dyDescent="0.25">
      <c r="A54" s="13">
        <v>44948</v>
      </c>
      <c r="B54" s="14">
        <f t="shared" si="1"/>
        <v>1019</v>
      </c>
      <c r="C54" s="25"/>
      <c r="D54" s="20" t="s">
        <v>13</v>
      </c>
      <c r="E54" s="21">
        <v>4936</v>
      </c>
      <c r="F54" s="22">
        <v>44949</v>
      </c>
      <c r="G54" s="31">
        <v>4936</v>
      </c>
      <c r="H54" s="19">
        <f t="shared" si="0"/>
        <v>0</v>
      </c>
    </row>
    <row r="55" spans="1:8" s="33" customFormat="1" x14ac:dyDescent="0.25">
      <c r="A55" s="29">
        <v>44949</v>
      </c>
      <c r="B55" s="14">
        <f t="shared" si="1"/>
        <v>1020</v>
      </c>
      <c r="C55" s="25"/>
      <c r="D55" s="24" t="s">
        <v>19</v>
      </c>
      <c r="E55" s="30">
        <v>59583</v>
      </c>
      <c r="F55" s="22">
        <v>44950</v>
      </c>
      <c r="G55" s="31">
        <v>59583</v>
      </c>
      <c r="H55" s="32">
        <f t="shared" si="0"/>
        <v>0</v>
      </c>
    </row>
    <row r="56" spans="1:8" x14ac:dyDescent="0.25">
      <c r="A56" s="13">
        <v>44949</v>
      </c>
      <c r="B56" s="14">
        <f t="shared" si="1"/>
        <v>1021</v>
      </c>
      <c r="C56" s="25"/>
      <c r="D56" s="20" t="s">
        <v>15</v>
      </c>
      <c r="E56" s="21">
        <v>762</v>
      </c>
      <c r="F56" s="22">
        <v>44951</v>
      </c>
      <c r="G56" s="31">
        <v>762</v>
      </c>
      <c r="H56" s="19">
        <f t="shared" si="0"/>
        <v>0</v>
      </c>
    </row>
    <row r="57" spans="1:8" ht="18.75" customHeight="1" x14ac:dyDescent="0.25">
      <c r="A57" s="13">
        <v>44949</v>
      </c>
      <c r="B57" s="14">
        <f t="shared" si="1"/>
        <v>1022</v>
      </c>
      <c r="C57" s="25"/>
      <c r="D57" s="20" t="s">
        <v>13</v>
      </c>
      <c r="E57" s="21">
        <v>5865</v>
      </c>
      <c r="F57" s="22">
        <v>44950</v>
      </c>
      <c r="G57" s="31">
        <v>5865</v>
      </c>
      <c r="H57" s="19">
        <f t="shared" si="0"/>
        <v>0</v>
      </c>
    </row>
    <row r="58" spans="1:8" x14ac:dyDescent="0.25">
      <c r="A58" s="13">
        <v>44950</v>
      </c>
      <c r="B58" s="14">
        <f t="shared" si="1"/>
        <v>1023</v>
      </c>
      <c r="C58" s="25"/>
      <c r="D58" s="20" t="s">
        <v>15</v>
      </c>
      <c r="E58" s="21">
        <v>2097</v>
      </c>
      <c r="F58" s="22">
        <v>44952</v>
      </c>
      <c r="G58" s="31">
        <v>2097</v>
      </c>
      <c r="H58" s="19">
        <f t="shared" si="0"/>
        <v>0</v>
      </c>
    </row>
    <row r="59" spans="1:8" ht="21.75" customHeight="1" x14ac:dyDescent="0.25">
      <c r="A59" s="13">
        <v>44950</v>
      </c>
      <c r="B59" s="14">
        <f t="shared" si="1"/>
        <v>1024</v>
      </c>
      <c r="C59" s="25"/>
      <c r="D59" s="20" t="s">
        <v>13</v>
      </c>
      <c r="E59" s="21">
        <v>3001</v>
      </c>
      <c r="F59" s="22">
        <v>44951</v>
      </c>
      <c r="G59" s="31">
        <v>3001</v>
      </c>
      <c r="H59" s="19">
        <f t="shared" si="0"/>
        <v>0</v>
      </c>
    </row>
    <row r="60" spans="1:8" x14ac:dyDescent="0.25">
      <c r="A60" s="13">
        <v>44951</v>
      </c>
      <c r="B60" s="14">
        <f t="shared" si="1"/>
        <v>1025</v>
      </c>
      <c r="C60" s="25"/>
      <c r="D60" s="20" t="s">
        <v>15</v>
      </c>
      <c r="E60" s="21">
        <v>944</v>
      </c>
      <c r="F60" s="22">
        <v>44953</v>
      </c>
      <c r="G60" s="31">
        <v>944</v>
      </c>
      <c r="H60" s="19">
        <f t="shared" si="0"/>
        <v>0</v>
      </c>
    </row>
    <row r="61" spans="1:8" x14ac:dyDescent="0.25">
      <c r="A61" s="13">
        <v>44951</v>
      </c>
      <c r="B61" s="14">
        <f t="shared" si="1"/>
        <v>1026</v>
      </c>
      <c r="C61" s="25"/>
      <c r="D61" s="20" t="s">
        <v>13</v>
      </c>
      <c r="E61" s="21">
        <v>2597</v>
      </c>
      <c r="F61" s="22">
        <v>44952</v>
      </c>
      <c r="G61" s="31">
        <v>2597</v>
      </c>
      <c r="H61" s="19">
        <f t="shared" si="0"/>
        <v>0</v>
      </c>
    </row>
    <row r="62" spans="1:8" x14ac:dyDescent="0.25">
      <c r="A62" s="13">
        <v>44952</v>
      </c>
      <c r="B62" s="14">
        <f t="shared" si="1"/>
        <v>1027</v>
      </c>
      <c r="C62" s="25"/>
      <c r="D62" s="20" t="s">
        <v>12</v>
      </c>
      <c r="E62" s="21">
        <v>295</v>
      </c>
      <c r="F62" s="22">
        <v>44952</v>
      </c>
      <c r="G62" s="31">
        <v>295</v>
      </c>
      <c r="H62" s="19">
        <f t="shared" si="0"/>
        <v>0</v>
      </c>
    </row>
    <row r="63" spans="1:8" ht="31.5" x14ac:dyDescent="0.25">
      <c r="A63" s="13">
        <v>44952</v>
      </c>
      <c r="B63" s="14">
        <f t="shared" si="1"/>
        <v>1028</v>
      </c>
      <c r="C63" s="25"/>
      <c r="D63" s="20" t="s">
        <v>14</v>
      </c>
      <c r="E63" s="21">
        <v>958</v>
      </c>
      <c r="F63" s="22" t="s">
        <v>35</v>
      </c>
      <c r="G63" s="31">
        <f>134+824</f>
        <v>958</v>
      </c>
      <c r="H63" s="19">
        <f t="shared" si="0"/>
        <v>0</v>
      </c>
    </row>
    <row r="64" spans="1:8" x14ac:dyDescent="0.25">
      <c r="A64" s="13">
        <v>44952</v>
      </c>
      <c r="B64" s="14">
        <f t="shared" si="1"/>
        <v>1029</v>
      </c>
      <c r="C64" s="25"/>
      <c r="D64" s="20" t="s">
        <v>15</v>
      </c>
      <c r="E64" s="21">
        <v>1367</v>
      </c>
      <c r="F64" s="22">
        <v>44953</v>
      </c>
      <c r="G64" s="31">
        <v>1367</v>
      </c>
      <c r="H64" s="19">
        <f t="shared" si="0"/>
        <v>0</v>
      </c>
    </row>
    <row r="65" spans="1:9" x14ac:dyDescent="0.25">
      <c r="A65" s="23">
        <v>44952</v>
      </c>
      <c r="B65" s="14">
        <f t="shared" si="1"/>
        <v>1030</v>
      </c>
      <c r="C65" s="25"/>
      <c r="D65" s="34" t="s">
        <v>13</v>
      </c>
      <c r="E65" s="21">
        <v>3199</v>
      </c>
      <c r="F65" s="22">
        <v>44953</v>
      </c>
      <c r="G65" s="31">
        <v>3199</v>
      </c>
      <c r="H65" s="19">
        <f t="shared" si="0"/>
        <v>0</v>
      </c>
    </row>
    <row r="66" spans="1:9" ht="31.5" x14ac:dyDescent="0.25">
      <c r="A66" s="23">
        <v>44953</v>
      </c>
      <c r="B66" s="14">
        <f t="shared" si="1"/>
        <v>1031</v>
      </c>
      <c r="C66" s="25"/>
      <c r="D66" s="34" t="s">
        <v>15</v>
      </c>
      <c r="E66" s="21">
        <v>1560</v>
      </c>
      <c r="F66" s="22" t="s">
        <v>36</v>
      </c>
      <c r="G66" s="31">
        <f>1060+500</f>
        <v>1560</v>
      </c>
      <c r="H66" s="19">
        <f t="shared" si="0"/>
        <v>0</v>
      </c>
    </row>
    <row r="67" spans="1:9" x14ac:dyDescent="0.25">
      <c r="A67" s="23">
        <v>44953</v>
      </c>
      <c r="B67" s="14">
        <f t="shared" si="1"/>
        <v>1032</v>
      </c>
      <c r="C67" s="25"/>
      <c r="D67" s="34" t="s">
        <v>13</v>
      </c>
      <c r="E67" s="21">
        <v>5246</v>
      </c>
      <c r="F67" s="22">
        <v>44954</v>
      </c>
      <c r="G67" s="31">
        <v>5246</v>
      </c>
      <c r="H67" s="19">
        <f t="shared" si="0"/>
        <v>0</v>
      </c>
    </row>
    <row r="68" spans="1:9" x14ac:dyDescent="0.25">
      <c r="A68" s="23">
        <v>44953</v>
      </c>
      <c r="B68" s="14">
        <f t="shared" si="1"/>
        <v>1033</v>
      </c>
      <c r="C68" s="25"/>
      <c r="D68" s="34" t="s">
        <v>24</v>
      </c>
      <c r="E68" s="21">
        <v>16800</v>
      </c>
      <c r="F68" s="64">
        <v>44962</v>
      </c>
      <c r="G68" s="65">
        <v>16800</v>
      </c>
      <c r="H68" s="19">
        <f t="shared" si="0"/>
        <v>0</v>
      </c>
    </row>
    <row r="69" spans="1:9" x14ac:dyDescent="0.25">
      <c r="A69" s="23">
        <v>44954</v>
      </c>
      <c r="B69" s="14">
        <f t="shared" si="1"/>
        <v>1034</v>
      </c>
      <c r="C69" s="25"/>
      <c r="D69" s="34" t="s">
        <v>12</v>
      </c>
      <c r="E69" s="21">
        <v>1547</v>
      </c>
      <c r="F69" s="64">
        <v>44956</v>
      </c>
      <c r="G69" s="65">
        <v>1547</v>
      </c>
      <c r="H69" s="19">
        <f t="shared" si="0"/>
        <v>0</v>
      </c>
    </row>
    <row r="70" spans="1:9" ht="31.5" x14ac:dyDescent="0.25">
      <c r="A70" s="23">
        <v>44954</v>
      </c>
      <c r="B70" s="14">
        <f t="shared" ref="B70:B75" si="2">B69+1</f>
        <v>1035</v>
      </c>
      <c r="C70" s="25"/>
      <c r="D70" s="34" t="s">
        <v>15</v>
      </c>
      <c r="E70" s="21">
        <v>3037</v>
      </c>
      <c r="F70" s="22" t="s">
        <v>38</v>
      </c>
      <c r="G70" s="31">
        <f>2000+1037</f>
        <v>3037</v>
      </c>
      <c r="H70" s="19">
        <f t="shared" si="0"/>
        <v>0</v>
      </c>
    </row>
    <row r="71" spans="1:9" x14ac:dyDescent="0.25">
      <c r="A71" s="23">
        <v>44954</v>
      </c>
      <c r="B71" s="14">
        <f t="shared" si="2"/>
        <v>1036</v>
      </c>
      <c r="C71" s="25"/>
      <c r="D71" s="34" t="s">
        <v>13</v>
      </c>
      <c r="E71" s="21">
        <v>5246</v>
      </c>
      <c r="F71" s="22">
        <v>44955</v>
      </c>
      <c r="G71" s="31">
        <v>5246</v>
      </c>
      <c r="H71" s="19">
        <f t="shared" si="0"/>
        <v>0</v>
      </c>
    </row>
    <row r="72" spans="1:9" ht="18.75" customHeight="1" x14ac:dyDescent="0.25">
      <c r="A72" s="23">
        <v>44954</v>
      </c>
      <c r="B72" s="14">
        <f t="shared" si="2"/>
        <v>1037</v>
      </c>
      <c r="C72" s="25"/>
      <c r="D72" s="34" t="s">
        <v>25</v>
      </c>
      <c r="E72" s="21">
        <v>7800</v>
      </c>
      <c r="F72" s="64">
        <v>44956</v>
      </c>
      <c r="G72" s="65">
        <v>7800</v>
      </c>
      <c r="H72" s="19">
        <f t="shared" si="0"/>
        <v>0</v>
      </c>
    </row>
    <row r="73" spans="1:9" ht="18.75" customHeight="1" x14ac:dyDescent="0.25">
      <c r="A73" s="23">
        <v>44955</v>
      </c>
      <c r="B73" s="14">
        <f t="shared" si="2"/>
        <v>1038</v>
      </c>
      <c r="C73" s="25"/>
      <c r="D73" s="34" t="s">
        <v>15</v>
      </c>
      <c r="E73" s="21">
        <v>1248</v>
      </c>
      <c r="F73" s="64">
        <v>44957</v>
      </c>
      <c r="G73" s="65">
        <v>1248</v>
      </c>
      <c r="H73" s="19">
        <f t="shared" si="0"/>
        <v>0</v>
      </c>
    </row>
    <row r="74" spans="1:9" x14ac:dyDescent="0.25">
      <c r="A74" s="23">
        <v>44955</v>
      </c>
      <c r="B74" s="14">
        <f t="shared" si="2"/>
        <v>1039</v>
      </c>
      <c r="C74" s="25"/>
      <c r="D74" s="34" t="s">
        <v>13</v>
      </c>
      <c r="E74" s="21">
        <v>4395</v>
      </c>
      <c r="F74" s="64">
        <v>44956</v>
      </c>
      <c r="G74" s="65">
        <v>4395</v>
      </c>
      <c r="H74" s="19">
        <f t="shared" si="0"/>
        <v>0</v>
      </c>
    </row>
    <row r="75" spans="1:9" ht="18.75" customHeight="1" x14ac:dyDescent="0.25">
      <c r="A75" s="23">
        <v>44955</v>
      </c>
      <c r="B75" s="14">
        <f t="shared" si="2"/>
        <v>1040</v>
      </c>
      <c r="C75" s="25"/>
      <c r="D75" s="34" t="s">
        <v>16</v>
      </c>
      <c r="E75" s="21">
        <v>4906</v>
      </c>
      <c r="F75" s="64">
        <v>44956</v>
      </c>
      <c r="G75" s="65">
        <v>4906</v>
      </c>
      <c r="H75" s="19">
        <f t="shared" si="0"/>
        <v>0</v>
      </c>
    </row>
    <row r="76" spans="1:9" ht="18.75" customHeight="1" x14ac:dyDescent="0.25">
      <c r="A76" s="35"/>
      <c r="B76" s="14"/>
      <c r="C76" s="25"/>
      <c r="D76" s="34"/>
      <c r="E76" s="21"/>
      <c r="F76" s="22"/>
      <c r="G76" s="31"/>
      <c r="H76" s="19">
        <f t="shared" si="0"/>
        <v>0</v>
      </c>
    </row>
    <row r="77" spans="1:9" ht="18.75" customHeight="1" x14ac:dyDescent="0.25">
      <c r="A77" s="35"/>
      <c r="B77" s="14"/>
      <c r="C77" s="25"/>
      <c r="D77" s="34"/>
      <c r="E77" s="21"/>
      <c r="F77" s="22"/>
      <c r="G77" s="31"/>
      <c r="H77" s="19">
        <f t="shared" si="0"/>
        <v>0</v>
      </c>
    </row>
    <row r="78" spans="1:9" ht="18.75" customHeight="1" x14ac:dyDescent="0.25">
      <c r="A78" s="23"/>
      <c r="B78" s="14"/>
      <c r="C78" s="25"/>
      <c r="D78" s="34"/>
      <c r="E78" s="21"/>
      <c r="F78" s="22"/>
      <c r="G78" s="31"/>
      <c r="H78" s="19">
        <f t="shared" si="0"/>
        <v>0</v>
      </c>
    </row>
    <row r="79" spans="1:9" ht="16.5" thickBot="1" x14ac:dyDescent="0.3">
      <c r="A79" s="36"/>
      <c r="B79" s="14"/>
      <c r="C79" s="37"/>
      <c r="D79" s="38"/>
      <c r="E79" s="39">
        <v>0</v>
      </c>
      <c r="F79" s="40"/>
      <c r="G79" s="60"/>
      <c r="H79" s="19">
        <f t="shared" si="0"/>
        <v>0</v>
      </c>
      <c r="I79" s="2"/>
    </row>
    <row r="80" spans="1:9" ht="16.5" thickTop="1" x14ac:dyDescent="0.25">
      <c r="B80" s="41"/>
      <c r="C80" s="42"/>
      <c r="D80" s="2"/>
      <c r="E80" s="43">
        <f>SUM(E4:E79)</f>
        <v>385990</v>
      </c>
      <c r="F80" s="44"/>
      <c r="G80" s="44">
        <f>SUM(G4:G79)</f>
        <v>385990</v>
      </c>
      <c r="H80" s="45">
        <f>SUM(H4:H79)</f>
        <v>0</v>
      </c>
      <c r="I80" s="2"/>
    </row>
    <row r="81" spans="1:9" x14ac:dyDescent="0.25">
      <c r="B81" s="41"/>
      <c r="C81" s="42"/>
      <c r="D81" s="2"/>
      <c r="E81" s="46"/>
      <c r="F81" s="47"/>
      <c r="G81" s="61"/>
      <c r="H81" s="48"/>
      <c r="I81" s="2"/>
    </row>
    <row r="82" spans="1:9" ht="31.5" x14ac:dyDescent="0.25">
      <c r="B82" s="41"/>
      <c r="C82" s="42"/>
      <c r="D82" s="2"/>
      <c r="E82" s="49" t="s">
        <v>8</v>
      </c>
      <c r="F82" s="47"/>
      <c r="G82" s="50" t="s">
        <v>9</v>
      </c>
      <c r="H82" s="48"/>
      <c r="I82" s="2"/>
    </row>
    <row r="83" spans="1:9" ht="16.5" thickBot="1" x14ac:dyDescent="0.3">
      <c r="B83" s="41"/>
      <c r="C83" s="42"/>
      <c r="D83" s="2"/>
      <c r="E83" s="49"/>
      <c r="F83" s="47"/>
      <c r="G83" s="50"/>
      <c r="H83" s="48"/>
      <c r="I83" s="2"/>
    </row>
    <row r="84" spans="1:9" ht="21.75" thickBot="1" x14ac:dyDescent="0.4">
      <c r="B84" s="41"/>
      <c r="C84" s="42"/>
      <c r="D84" s="2"/>
      <c r="E84" s="93">
        <f>E80-G80</f>
        <v>0</v>
      </c>
      <c r="F84" s="94"/>
      <c r="G84" s="95"/>
      <c r="I84" s="2"/>
    </row>
    <row r="85" spans="1:9" x14ac:dyDescent="0.25">
      <c r="B85" s="41"/>
      <c r="C85" s="42"/>
      <c r="D85" s="2"/>
      <c r="E85" s="46"/>
      <c r="F85" s="47"/>
      <c r="G85" s="61"/>
      <c r="I85" s="2"/>
    </row>
    <row r="86" spans="1:9" ht="18.75" x14ac:dyDescent="0.3">
      <c r="B86" s="41"/>
      <c r="C86" s="42"/>
      <c r="D86" s="2"/>
      <c r="E86" s="96" t="s">
        <v>10</v>
      </c>
      <c r="F86" s="96"/>
      <c r="G86" s="96"/>
      <c r="I86" s="2"/>
    </row>
    <row r="87" spans="1:9" x14ac:dyDescent="0.25">
      <c r="B87" s="41"/>
      <c r="C87" s="42"/>
      <c r="D87" s="2"/>
      <c r="E87" s="46"/>
      <c r="F87" s="47"/>
      <c r="G87" s="61"/>
      <c r="I87" s="2"/>
    </row>
    <row r="88" spans="1:9" ht="18.75" x14ac:dyDescent="0.3">
      <c r="A88" s="23"/>
      <c r="B88" s="14"/>
      <c r="C88" s="25"/>
      <c r="D88" s="51"/>
      <c r="E88" s="52"/>
      <c r="F88" s="53"/>
      <c r="G88" s="62"/>
      <c r="I88" s="2"/>
    </row>
    <row r="89" spans="1:9" x14ac:dyDescent="0.25">
      <c r="B89" s="41"/>
      <c r="C89" s="42"/>
      <c r="D89" s="2"/>
      <c r="E89" s="46"/>
      <c r="F89" s="47"/>
      <c r="G89" s="61"/>
      <c r="I89" s="2"/>
    </row>
    <row r="90" spans="1:9" x14ac:dyDescent="0.25">
      <c r="B90" s="41"/>
      <c r="C90" s="42"/>
      <c r="D90" s="2"/>
      <c r="E90" s="46"/>
      <c r="F90" s="47"/>
      <c r="G90" s="61"/>
      <c r="I90" s="2"/>
    </row>
    <row r="91" spans="1:9" x14ac:dyDescent="0.25">
      <c r="B91" s="41"/>
      <c r="C91" s="42"/>
      <c r="D91" s="2"/>
      <c r="E91" s="46"/>
      <c r="F91" s="47"/>
      <c r="G91" s="61"/>
      <c r="I91" s="2"/>
    </row>
    <row r="92" spans="1:9" x14ac:dyDescent="0.25">
      <c r="B92" s="41"/>
      <c r="C92" s="42"/>
      <c r="D92" s="2"/>
      <c r="E92" s="46"/>
      <c r="F92" s="47"/>
      <c r="G92" s="61"/>
      <c r="I92" s="2"/>
    </row>
    <row r="93" spans="1:9" x14ac:dyDescent="0.25">
      <c r="B93" s="41"/>
      <c r="C93" s="42"/>
      <c r="D93" s="2"/>
      <c r="E93" s="46"/>
      <c r="F93" s="47"/>
      <c r="G93" s="61"/>
      <c r="I93" s="2"/>
    </row>
    <row r="94" spans="1:9" x14ac:dyDescent="0.25">
      <c r="B94" s="41"/>
      <c r="C94" s="42"/>
      <c r="D94" s="2"/>
      <c r="E94" s="46"/>
      <c r="F94" s="47"/>
      <c r="G94" s="61"/>
      <c r="I94" s="2"/>
    </row>
    <row r="95" spans="1:9" x14ac:dyDescent="0.25">
      <c r="B95" s="41"/>
      <c r="C95" s="42"/>
      <c r="D95" s="2"/>
      <c r="E95" s="46"/>
      <c r="F95" s="47"/>
      <c r="G95" s="61"/>
      <c r="I95" s="2"/>
    </row>
    <row r="96" spans="1:9" x14ac:dyDescent="0.25">
      <c r="B96" s="41"/>
      <c r="C96" s="42"/>
      <c r="D96" s="2"/>
      <c r="E96" s="46"/>
      <c r="F96" s="47"/>
      <c r="G96" s="61"/>
      <c r="I96" s="2"/>
    </row>
    <row r="97" spans="2:9" x14ac:dyDescent="0.25">
      <c r="B97" s="41"/>
      <c r="C97" s="42"/>
      <c r="D97" s="2"/>
      <c r="E97" s="46"/>
      <c r="F97" s="47"/>
      <c r="G97" s="61"/>
      <c r="I97" s="2"/>
    </row>
  </sheetData>
  <mergeCells count="4">
    <mergeCell ref="B1:G1"/>
    <mergeCell ref="B2:F2"/>
    <mergeCell ref="E84:G84"/>
    <mergeCell ref="E86:G86"/>
  </mergeCell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111"/>
  <sheetViews>
    <sheetView topLeftCell="A76" workbookViewId="0">
      <selection activeCell="G92" sqref="G92"/>
    </sheetView>
  </sheetViews>
  <sheetFormatPr baseColWidth="10" defaultRowHeight="15.75" x14ac:dyDescent="0.25"/>
  <cols>
    <col min="1" max="1" width="11.42578125" style="1"/>
    <col min="2" max="2" width="13.140625" style="54" customWidth="1"/>
    <col min="3" max="3" width="9.85546875" style="55" hidden="1" customWidth="1"/>
    <col min="4" max="4" width="34.28515625" customWidth="1"/>
    <col min="5" max="5" width="15.85546875" style="56" bestFit="1" customWidth="1"/>
    <col min="6" max="6" width="13.28515625" style="57" customWidth="1"/>
    <col min="7" max="7" width="18" style="63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19.5" thickBot="1" x14ac:dyDescent="0.35">
      <c r="B1" s="89" t="s">
        <v>37</v>
      </c>
      <c r="C1" s="90"/>
      <c r="D1" s="90"/>
      <c r="E1" s="90"/>
      <c r="F1" s="90"/>
      <c r="G1" s="91"/>
      <c r="I1" s="2"/>
    </row>
    <row r="2" spans="1:9" ht="21" x14ac:dyDescent="0.35">
      <c r="A2" s="3"/>
      <c r="B2" s="92" t="s">
        <v>0</v>
      </c>
      <c r="C2" s="92"/>
      <c r="D2" s="92"/>
      <c r="E2" s="92"/>
      <c r="F2" s="92"/>
      <c r="G2" s="58"/>
      <c r="H2" s="4"/>
      <c r="I2" s="2"/>
    </row>
    <row r="3" spans="1:9" ht="46.5" thickBot="1" x14ac:dyDescent="0.35">
      <c r="A3" s="5"/>
      <c r="B3" s="6" t="s">
        <v>1</v>
      </c>
      <c r="C3" s="7" t="s">
        <v>2</v>
      </c>
      <c r="D3" s="8" t="s">
        <v>3</v>
      </c>
      <c r="E3" s="9" t="s">
        <v>4</v>
      </c>
      <c r="F3" s="10" t="s">
        <v>5</v>
      </c>
      <c r="G3" s="11" t="s">
        <v>6</v>
      </c>
      <c r="H3" s="12" t="s">
        <v>7</v>
      </c>
      <c r="I3" s="2"/>
    </row>
    <row r="4" spans="1:9" ht="16.5" thickTop="1" x14ac:dyDescent="0.25">
      <c r="A4" s="13">
        <v>44956</v>
      </c>
      <c r="B4" s="14">
        <v>1041</v>
      </c>
      <c r="C4" s="15"/>
      <c r="D4" s="16" t="s">
        <v>16</v>
      </c>
      <c r="E4" s="17">
        <v>5351</v>
      </c>
      <c r="F4" s="18">
        <v>44958</v>
      </c>
      <c r="G4" s="59">
        <v>5351</v>
      </c>
      <c r="H4" s="19">
        <f t="shared" ref="H4:H93" si="0">E4-G4</f>
        <v>0</v>
      </c>
      <c r="I4" s="2"/>
    </row>
    <row r="5" spans="1:9" ht="31.5" x14ac:dyDescent="0.25">
      <c r="A5" s="13">
        <v>44956</v>
      </c>
      <c r="B5" s="14">
        <v>1042</v>
      </c>
      <c r="C5" s="15"/>
      <c r="D5" s="20" t="s">
        <v>15</v>
      </c>
      <c r="E5" s="21">
        <v>2064</v>
      </c>
      <c r="F5" s="22" t="s">
        <v>39</v>
      </c>
      <c r="G5" s="31">
        <f>1000+1064</f>
        <v>2064</v>
      </c>
      <c r="H5" s="19">
        <f t="shared" si="0"/>
        <v>0</v>
      </c>
    </row>
    <row r="6" spans="1:9" x14ac:dyDescent="0.25">
      <c r="A6" s="13">
        <v>44956</v>
      </c>
      <c r="B6" s="14">
        <f t="shared" ref="B6:B69" si="1">B5+1</f>
        <v>1043</v>
      </c>
      <c r="C6" s="15"/>
      <c r="D6" s="20" t="s">
        <v>13</v>
      </c>
      <c r="E6" s="21">
        <v>3595</v>
      </c>
      <c r="F6" s="22">
        <v>44958</v>
      </c>
      <c r="G6" s="31">
        <v>3595</v>
      </c>
      <c r="H6" s="19">
        <f t="shared" si="0"/>
        <v>0</v>
      </c>
    </row>
    <row r="7" spans="1:9" x14ac:dyDescent="0.25">
      <c r="A7" s="23">
        <v>44957</v>
      </c>
      <c r="B7" s="14">
        <f t="shared" si="1"/>
        <v>1044</v>
      </c>
      <c r="C7" s="15"/>
      <c r="D7" s="20" t="s">
        <v>16</v>
      </c>
      <c r="E7" s="21">
        <v>5292</v>
      </c>
      <c r="F7" s="22">
        <v>44959</v>
      </c>
      <c r="G7" s="31">
        <v>5292</v>
      </c>
      <c r="H7" s="19">
        <f t="shared" si="0"/>
        <v>0</v>
      </c>
    </row>
    <row r="8" spans="1:9" ht="31.5" x14ac:dyDescent="0.25">
      <c r="A8" s="13">
        <v>44957</v>
      </c>
      <c r="B8" s="14">
        <f t="shared" si="1"/>
        <v>1045</v>
      </c>
      <c r="C8" s="15"/>
      <c r="D8" s="24" t="s">
        <v>15</v>
      </c>
      <c r="E8" s="21">
        <v>2822</v>
      </c>
      <c r="F8" s="22" t="s">
        <v>40</v>
      </c>
      <c r="G8" s="31">
        <f>1000+1822</f>
        <v>2822</v>
      </c>
      <c r="H8" s="19">
        <f t="shared" si="0"/>
        <v>0</v>
      </c>
    </row>
    <row r="9" spans="1:9" x14ac:dyDescent="0.25">
      <c r="A9" s="13">
        <v>44958</v>
      </c>
      <c r="B9" s="14">
        <f t="shared" si="1"/>
        <v>1046</v>
      </c>
      <c r="C9" s="15"/>
      <c r="D9" s="20" t="s">
        <v>15</v>
      </c>
      <c r="E9" s="21">
        <v>915</v>
      </c>
      <c r="F9" s="22">
        <v>44960</v>
      </c>
      <c r="G9" s="31">
        <v>915</v>
      </c>
      <c r="H9" s="19">
        <f t="shared" si="0"/>
        <v>0</v>
      </c>
    </row>
    <row r="10" spans="1:9" x14ac:dyDescent="0.25">
      <c r="A10" s="13">
        <v>44958</v>
      </c>
      <c r="B10" s="14">
        <f t="shared" si="1"/>
        <v>1047</v>
      </c>
      <c r="C10" s="15"/>
      <c r="D10" s="20" t="s">
        <v>13</v>
      </c>
      <c r="E10" s="21">
        <v>5616</v>
      </c>
      <c r="F10" s="22">
        <v>44960</v>
      </c>
      <c r="G10" s="31">
        <v>5616</v>
      </c>
      <c r="H10" s="19">
        <f t="shared" si="0"/>
        <v>0</v>
      </c>
    </row>
    <row r="11" spans="1:9" x14ac:dyDescent="0.25">
      <c r="A11" s="13">
        <v>44959</v>
      </c>
      <c r="B11" s="14">
        <f t="shared" si="1"/>
        <v>1048</v>
      </c>
      <c r="C11" s="15"/>
      <c r="D11" s="20" t="s">
        <v>12</v>
      </c>
      <c r="E11" s="21">
        <v>1294</v>
      </c>
      <c r="F11" s="22">
        <v>44960</v>
      </c>
      <c r="G11" s="31">
        <v>1294</v>
      </c>
      <c r="H11" s="19">
        <f t="shared" si="0"/>
        <v>0</v>
      </c>
    </row>
    <row r="12" spans="1:9" ht="31.5" x14ac:dyDescent="0.25">
      <c r="A12" s="13">
        <v>44959</v>
      </c>
      <c r="B12" s="14">
        <f t="shared" si="1"/>
        <v>1049</v>
      </c>
      <c r="C12" s="25"/>
      <c r="D12" s="20" t="s">
        <v>15</v>
      </c>
      <c r="E12" s="21">
        <v>2196</v>
      </c>
      <c r="F12" s="22" t="s">
        <v>41</v>
      </c>
      <c r="G12" s="31">
        <f>1000+1196</f>
        <v>2196</v>
      </c>
      <c r="H12" s="19">
        <f t="shared" si="0"/>
        <v>0</v>
      </c>
    </row>
    <row r="13" spans="1:9" x14ac:dyDescent="0.25">
      <c r="A13" s="13">
        <v>44959</v>
      </c>
      <c r="B13" s="14">
        <f t="shared" si="1"/>
        <v>1050</v>
      </c>
      <c r="C13" s="26"/>
      <c r="D13" s="20" t="s">
        <v>13</v>
      </c>
      <c r="E13" s="21">
        <v>4721</v>
      </c>
      <c r="F13" s="22">
        <v>44960</v>
      </c>
      <c r="G13" s="31">
        <v>4721</v>
      </c>
      <c r="H13" s="19">
        <f t="shared" si="0"/>
        <v>0</v>
      </c>
    </row>
    <row r="14" spans="1:9" x14ac:dyDescent="0.25">
      <c r="A14" s="13">
        <v>44960</v>
      </c>
      <c r="B14" s="14">
        <f t="shared" si="1"/>
        <v>1051</v>
      </c>
      <c r="C14" s="25"/>
      <c r="D14" s="20" t="s">
        <v>25</v>
      </c>
      <c r="E14" s="21">
        <v>10150</v>
      </c>
      <c r="F14" s="22">
        <v>44964</v>
      </c>
      <c r="G14" s="31">
        <v>10150</v>
      </c>
      <c r="H14" s="19">
        <f t="shared" si="0"/>
        <v>0</v>
      </c>
    </row>
    <row r="15" spans="1:9" x14ac:dyDescent="0.25">
      <c r="A15" s="13">
        <v>44960</v>
      </c>
      <c r="B15" s="14">
        <f t="shared" si="1"/>
        <v>1052</v>
      </c>
      <c r="C15" s="26"/>
      <c r="D15" s="20" t="s">
        <v>15</v>
      </c>
      <c r="E15" s="21">
        <v>2683</v>
      </c>
      <c r="F15" s="22">
        <v>44962</v>
      </c>
      <c r="G15" s="31">
        <v>2683</v>
      </c>
      <c r="H15" s="19">
        <f t="shared" si="0"/>
        <v>0</v>
      </c>
    </row>
    <row r="16" spans="1:9" x14ac:dyDescent="0.25">
      <c r="A16" s="13">
        <v>44960</v>
      </c>
      <c r="B16" s="14">
        <f t="shared" si="1"/>
        <v>1053</v>
      </c>
      <c r="C16" s="25"/>
      <c r="D16" s="20" t="s">
        <v>24</v>
      </c>
      <c r="E16" s="21">
        <v>15250</v>
      </c>
      <c r="F16" s="22">
        <v>44969</v>
      </c>
      <c r="G16" s="31">
        <v>15250</v>
      </c>
      <c r="H16" s="19">
        <f t="shared" si="0"/>
        <v>0</v>
      </c>
    </row>
    <row r="17" spans="1:8" ht="31.5" x14ac:dyDescent="0.25">
      <c r="A17" s="13">
        <v>44960</v>
      </c>
      <c r="B17" s="14">
        <f t="shared" si="1"/>
        <v>1054</v>
      </c>
      <c r="C17" s="26"/>
      <c r="D17" s="20" t="s">
        <v>14</v>
      </c>
      <c r="E17" s="21">
        <v>4099</v>
      </c>
      <c r="F17" s="22" t="s">
        <v>42</v>
      </c>
      <c r="G17" s="31">
        <f>3099+1000</f>
        <v>4099</v>
      </c>
      <c r="H17" s="19">
        <f t="shared" si="0"/>
        <v>0</v>
      </c>
    </row>
    <row r="18" spans="1:8" ht="47.25" x14ac:dyDescent="0.25">
      <c r="A18" s="13">
        <v>44961</v>
      </c>
      <c r="B18" s="14">
        <f t="shared" si="1"/>
        <v>1055</v>
      </c>
      <c r="C18" s="25"/>
      <c r="D18" s="20" t="s">
        <v>15</v>
      </c>
      <c r="E18" s="21">
        <v>3541</v>
      </c>
      <c r="F18" s="22" t="s">
        <v>43</v>
      </c>
      <c r="G18" s="31">
        <f>1900+1000+641</f>
        <v>3541</v>
      </c>
      <c r="H18" s="19">
        <f t="shared" si="0"/>
        <v>0</v>
      </c>
    </row>
    <row r="19" spans="1:8" ht="22.5" customHeight="1" x14ac:dyDescent="0.25">
      <c r="A19" s="13">
        <v>44961</v>
      </c>
      <c r="B19" s="14">
        <f t="shared" si="1"/>
        <v>1056</v>
      </c>
      <c r="C19" s="26"/>
      <c r="D19" s="20" t="s">
        <v>24</v>
      </c>
      <c r="E19" s="21">
        <v>870</v>
      </c>
      <c r="F19" s="22">
        <v>44969</v>
      </c>
      <c r="G19" s="31">
        <v>870</v>
      </c>
      <c r="H19" s="19">
        <f t="shared" si="0"/>
        <v>0</v>
      </c>
    </row>
    <row r="20" spans="1:8" ht="31.5" x14ac:dyDescent="0.25">
      <c r="A20" s="13">
        <v>44962</v>
      </c>
      <c r="B20" s="14">
        <f t="shared" si="1"/>
        <v>1057</v>
      </c>
      <c r="C20" s="25"/>
      <c r="D20" s="20" t="s">
        <v>15</v>
      </c>
      <c r="E20" s="21">
        <v>2855</v>
      </c>
      <c r="F20" s="22" t="s">
        <v>44</v>
      </c>
      <c r="G20" s="31">
        <f>1200+1655</f>
        <v>2855</v>
      </c>
      <c r="H20" s="19">
        <f t="shared" si="0"/>
        <v>0</v>
      </c>
    </row>
    <row r="21" spans="1:8" x14ac:dyDescent="0.25">
      <c r="A21" s="13">
        <v>44962</v>
      </c>
      <c r="B21" s="14">
        <f t="shared" si="1"/>
        <v>1058</v>
      </c>
      <c r="C21" s="25"/>
      <c r="D21" s="20" t="s">
        <v>24</v>
      </c>
      <c r="E21" s="21">
        <v>211</v>
      </c>
      <c r="F21" s="22">
        <v>44969</v>
      </c>
      <c r="G21" s="31">
        <v>211</v>
      </c>
      <c r="H21" s="19">
        <f t="shared" si="0"/>
        <v>0</v>
      </c>
    </row>
    <row r="22" spans="1:8" ht="31.5" x14ac:dyDescent="0.25">
      <c r="A22" s="13">
        <v>44963</v>
      </c>
      <c r="B22" s="14">
        <f t="shared" si="1"/>
        <v>1059</v>
      </c>
      <c r="C22" s="25"/>
      <c r="D22" s="20" t="s">
        <v>19</v>
      </c>
      <c r="E22" s="21">
        <v>55696</v>
      </c>
      <c r="F22" s="22" t="s">
        <v>47</v>
      </c>
      <c r="G22" s="31">
        <f>55000+696</f>
        <v>55696</v>
      </c>
      <c r="H22" s="19">
        <f t="shared" si="0"/>
        <v>0</v>
      </c>
    </row>
    <row r="23" spans="1:8" x14ac:dyDescent="0.25">
      <c r="A23" s="13">
        <v>44963</v>
      </c>
      <c r="B23" s="14">
        <f t="shared" si="1"/>
        <v>1060</v>
      </c>
      <c r="C23" s="25"/>
      <c r="D23" s="20" t="s">
        <v>13</v>
      </c>
      <c r="E23" s="21">
        <v>5199</v>
      </c>
      <c r="F23" s="22">
        <v>44964</v>
      </c>
      <c r="G23" s="31">
        <v>5199</v>
      </c>
      <c r="H23" s="19">
        <f t="shared" si="0"/>
        <v>0</v>
      </c>
    </row>
    <row r="24" spans="1:8" x14ac:dyDescent="0.25">
      <c r="A24" s="13">
        <v>44963</v>
      </c>
      <c r="B24" s="14">
        <f t="shared" si="1"/>
        <v>1061</v>
      </c>
      <c r="C24" s="25"/>
      <c r="D24" s="20" t="s">
        <v>14</v>
      </c>
      <c r="E24" s="21">
        <v>2009</v>
      </c>
      <c r="F24" s="22">
        <v>44965</v>
      </c>
      <c r="G24" s="31">
        <v>2009</v>
      </c>
      <c r="H24" s="19">
        <f t="shared" si="0"/>
        <v>0</v>
      </c>
    </row>
    <row r="25" spans="1:8" x14ac:dyDescent="0.25">
      <c r="A25" s="13">
        <v>44964</v>
      </c>
      <c r="B25" s="14">
        <f t="shared" si="1"/>
        <v>1062</v>
      </c>
      <c r="C25" s="25"/>
      <c r="D25" s="20" t="s">
        <v>15</v>
      </c>
      <c r="E25" s="21">
        <v>2370</v>
      </c>
      <c r="F25" s="22">
        <v>44968</v>
      </c>
      <c r="G25" s="31">
        <v>2370</v>
      </c>
      <c r="H25" s="19">
        <f t="shared" si="0"/>
        <v>0</v>
      </c>
    </row>
    <row r="26" spans="1:8" x14ac:dyDescent="0.25">
      <c r="A26" s="13">
        <v>44964</v>
      </c>
      <c r="B26" s="14">
        <f t="shared" si="1"/>
        <v>1063</v>
      </c>
      <c r="C26" s="25"/>
      <c r="D26" s="20" t="s">
        <v>19</v>
      </c>
      <c r="E26" s="21">
        <v>5280</v>
      </c>
      <c r="F26" s="22">
        <v>44966</v>
      </c>
      <c r="G26" s="31">
        <v>5280</v>
      </c>
      <c r="H26" s="19">
        <f t="shared" si="0"/>
        <v>0</v>
      </c>
    </row>
    <row r="27" spans="1:8" x14ac:dyDescent="0.25">
      <c r="A27" s="13">
        <v>44964</v>
      </c>
      <c r="B27" s="14">
        <f t="shared" si="1"/>
        <v>1064</v>
      </c>
      <c r="C27" s="25"/>
      <c r="D27" s="20" t="s">
        <v>13</v>
      </c>
      <c r="E27" s="21">
        <v>3720</v>
      </c>
      <c r="F27" s="22">
        <v>44966</v>
      </c>
      <c r="G27" s="31">
        <v>3720</v>
      </c>
      <c r="H27" s="19">
        <f t="shared" si="0"/>
        <v>0</v>
      </c>
    </row>
    <row r="28" spans="1:8" ht="31.5" x14ac:dyDescent="0.25">
      <c r="A28" s="13">
        <v>44966</v>
      </c>
      <c r="B28" s="14">
        <f t="shared" si="1"/>
        <v>1065</v>
      </c>
      <c r="C28" s="25"/>
      <c r="D28" s="20" t="s">
        <v>15</v>
      </c>
      <c r="E28" s="21">
        <v>1805</v>
      </c>
      <c r="F28" s="22" t="s">
        <v>46</v>
      </c>
      <c r="G28" s="31">
        <f>1500+305</f>
        <v>1805</v>
      </c>
      <c r="H28" s="19">
        <f t="shared" si="0"/>
        <v>0</v>
      </c>
    </row>
    <row r="29" spans="1:8" x14ac:dyDescent="0.25">
      <c r="A29" s="13">
        <v>44966</v>
      </c>
      <c r="B29" s="14">
        <f t="shared" si="1"/>
        <v>1066</v>
      </c>
      <c r="C29" s="25"/>
      <c r="D29" s="20" t="s">
        <v>13</v>
      </c>
      <c r="E29" s="21">
        <v>2168</v>
      </c>
      <c r="F29" s="22">
        <v>44967</v>
      </c>
      <c r="G29" s="31">
        <v>2168</v>
      </c>
      <c r="H29" s="19">
        <f t="shared" si="0"/>
        <v>0</v>
      </c>
    </row>
    <row r="30" spans="1:8" x14ac:dyDescent="0.25">
      <c r="A30" s="13">
        <v>44967</v>
      </c>
      <c r="B30" s="14">
        <f t="shared" si="1"/>
        <v>1067</v>
      </c>
      <c r="C30" s="25"/>
      <c r="D30" s="20" t="s">
        <v>12</v>
      </c>
      <c r="E30" s="21">
        <v>341</v>
      </c>
      <c r="F30" s="22">
        <v>44971</v>
      </c>
      <c r="G30" s="31">
        <v>341</v>
      </c>
      <c r="H30" s="19">
        <f t="shared" si="0"/>
        <v>0</v>
      </c>
    </row>
    <row r="31" spans="1:8" x14ac:dyDescent="0.25">
      <c r="A31" s="13">
        <v>44967</v>
      </c>
      <c r="B31" s="14">
        <f t="shared" si="1"/>
        <v>1068</v>
      </c>
      <c r="C31" s="25"/>
      <c r="D31" s="20" t="s">
        <v>25</v>
      </c>
      <c r="E31" s="21">
        <v>2279</v>
      </c>
      <c r="F31" s="22">
        <v>44968</v>
      </c>
      <c r="G31" s="31">
        <v>2279</v>
      </c>
      <c r="H31" s="19">
        <f t="shared" si="0"/>
        <v>0</v>
      </c>
    </row>
    <row r="32" spans="1:8" ht="31.5" x14ac:dyDescent="0.25">
      <c r="A32" s="13">
        <v>44967</v>
      </c>
      <c r="B32" s="14">
        <f t="shared" si="1"/>
        <v>1069</v>
      </c>
      <c r="C32" s="25"/>
      <c r="D32" s="20" t="s">
        <v>15</v>
      </c>
      <c r="E32" s="21">
        <v>2913</v>
      </c>
      <c r="F32" s="22" t="s">
        <v>49</v>
      </c>
      <c r="G32" s="31">
        <f>1200+1713</f>
        <v>2913</v>
      </c>
      <c r="H32" s="19">
        <f t="shared" si="0"/>
        <v>0</v>
      </c>
    </row>
    <row r="33" spans="1:8" ht="31.5" x14ac:dyDescent="0.25">
      <c r="A33" s="13">
        <v>44967</v>
      </c>
      <c r="B33" s="14">
        <f t="shared" si="1"/>
        <v>1070</v>
      </c>
      <c r="C33" s="25"/>
      <c r="D33" s="20" t="s">
        <v>14</v>
      </c>
      <c r="E33" s="21">
        <v>4477</v>
      </c>
      <c r="F33" s="22" t="s">
        <v>45</v>
      </c>
      <c r="G33" s="31">
        <f>4077+400</f>
        <v>4477</v>
      </c>
      <c r="H33" s="19">
        <f t="shared" si="0"/>
        <v>0</v>
      </c>
    </row>
    <row r="34" spans="1:8" x14ac:dyDescent="0.25">
      <c r="A34" s="13">
        <v>44967</v>
      </c>
      <c r="B34" s="14">
        <f t="shared" si="1"/>
        <v>1071</v>
      </c>
      <c r="C34" s="25"/>
      <c r="D34" s="20" t="s">
        <v>13</v>
      </c>
      <c r="E34" s="21">
        <v>5832</v>
      </c>
      <c r="F34" s="22">
        <v>44968</v>
      </c>
      <c r="G34" s="31">
        <v>5832</v>
      </c>
      <c r="H34" s="19">
        <f t="shared" si="0"/>
        <v>0</v>
      </c>
    </row>
    <row r="35" spans="1:8" ht="17.25" customHeight="1" x14ac:dyDescent="0.25">
      <c r="A35" s="13">
        <v>44967</v>
      </c>
      <c r="B35" s="14">
        <f t="shared" si="1"/>
        <v>1072</v>
      </c>
      <c r="C35" s="25"/>
      <c r="D35" s="20" t="s">
        <v>24</v>
      </c>
      <c r="E35" s="21">
        <v>17130</v>
      </c>
      <c r="F35" s="22">
        <v>44976</v>
      </c>
      <c r="G35" s="31">
        <v>17130</v>
      </c>
      <c r="H35" s="19">
        <f t="shared" si="0"/>
        <v>0</v>
      </c>
    </row>
    <row r="36" spans="1:8" x14ac:dyDescent="0.25">
      <c r="A36" s="13">
        <v>44968</v>
      </c>
      <c r="B36" s="14">
        <f t="shared" si="1"/>
        <v>1073</v>
      </c>
      <c r="C36" s="25"/>
      <c r="D36" s="20" t="s">
        <v>15</v>
      </c>
      <c r="E36" s="21">
        <v>2533</v>
      </c>
      <c r="F36" s="22">
        <v>44974</v>
      </c>
      <c r="G36" s="31">
        <v>2533</v>
      </c>
      <c r="H36" s="19">
        <f t="shared" si="0"/>
        <v>0</v>
      </c>
    </row>
    <row r="37" spans="1:8" x14ac:dyDescent="0.25">
      <c r="A37" s="13">
        <v>44968</v>
      </c>
      <c r="B37" s="14">
        <f t="shared" si="1"/>
        <v>1074</v>
      </c>
      <c r="C37" s="25"/>
      <c r="D37" s="20" t="s">
        <v>13</v>
      </c>
      <c r="E37" s="21">
        <v>3208</v>
      </c>
      <c r="F37" s="22">
        <v>44969</v>
      </c>
      <c r="G37" s="31">
        <v>3208</v>
      </c>
      <c r="H37" s="19">
        <f t="shared" si="0"/>
        <v>0</v>
      </c>
    </row>
    <row r="38" spans="1:8" x14ac:dyDescent="0.25">
      <c r="A38" s="13">
        <v>44968</v>
      </c>
      <c r="B38" s="14">
        <f t="shared" si="1"/>
        <v>1075</v>
      </c>
      <c r="C38" s="25"/>
      <c r="D38" s="20" t="s">
        <v>25</v>
      </c>
      <c r="E38" s="21">
        <v>11200</v>
      </c>
      <c r="F38" s="22">
        <v>44970</v>
      </c>
      <c r="G38" s="31">
        <v>11200</v>
      </c>
      <c r="H38" s="19">
        <f t="shared" si="0"/>
        <v>0</v>
      </c>
    </row>
    <row r="39" spans="1:8" x14ac:dyDescent="0.25">
      <c r="A39" s="13">
        <v>44969</v>
      </c>
      <c r="B39" s="14">
        <f t="shared" si="1"/>
        <v>1076</v>
      </c>
      <c r="C39" s="25"/>
      <c r="D39" s="20" t="s">
        <v>16</v>
      </c>
      <c r="E39" s="21">
        <v>8000</v>
      </c>
      <c r="F39" s="22">
        <v>44970</v>
      </c>
      <c r="G39" s="31">
        <v>8000</v>
      </c>
      <c r="H39" s="19">
        <f t="shared" si="0"/>
        <v>0</v>
      </c>
    </row>
    <row r="40" spans="1:8" x14ac:dyDescent="0.25">
      <c r="A40" s="13">
        <v>44969</v>
      </c>
      <c r="B40" s="14">
        <f t="shared" si="1"/>
        <v>1077</v>
      </c>
      <c r="C40" s="25"/>
      <c r="D40" s="20" t="s">
        <v>13</v>
      </c>
      <c r="E40" s="21">
        <v>5096</v>
      </c>
      <c r="F40" s="22">
        <v>44970</v>
      </c>
      <c r="G40" s="31">
        <v>5096</v>
      </c>
      <c r="H40" s="19">
        <f t="shared" si="0"/>
        <v>0</v>
      </c>
    </row>
    <row r="41" spans="1:8" x14ac:dyDescent="0.25">
      <c r="A41" s="13">
        <v>44970</v>
      </c>
      <c r="B41" s="14">
        <f t="shared" si="1"/>
        <v>1078</v>
      </c>
      <c r="C41" s="25"/>
      <c r="D41" s="20" t="s">
        <v>12</v>
      </c>
      <c r="E41" s="21">
        <v>357</v>
      </c>
      <c r="F41" s="22">
        <v>44971</v>
      </c>
      <c r="G41" s="31">
        <v>357</v>
      </c>
      <c r="H41" s="19">
        <f t="shared" si="0"/>
        <v>0</v>
      </c>
    </row>
    <row r="42" spans="1:8" ht="31.5" x14ac:dyDescent="0.25">
      <c r="A42" s="13">
        <v>44970</v>
      </c>
      <c r="B42" s="14">
        <f t="shared" si="1"/>
        <v>1079</v>
      </c>
      <c r="C42" s="25"/>
      <c r="D42" s="20" t="s">
        <v>15</v>
      </c>
      <c r="E42" s="21">
        <v>1947</v>
      </c>
      <c r="F42" s="22" t="s">
        <v>50</v>
      </c>
      <c r="G42" s="31">
        <f>600+1347</f>
        <v>1947</v>
      </c>
      <c r="H42" s="19">
        <f t="shared" si="0"/>
        <v>0</v>
      </c>
    </row>
    <row r="43" spans="1:8" x14ac:dyDescent="0.25">
      <c r="A43" s="13">
        <v>44970</v>
      </c>
      <c r="B43" s="14">
        <f t="shared" si="1"/>
        <v>1080</v>
      </c>
      <c r="C43" s="25"/>
      <c r="D43" s="20" t="s">
        <v>19</v>
      </c>
      <c r="E43" s="21">
        <v>5832</v>
      </c>
      <c r="F43" s="22">
        <v>44971</v>
      </c>
      <c r="G43" s="31">
        <v>5832</v>
      </c>
      <c r="H43" s="19">
        <f t="shared" si="0"/>
        <v>0</v>
      </c>
    </row>
    <row r="44" spans="1:8" x14ac:dyDescent="0.25">
      <c r="A44" s="13">
        <v>44970</v>
      </c>
      <c r="B44" s="14">
        <f t="shared" si="1"/>
        <v>1081</v>
      </c>
      <c r="C44" s="25"/>
      <c r="D44" s="20" t="s">
        <v>13</v>
      </c>
      <c r="E44" s="21">
        <v>4280</v>
      </c>
      <c r="F44" s="22">
        <v>44971</v>
      </c>
      <c r="G44" s="31">
        <v>4280</v>
      </c>
      <c r="H44" s="19">
        <f t="shared" si="0"/>
        <v>0</v>
      </c>
    </row>
    <row r="45" spans="1:8" x14ac:dyDescent="0.25">
      <c r="A45" s="13">
        <v>44970</v>
      </c>
      <c r="B45" s="14">
        <f t="shared" si="1"/>
        <v>1082</v>
      </c>
      <c r="C45" s="25"/>
      <c r="D45" s="20" t="s">
        <v>16</v>
      </c>
      <c r="E45" s="21">
        <v>4072</v>
      </c>
      <c r="F45" s="22">
        <v>44973</v>
      </c>
      <c r="G45" s="31">
        <v>4072</v>
      </c>
      <c r="H45" s="19">
        <f t="shared" si="0"/>
        <v>0</v>
      </c>
    </row>
    <row r="46" spans="1:8" ht="31.5" x14ac:dyDescent="0.25">
      <c r="A46" s="13">
        <v>44971</v>
      </c>
      <c r="B46" s="14">
        <f t="shared" si="1"/>
        <v>1083</v>
      </c>
      <c r="C46" s="25"/>
      <c r="D46" s="20" t="s">
        <v>14</v>
      </c>
      <c r="E46" s="21">
        <v>2100</v>
      </c>
      <c r="F46" s="22" t="s">
        <v>48</v>
      </c>
      <c r="G46" s="31">
        <f>1559+541</f>
        <v>2100</v>
      </c>
      <c r="H46" s="19">
        <f t="shared" si="0"/>
        <v>0</v>
      </c>
    </row>
    <row r="47" spans="1:8" ht="22.5" customHeight="1" x14ac:dyDescent="0.25">
      <c r="A47" s="13">
        <v>44971</v>
      </c>
      <c r="B47" s="14">
        <f t="shared" si="1"/>
        <v>1084</v>
      </c>
      <c r="C47" s="25"/>
      <c r="D47" s="20" t="s">
        <v>15</v>
      </c>
      <c r="E47" s="21">
        <v>1866</v>
      </c>
      <c r="F47" s="22">
        <v>44975</v>
      </c>
      <c r="G47" s="31">
        <v>1866</v>
      </c>
      <c r="H47" s="19">
        <f t="shared" si="0"/>
        <v>0</v>
      </c>
    </row>
    <row r="48" spans="1:8" ht="20.25" customHeight="1" x14ac:dyDescent="0.25">
      <c r="A48" s="13">
        <v>44971</v>
      </c>
      <c r="B48" s="14">
        <f t="shared" si="1"/>
        <v>1085</v>
      </c>
      <c r="C48" s="25"/>
      <c r="D48" s="20" t="s">
        <v>13</v>
      </c>
      <c r="E48" s="21">
        <v>4328</v>
      </c>
      <c r="F48" s="22">
        <v>44973</v>
      </c>
      <c r="G48" s="31">
        <v>4328</v>
      </c>
      <c r="H48" s="19">
        <f t="shared" si="0"/>
        <v>0</v>
      </c>
    </row>
    <row r="49" spans="1:8" ht="21.75" customHeight="1" x14ac:dyDescent="0.25">
      <c r="A49" s="13">
        <v>44940</v>
      </c>
      <c r="B49" s="14">
        <f t="shared" si="1"/>
        <v>1086</v>
      </c>
      <c r="C49" s="25"/>
      <c r="D49" s="20" t="s">
        <v>24</v>
      </c>
      <c r="E49" s="21">
        <v>219</v>
      </c>
      <c r="F49" s="22">
        <v>44976</v>
      </c>
      <c r="G49" s="31">
        <v>219</v>
      </c>
      <c r="H49" s="19">
        <f t="shared" si="0"/>
        <v>0</v>
      </c>
    </row>
    <row r="50" spans="1:8" ht="31.5" x14ac:dyDescent="0.25">
      <c r="A50" s="13">
        <v>44973</v>
      </c>
      <c r="B50" s="14">
        <f t="shared" si="1"/>
        <v>1087</v>
      </c>
      <c r="C50" s="25"/>
      <c r="D50" s="20" t="s">
        <v>14</v>
      </c>
      <c r="E50" s="21">
        <v>3685</v>
      </c>
      <c r="F50" s="22" t="s">
        <v>52</v>
      </c>
      <c r="G50" s="31">
        <f>3485+200</f>
        <v>3685</v>
      </c>
      <c r="H50" s="19">
        <f t="shared" si="0"/>
        <v>0</v>
      </c>
    </row>
    <row r="51" spans="1:8" ht="31.5" x14ac:dyDescent="0.25">
      <c r="A51" s="13">
        <v>44973</v>
      </c>
      <c r="B51" s="14">
        <f t="shared" si="1"/>
        <v>1088</v>
      </c>
      <c r="C51" s="25"/>
      <c r="D51" s="20" t="s">
        <v>15</v>
      </c>
      <c r="E51" s="21">
        <v>2394</v>
      </c>
      <c r="F51" s="22" t="s">
        <v>51</v>
      </c>
      <c r="G51" s="31">
        <f>1300+1094</f>
        <v>2394</v>
      </c>
      <c r="H51" s="19">
        <f t="shared" si="0"/>
        <v>0</v>
      </c>
    </row>
    <row r="52" spans="1:8" x14ac:dyDescent="0.25">
      <c r="A52" s="13">
        <v>44973</v>
      </c>
      <c r="B52" s="14">
        <f t="shared" si="1"/>
        <v>1089</v>
      </c>
      <c r="C52" s="25"/>
      <c r="D52" s="20" t="s">
        <v>13</v>
      </c>
      <c r="E52" s="21">
        <v>3224</v>
      </c>
      <c r="F52" s="22">
        <v>44974</v>
      </c>
      <c r="G52" s="31">
        <v>3224</v>
      </c>
      <c r="H52" s="19">
        <f t="shared" si="0"/>
        <v>0</v>
      </c>
    </row>
    <row r="53" spans="1:8" x14ac:dyDescent="0.25">
      <c r="A53" s="13">
        <v>44974</v>
      </c>
      <c r="B53" s="14">
        <f t="shared" si="1"/>
        <v>1090</v>
      </c>
      <c r="C53" s="25"/>
      <c r="D53" s="20" t="s">
        <v>13</v>
      </c>
      <c r="E53" s="21">
        <v>3096</v>
      </c>
      <c r="F53" s="22">
        <v>44975</v>
      </c>
      <c r="G53" s="31">
        <v>3096</v>
      </c>
      <c r="H53" s="19">
        <f t="shared" si="0"/>
        <v>0</v>
      </c>
    </row>
    <row r="54" spans="1:8" x14ac:dyDescent="0.25">
      <c r="A54" s="13">
        <v>44974</v>
      </c>
      <c r="B54" s="14">
        <f t="shared" si="1"/>
        <v>1091</v>
      </c>
      <c r="C54" s="25"/>
      <c r="D54" s="20" t="s">
        <v>15</v>
      </c>
      <c r="E54" s="21">
        <v>1749</v>
      </c>
      <c r="F54" s="22">
        <v>44976</v>
      </c>
      <c r="G54" s="31">
        <v>1749</v>
      </c>
      <c r="H54" s="19">
        <f t="shared" si="0"/>
        <v>0</v>
      </c>
    </row>
    <row r="55" spans="1:8" s="33" customFormat="1" x14ac:dyDescent="0.25">
      <c r="A55" s="29">
        <v>44974</v>
      </c>
      <c r="B55" s="14">
        <f t="shared" si="1"/>
        <v>1092</v>
      </c>
      <c r="C55" s="25"/>
      <c r="D55" s="24" t="s">
        <v>24</v>
      </c>
      <c r="E55" s="30">
        <v>15510</v>
      </c>
      <c r="F55" s="22">
        <v>44983</v>
      </c>
      <c r="G55" s="31">
        <v>15510</v>
      </c>
      <c r="H55" s="32">
        <f t="shared" si="0"/>
        <v>0</v>
      </c>
    </row>
    <row r="56" spans="1:8" x14ac:dyDescent="0.25">
      <c r="A56" s="13">
        <v>44975</v>
      </c>
      <c r="B56" s="14">
        <f t="shared" si="1"/>
        <v>1093</v>
      </c>
      <c r="C56" s="25"/>
      <c r="D56" s="20" t="s">
        <v>12</v>
      </c>
      <c r="E56" s="21">
        <v>271</v>
      </c>
      <c r="F56" s="22">
        <v>44982</v>
      </c>
      <c r="G56" s="31">
        <v>271</v>
      </c>
      <c r="H56" s="19">
        <f t="shared" si="0"/>
        <v>0</v>
      </c>
    </row>
    <row r="57" spans="1:8" ht="31.5" x14ac:dyDescent="0.25">
      <c r="A57" s="13">
        <v>44975</v>
      </c>
      <c r="B57" s="14">
        <f t="shared" si="1"/>
        <v>1094</v>
      </c>
      <c r="C57" s="25"/>
      <c r="D57" s="20" t="s">
        <v>15</v>
      </c>
      <c r="E57" s="21">
        <v>2997</v>
      </c>
      <c r="F57" s="22" t="s">
        <v>54</v>
      </c>
      <c r="G57" s="31">
        <f>900+2097</f>
        <v>2997</v>
      </c>
      <c r="H57" s="19">
        <f t="shared" si="0"/>
        <v>0</v>
      </c>
    </row>
    <row r="58" spans="1:8" x14ac:dyDescent="0.25">
      <c r="A58" s="13">
        <v>44975</v>
      </c>
      <c r="B58" s="14">
        <f t="shared" si="1"/>
        <v>1095</v>
      </c>
      <c r="C58" s="25"/>
      <c r="D58" s="20" t="s">
        <v>17</v>
      </c>
      <c r="E58" s="21">
        <v>1620</v>
      </c>
      <c r="F58" s="22">
        <v>44976</v>
      </c>
      <c r="G58" s="31">
        <v>1620</v>
      </c>
      <c r="H58" s="19">
        <f t="shared" si="0"/>
        <v>0</v>
      </c>
    </row>
    <row r="59" spans="1:8" ht="21.75" customHeight="1" x14ac:dyDescent="0.25">
      <c r="A59" s="13">
        <v>44975</v>
      </c>
      <c r="B59" s="14">
        <f t="shared" si="1"/>
        <v>1096</v>
      </c>
      <c r="C59" s="25"/>
      <c r="D59" s="20" t="s">
        <v>13</v>
      </c>
      <c r="E59" s="21">
        <v>5024</v>
      </c>
      <c r="F59" s="22">
        <v>44976</v>
      </c>
      <c r="G59" s="31">
        <v>5024</v>
      </c>
      <c r="H59" s="19">
        <f t="shared" si="0"/>
        <v>0</v>
      </c>
    </row>
    <row r="60" spans="1:8" x14ac:dyDescent="0.25">
      <c r="A60" s="13">
        <v>44975</v>
      </c>
      <c r="B60" s="14">
        <f t="shared" si="1"/>
        <v>1097</v>
      </c>
      <c r="C60" s="25"/>
      <c r="D60" s="20" t="s">
        <v>25</v>
      </c>
      <c r="E60" s="21">
        <v>11200</v>
      </c>
      <c r="F60" s="22">
        <v>44977</v>
      </c>
      <c r="G60" s="31">
        <v>11200</v>
      </c>
      <c r="H60" s="19">
        <f t="shared" si="0"/>
        <v>0</v>
      </c>
    </row>
    <row r="61" spans="1:8" x14ac:dyDescent="0.25">
      <c r="A61" s="13">
        <v>44976</v>
      </c>
      <c r="B61" s="14">
        <f t="shared" si="1"/>
        <v>1098</v>
      </c>
      <c r="C61" s="25"/>
      <c r="D61" s="20" t="s">
        <v>15</v>
      </c>
      <c r="E61" s="21">
        <v>1450</v>
      </c>
      <c r="F61" s="22">
        <v>44981</v>
      </c>
      <c r="G61" s="31">
        <v>1450</v>
      </c>
      <c r="H61" s="19">
        <f t="shared" si="0"/>
        <v>0</v>
      </c>
    </row>
    <row r="62" spans="1:8" x14ac:dyDescent="0.25">
      <c r="A62" s="13">
        <v>44976</v>
      </c>
      <c r="B62" s="14">
        <f t="shared" si="1"/>
        <v>1099</v>
      </c>
      <c r="C62" s="25"/>
      <c r="D62" s="20" t="s">
        <v>13</v>
      </c>
      <c r="E62" s="21">
        <v>4670</v>
      </c>
      <c r="F62" s="22" t="s">
        <v>53</v>
      </c>
      <c r="G62" s="31">
        <f>4670</f>
        <v>4670</v>
      </c>
      <c r="H62" s="19">
        <f t="shared" si="0"/>
        <v>0</v>
      </c>
    </row>
    <row r="63" spans="1:8" x14ac:dyDescent="0.25">
      <c r="A63" s="13">
        <v>44977</v>
      </c>
      <c r="B63" s="14">
        <f t="shared" si="1"/>
        <v>1100</v>
      </c>
      <c r="C63" s="25"/>
      <c r="D63" s="20" t="s">
        <v>19</v>
      </c>
      <c r="E63" s="21">
        <v>5080</v>
      </c>
      <c r="F63" s="22">
        <v>44978</v>
      </c>
      <c r="G63" s="31">
        <v>5080</v>
      </c>
      <c r="H63" s="19">
        <f t="shared" si="0"/>
        <v>0</v>
      </c>
    </row>
    <row r="64" spans="1:8" x14ac:dyDescent="0.25">
      <c r="A64" s="13">
        <v>44977</v>
      </c>
      <c r="B64" s="14">
        <f t="shared" si="1"/>
        <v>1101</v>
      </c>
      <c r="C64" s="25"/>
      <c r="D64" s="20" t="s">
        <v>15</v>
      </c>
      <c r="E64" s="21">
        <v>1000</v>
      </c>
      <c r="F64" s="22">
        <v>44978</v>
      </c>
      <c r="G64" s="31">
        <v>1000</v>
      </c>
      <c r="H64" s="19">
        <f t="shared" si="0"/>
        <v>0</v>
      </c>
    </row>
    <row r="65" spans="1:8" x14ac:dyDescent="0.25">
      <c r="A65" s="23">
        <v>44977</v>
      </c>
      <c r="B65" s="14">
        <f t="shared" si="1"/>
        <v>1102</v>
      </c>
      <c r="C65" s="25"/>
      <c r="D65" s="34" t="s">
        <v>13</v>
      </c>
      <c r="E65" s="21">
        <v>3620</v>
      </c>
      <c r="F65" s="22">
        <v>44978</v>
      </c>
      <c r="G65" s="31">
        <v>3620</v>
      </c>
      <c r="H65" s="19">
        <f t="shared" si="0"/>
        <v>0</v>
      </c>
    </row>
    <row r="66" spans="1:8" x14ac:dyDescent="0.25">
      <c r="A66" s="23">
        <v>44978</v>
      </c>
      <c r="B66" s="14">
        <f t="shared" si="1"/>
        <v>1103</v>
      </c>
      <c r="C66" s="25"/>
      <c r="D66" s="34" t="s">
        <v>16</v>
      </c>
      <c r="E66" s="21">
        <v>9657</v>
      </c>
      <c r="F66" s="22">
        <v>44980</v>
      </c>
      <c r="G66" s="31">
        <v>9657</v>
      </c>
      <c r="H66" s="19">
        <f t="shared" si="0"/>
        <v>0</v>
      </c>
    </row>
    <row r="67" spans="1:8" x14ac:dyDescent="0.25">
      <c r="A67" s="23">
        <v>44978</v>
      </c>
      <c r="B67" s="14">
        <f t="shared" si="1"/>
        <v>1104</v>
      </c>
      <c r="C67" s="25"/>
      <c r="D67" s="34" t="s">
        <v>13</v>
      </c>
      <c r="E67" s="21">
        <v>3318</v>
      </c>
      <c r="F67" s="22">
        <v>44979</v>
      </c>
      <c r="G67" s="31">
        <v>3318</v>
      </c>
      <c r="H67" s="19">
        <f t="shared" si="0"/>
        <v>0</v>
      </c>
    </row>
    <row r="68" spans="1:8" x14ac:dyDescent="0.25">
      <c r="A68" s="23">
        <v>44978</v>
      </c>
      <c r="B68" s="14">
        <f t="shared" si="1"/>
        <v>1105</v>
      </c>
      <c r="C68" s="25"/>
      <c r="D68" s="34" t="s">
        <v>17</v>
      </c>
      <c r="E68" s="21">
        <v>5400</v>
      </c>
      <c r="F68" s="64">
        <v>44990</v>
      </c>
      <c r="G68" s="65">
        <v>5400</v>
      </c>
      <c r="H68" s="19">
        <f t="shared" si="0"/>
        <v>0</v>
      </c>
    </row>
    <row r="69" spans="1:8" x14ac:dyDescent="0.25">
      <c r="A69" s="23">
        <v>44979</v>
      </c>
      <c r="B69" s="14">
        <f t="shared" si="1"/>
        <v>1106</v>
      </c>
      <c r="C69" s="25"/>
      <c r="D69" s="34" t="s">
        <v>13</v>
      </c>
      <c r="E69" s="21">
        <v>2999</v>
      </c>
      <c r="F69" s="22">
        <v>44980</v>
      </c>
      <c r="G69" s="31">
        <v>2999</v>
      </c>
      <c r="H69" s="19">
        <f t="shared" si="0"/>
        <v>0</v>
      </c>
    </row>
    <row r="70" spans="1:8" x14ac:dyDescent="0.25">
      <c r="A70" s="23">
        <v>44979</v>
      </c>
      <c r="B70" s="14">
        <f t="shared" ref="B70:B91" si="2">B69+1</f>
        <v>1107</v>
      </c>
      <c r="C70" s="25"/>
      <c r="D70" s="34" t="s">
        <v>15</v>
      </c>
      <c r="E70" s="21">
        <v>728</v>
      </c>
      <c r="F70" s="22">
        <v>44981</v>
      </c>
      <c r="G70" s="31">
        <v>728</v>
      </c>
      <c r="H70" s="19">
        <f t="shared" si="0"/>
        <v>0</v>
      </c>
    </row>
    <row r="71" spans="1:8" ht="31.5" x14ac:dyDescent="0.25">
      <c r="A71" s="23">
        <v>44980</v>
      </c>
      <c r="B71" s="14">
        <f t="shared" si="2"/>
        <v>1108</v>
      </c>
      <c r="C71" s="25"/>
      <c r="D71" s="34" t="s">
        <v>14</v>
      </c>
      <c r="E71" s="21">
        <v>566</v>
      </c>
      <c r="F71" s="22" t="s">
        <v>55</v>
      </c>
      <c r="G71" s="31">
        <f>225+341</f>
        <v>566</v>
      </c>
      <c r="H71" s="19">
        <f t="shared" si="0"/>
        <v>0</v>
      </c>
    </row>
    <row r="72" spans="1:8" ht="31.5" x14ac:dyDescent="0.25">
      <c r="A72" s="23">
        <v>44980</v>
      </c>
      <c r="B72" s="14">
        <f t="shared" si="2"/>
        <v>1109</v>
      </c>
      <c r="C72" s="25"/>
      <c r="D72" s="34" t="s">
        <v>15</v>
      </c>
      <c r="E72" s="21">
        <v>2332</v>
      </c>
      <c r="F72" s="22" t="s">
        <v>56</v>
      </c>
      <c r="G72" s="31">
        <f>800+1532</f>
        <v>2332</v>
      </c>
      <c r="H72" s="19">
        <f t="shared" si="0"/>
        <v>0</v>
      </c>
    </row>
    <row r="73" spans="1:8" ht="18.75" customHeight="1" x14ac:dyDescent="0.25">
      <c r="A73" s="23">
        <v>44980</v>
      </c>
      <c r="B73" s="14">
        <f t="shared" si="2"/>
        <v>1110</v>
      </c>
      <c r="C73" s="25"/>
      <c r="D73" s="34" t="s">
        <v>19</v>
      </c>
      <c r="E73" s="21">
        <v>9086</v>
      </c>
      <c r="F73" s="22">
        <v>44981</v>
      </c>
      <c r="G73" s="31">
        <v>9086</v>
      </c>
      <c r="H73" s="19">
        <f t="shared" si="0"/>
        <v>0</v>
      </c>
    </row>
    <row r="74" spans="1:8" ht="24" customHeight="1" x14ac:dyDescent="0.25">
      <c r="A74" s="23">
        <v>44980</v>
      </c>
      <c r="B74" s="14">
        <f t="shared" si="2"/>
        <v>1111</v>
      </c>
      <c r="C74" s="25"/>
      <c r="D74" s="34" t="s">
        <v>13</v>
      </c>
      <c r="E74" s="21">
        <v>2419</v>
      </c>
      <c r="F74" s="22">
        <v>44981</v>
      </c>
      <c r="G74" s="31">
        <v>2419</v>
      </c>
      <c r="H74" s="19">
        <f t="shared" si="0"/>
        <v>0</v>
      </c>
    </row>
    <row r="75" spans="1:8" ht="31.5" x14ac:dyDescent="0.25">
      <c r="A75" s="23">
        <v>44981</v>
      </c>
      <c r="B75" s="14">
        <f t="shared" si="2"/>
        <v>1112</v>
      </c>
      <c r="C75" s="25"/>
      <c r="D75" s="34" t="s">
        <v>15</v>
      </c>
      <c r="E75" s="21">
        <v>1750</v>
      </c>
      <c r="F75" s="22" t="s">
        <v>58</v>
      </c>
      <c r="G75" s="31">
        <f>1000+750</f>
        <v>1750</v>
      </c>
      <c r="H75" s="19">
        <f t="shared" si="0"/>
        <v>0</v>
      </c>
    </row>
    <row r="76" spans="1:8" ht="18.75" customHeight="1" x14ac:dyDescent="0.25">
      <c r="A76" s="23">
        <v>44981</v>
      </c>
      <c r="B76" s="14">
        <f t="shared" si="2"/>
        <v>1113</v>
      </c>
      <c r="C76" s="25"/>
      <c r="D76" s="34" t="s">
        <v>13</v>
      </c>
      <c r="E76" s="21">
        <v>3091</v>
      </c>
      <c r="F76" s="22">
        <v>44982</v>
      </c>
      <c r="G76" s="31">
        <v>3091</v>
      </c>
      <c r="H76" s="19">
        <f t="shared" si="0"/>
        <v>0</v>
      </c>
    </row>
    <row r="77" spans="1:8" ht="18.75" customHeight="1" x14ac:dyDescent="0.25">
      <c r="A77" s="23">
        <v>44981</v>
      </c>
      <c r="B77" s="14">
        <f t="shared" si="2"/>
        <v>1114</v>
      </c>
      <c r="C77" s="25"/>
      <c r="D77" s="34" t="s">
        <v>24</v>
      </c>
      <c r="E77" s="21">
        <v>8100</v>
      </c>
      <c r="F77" s="64">
        <v>44990</v>
      </c>
      <c r="G77" s="65">
        <v>8100</v>
      </c>
      <c r="H77" s="19">
        <f t="shared" si="0"/>
        <v>0</v>
      </c>
    </row>
    <row r="78" spans="1:8" ht="18.75" customHeight="1" x14ac:dyDescent="0.25">
      <c r="A78" s="23">
        <v>44981</v>
      </c>
      <c r="B78" s="14">
        <f t="shared" si="2"/>
        <v>1115</v>
      </c>
      <c r="C78" s="25"/>
      <c r="D78" s="34" t="s">
        <v>19</v>
      </c>
      <c r="E78" s="21">
        <v>5125</v>
      </c>
      <c r="F78" s="22">
        <v>44982</v>
      </c>
      <c r="G78" s="31">
        <v>5125</v>
      </c>
      <c r="H78" s="19">
        <f t="shared" si="0"/>
        <v>0</v>
      </c>
    </row>
    <row r="79" spans="1:8" ht="18.75" customHeight="1" x14ac:dyDescent="0.25">
      <c r="A79" s="23">
        <v>44981</v>
      </c>
      <c r="B79" s="14">
        <f t="shared" si="2"/>
        <v>1116</v>
      </c>
      <c r="C79" s="25"/>
      <c r="D79" s="34" t="s">
        <v>25</v>
      </c>
      <c r="E79" s="21">
        <v>11200</v>
      </c>
      <c r="F79" s="22">
        <v>44984</v>
      </c>
      <c r="G79" s="31">
        <v>11200</v>
      </c>
      <c r="H79" s="19">
        <f t="shared" si="0"/>
        <v>0</v>
      </c>
    </row>
    <row r="80" spans="1:8" ht="18.75" customHeight="1" x14ac:dyDescent="0.25">
      <c r="A80" s="23">
        <v>44982</v>
      </c>
      <c r="B80" s="14">
        <f t="shared" si="2"/>
        <v>1117</v>
      </c>
      <c r="C80" s="25"/>
      <c r="D80" s="34" t="s">
        <v>14</v>
      </c>
      <c r="E80" s="21">
        <v>4889</v>
      </c>
      <c r="F80" s="22">
        <v>44982</v>
      </c>
      <c r="G80" s="31">
        <v>4889</v>
      </c>
      <c r="H80" s="19">
        <f t="shared" si="0"/>
        <v>0</v>
      </c>
    </row>
    <row r="81" spans="1:9" ht="47.25" x14ac:dyDescent="0.25">
      <c r="A81" s="23">
        <v>44982</v>
      </c>
      <c r="B81" s="14">
        <f t="shared" si="2"/>
        <v>1118</v>
      </c>
      <c r="C81" s="25"/>
      <c r="D81" s="34" t="s">
        <v>15</v>
      </c>
      <c r="E81" s="21">
        <v>3115</v>
      </c>
      <c r="F81" s="64" t="s">
        <v>60</v>
      </c>
      <c r="G81" s="65">
        <f>1000+1900+215</f>
        <v>3115</v>
      </c>
      <c r="H81" s="19">
        <f t="shared" si="0"/>
        <v>0</v>
      </c>
    </row>
    <row r="82" spans="1:9" ht="18.75" customHeight="1" x14ac:dyDescent="0.25">
      <c r="A82" s="23">
        <v>44982</v>
      </c>
      <c r="B82" s="14">
        <f t="shared" si="2"/>
        <v>1119</v>
      </c>
      <c r="C82" s="25"/>
      <c r="D82" s="34" t="s">
        <v>13</v>
      </c>
      <c r="E82" s="21">
        <v>4897</v>
      </c>
      <c r="F82" s="22">
        <v>44985</v>
      </c>
      <c r="G82" s="31">
        <v>4897</v>
      </c>
      <c r="H82" s="19">
        <f t="shared" si="0"/>
        <v>0</v>
      </c>
    </row>
    <row r="83" spans="1:9" ht="18.75" customHeight="1" x14ac:dyDescent="0.25">
      <c r="A83" s="23">
        <v>44982</v>
      </c>
      <c r="B83" s="14">
        <f t="shared" si="2"/>
        <v>1120</v>
      </c>
      <c r="C83" s="25"/>
      <c r="D83" s="34" t="s">
        <v>14</v>
      </c>
      <c r="E83" s="21">
        <v>948</v>
      </c>
      <c r="F83" s="22">
        <v>44982</v>
      </c>
      <c r="G83" s="31">
        <v>948</v>
      </c>
      <c r="H83" s="19">
        <f t="shared" si="0"/>
        <v>0</v>
      </c>
    </row>
    <row r="84" spans="1:9" ht="18.75" customHeight="1" x14ac:dyDescent="0.25">
      <c r="A84" s="23">
        <v>44982</v>
      </c>
      <c r="B84" s="14">
        <f t="shared" si="2"/>
        <v>1121</v>
      </c>
      <c r="C84" s="25"/>
      <c r="D84" s="34" t="s">
        <v>12</v>
      </c>
      <c r="E84" s="21">
        <v>3828</v>
      </c>
      <c r="F84" s="64">
        <v>44986</v>
      </c>
      <c r="G84" s="65">
        <v>3828</v>
      </c>
      <c r="H84" s="19">
        <f t="shared" si="0"/>
        <v>0</v>
      </c>
    </row>
    <row r="85" spans="1:9" ht="18.75" customHeight="1" x14ac:dyDescent="0.25">
      <c r="A85" s="23">
        <v>44983</v>
      </c>
      <c r="B85" s="14">
        <f t="shared" si="2"/>
        <v>1122</v>
      </c>
      <c r="C85" s="25"/>
      <c r="D85" s="34" t="s">
        <v>15</v>
      </c>
      <c r="E85" s="21">
        <v>1121</v>
      </c>
      <c r="F85" s="22">
        <v>44985</v>
      </c>
      <c r="G85" s="31">
        <v>1121</v>
      </c>
      <c r="H85" s="19">
        <f t="shared" si="0"/>
        <v>0</v>
      </c>
    </row>
    <row r="86" spans="1:9" ht="18.75" customHeight="1" x14ac:dyDescent="0.25">
      <c r="A86" s="23">
        <v>44983</v>
      </c>
      <c r="B86" s="14">
        <f t="shared" si="2"/>
        <v>1123</v>
      </c>
      <c r="C86" s="25"/>
      <c r="D86" s="34" t="s">
        <v>13</v>
      </c>
      <c r="E86" s="21">
        <v>5494</v>
      </c>
      <c r="F86" s="22">
        <v>44984</v>
      </c>
      <c r="G86" s="31">
        <v>5494</v>
      </c>
      <c r="H86" s="19">
        <f t="shared" si="0"/>
        <v>0</v>
      </c>
    </row>
    <row r="87" spans="1:9" ht="18.75" customHeight="1" x14ac:dyDescent="0.25">
      <c r="A87" s="23">
        <v>44984</v>
      </c>
      <c r="B87" s="14">
        <f t="shared" si="2"/>
        <v>1124</v>
      </c>
      <c r="C87" s="25"/>
      <c r="D87" s="34" t="s">
        <v>15</v>
      </c>
      <c r="E87" s="21">
        <v>1115</v>
      </c>
      <c r="F87" s="22">
        <v>44985</v>
      </c>
      <c r="G87" s="31">
        <v>1115</v>
      </c>
      <c r="H87" s="19">
        <f t="shared" si="0"/>
        <v>0</v>
      </c>
    </row>
    <row r="88" spans="1:9" ht="18.75" customHeight="1" x14ac:dyDescent="0.25">
      <c r="A88" s="23">
        <v>44984</v>
      </c>
      <c r="B88" s="14">
        <f t="shared" si="2"/>
        <v>1125</v>
      </c>
      <c r="C88" s="25"/>
      <c r="D88" s="34" t="s">
        <v>57</v>
      </c>
      <c r="E88" s="21">
        <v>3175</v>
      </c>
      <c r="F88" s="64">
        <v>44986</v>
      </c>
      <c r="G88" s="65">
        <v>3175</v>
      </c>
      <c r="H88" s="19">
        <f t="shared" si="0"/>
        <v>0</v>
      </c>
    </row>
    <row r="89" spans="1:9" ht="31.5" x14ac:dyDescent="0.25">
      <c r="A89" s="23">
        <v>44985</v>
      </c>
      <c r="B89" s="14">
        <f t="shared" si="2"/>
        <v>1126</v>
      </c>
      <c r="C89" s="25"/>
      <c r="D89" s="34" t="s">
        <v>14</v>
      </c>
      <c r="E89" s="21">
        <v>5163</v>
      </c>
      <c r="F89" s="64" t="s">
        <v>61</v>
      </c>
      <c r="G89" s="65">
        <f>5000+163</f>
        <v>5163</v>
      </c>
      <c r="H89" s="19">
        <f t="shared" si="0"/>
        <v>0</v>
      </c>
    </row>
    <row r="90" spans="1:9" ht="18.75" customHeight="1" x14ac:dyDescent="0.25">
      <c r="A90" s="23">
        <v>44985</v>
      </c>
      <c r="B90" s="14">
        <f t="shared" si="2"/>
        <v>1127</v>
      </c>
      <c r="C90" s="25"/>
      <c r="D90" s="34" t="s">
        <v>15</v>
      </c>
      <c r="E90" s="21">
        <v>2404</v>
      </c>
      <c r="F90" s="64" t="s">
        <v>63</v>
      </c>
      <c r="G90" s="65">
        <f>1404+1000</f>
        <v>2404</v>
      </c>
      <c r="H90" s="19">
        <f t="shared" si="0"/>
        <v>0</v>
      </c>
    </row>
    <row r="91" spans="1:9" ht="18.75" customHeight="1" x14ac:dyDescent="0.25">
      <c r="A91" s="23">
        <v>44985</v>
      </c>
      <c r="B91" s="14">
        <f t="shared" si="2"/>
        <v>1128</v>
      </c>
      <c r="C91" s="25"/>
      <c r="D91" s="34" t="s">
        <v>24</v>
      </c>
      <c r="E91" s="21">
        <v>3240</v>
      </c>
      <c r="F91" s="64">
        <v>44990</v>
      </c>
      <c r="G91" s="65">
        <v>3240</v>
      </c>
      <c r="H91" s="19">
        <f t="shared" si="0"/>
        <v>0</v>
      </c>
    </row>
    <row r="92" spans="1:9" ht="18.75" customHeight="1" x14ac:dyDescent="0.25">
      <c r="A92" s="23"/>
      <c r="B92" s="14"/>
      <c r="C92" s="25"/>
      <c r="D92" s="34"/>
      <c r="E92" s="21"/>
      <c r="F92" s="22"/>
      <c r="G92" s="31"/>
      <c r="H92" s="19">
        <f t="shared" si="0"/>
        <v>0</v>
      </c>
    </row>
    <row r="93" spans="1:9" ht="18.75" customHeight="1" x14ac:dyDescent="0.25">
      <c r="A93" s="23"/>
      <c r="B93" s="14"/>
      <c r="C93" s="25"/>
      <c r="D93" s="34"/>
      <c r="E93" s="21"/>
      <c r="F93" s="22"/>
      <c r="G93" s="31"/>
      <c r="H93" s="19">
        <f t="shared" si="0"/>
        <v>0</v>
      </c>
    </row>
    <row r="94" spans="1:9" x14ac:dyDescent="0.25">
      <c r="B94" s="41"/>
      <c r="C94" s="42"/>
      <c r="D94" s="2"/>
      <c r="E94" s="43">
        <f>SUM(E4:E93)</f>
        <v>411532</v>
      </c>
      <c r="F94" s="44"/>
      <c r="G94" s="44">
        <f>SUM(G4:G93)</f>
        <v>411532</v>
      </c>
      <c r="H94" s="45">
        <f>SUM(H4:H93)</f>
        <v>0</v>
      </c>
      <c r="I94" s="2"/>
    </row>
    <row r="95" spans="1:9" x14ac:dyDescent="0.25">
      <c r="B95" s="41"/>
      <c r="C95" s="42"/>
      <c r="D95" s="2"/>
      <c r="E95" s="46"/>
      <c r="F95" s="47"/>
      <c r="G95" s="61"/>
      <c r="H95" s="48"/>
      <c r="I95" s="2"/>
    </row>
    <row r="96" spans="1:9" ht="31.5" x14ac:dyDescent="0.25">
      <c r="B96" s="41"/>
      <c r="C96" s="42"/>
      <c r="D96" s="2"/>
      <c r="E96" s="49" t="s">
        <v>8</v>
      </c>
      <c r="F96" s="47"/>
      <c r="G96" s="50" t="s">
        <v>9</v>
      </c>
      <c r="H96" s="48"/>
      <c r="I96" s="2"/>
    </row>
    <row r="97" spans="1:9" ht="16.5" thickBot="1" x14ac:dyDescent="0.3">
      <c r="B97" s="41"/>
      <c r="C97" s="42"/>
      <c r="D97" s="2"/>
      <c r="E97" s="49"/>
      <c r="F97" s="47"/>
      <c r="G97" s="50"/>
      <c r="H97" s="48"/>
      <c r="I97" s="2"/>
    </row>
    <row r="98" spans="1:9" ht="21.75" thickBot="1" x14ac:dyDescent="0.4">
      <c r="B98" s="41"/>
      <c r="C98" s="42"/>
      <c r="D98" s="2"/>
      <c r="E98" s="93">
        <f>E94-G94</f>
        <v>0</v>
      </c>
      <c r="F98" s="94"/>
      <c r="G98" s="95"/>
      <c r="I98" s="2"/>
    </row>
    <row r="99" spans="1:9" x14ac:dyDescent="0.25">
      <c r="B99" s="41"/>
      <c r="C99" s="42"/>
      <c r="D99" s="2"/>
      <c r="E99" s="46"/>
      <c r="F99" s="47"/>
      <c r="G99" s="61"/>
      <c r="I99" s="2"/>
    </row>
    <row r="100" spans="1:9" ht="18.75" x14ac:dyDescent="0.3">
      <c r="B100" s="41"/>
      <c r="C100" s="42"/>
      <c r="D100" s="2"/>
      <c r="E100" s="96" t="s">
        <v>10</v>
      </c>
      <c r="F100" s="96"/>
      <c r="G100" s="96"/>
      <c r="I100" s="2"/>
    </row>
    <row r="101" spans="1:9" x14ac:dyDescent="0.25">
      <c r="B101" s="41"/>
      <c r="C101" s="42"/>
      <c r="D101" s="2"/>
      <c r="E101" s="46"/>
      <c r="F101" s="47"/>
      <c r="G101" s="61"/>
      <c r="I101" s="2"/>
    </row>
    <row r="102" spans="1:9" ht="18.75" x14ac:dyDescent="0.3">
      <c r="A102" s="23"/>
      <c r="B102" s="14"/>
      <c r="C102" s="25"/>
      <c r="D102" s="51"/>
      <c r="E102" s="52"/>
      <c r="F102" s="53"/>
      <c r="G102" s="62"/>
      <c r="I102" s="2"/>
    </row>
    <row r="103" spans="1:9" x14ac:dyDescent="0.25">
      <c r="B103" s="41"/>
      <c r="C103" s="42"/>
      <c r="D103" s="2"/>
      <c r="E103" s="46"/>
      <c r="F103" s="47"/>
      <c r="G103" s="61"/>
      <c r="I103" s="2"/>
    </row>
    <row r="104" spans="1:9" x14ac:dyDescent="0.25">
      <c r="B104" s="41"/>
      <c r="C104" s="42"/>
      <c r="D104" s="2"/>
      <c r="E104" s="46"/>
      <c r="F104" s="47"/>
      <c r="G104" s="61"/>
      <c r="I104" s="2"/>
    </row>
    <row r="105" spans="1:9" x14ac:dyDescent="0.25">
      <c r="B105" s="41"/>
      <c r="C105" s="42"/>
      <c r="D105" s="2"/>
      <c r="E105" s="46"/>
      <c r="F105" s="47"/>
      <c r="G105" s="61"/>
      <c r="I105" s="2"/>
    </row>
    <row r="106" spans="1:9" x14ac:dyDescent="0.25">
      <c r="B106" s="41"/>
      <c r="C106" s="42"/>
      <c r="D106" s="2"/>
      <c r="E106" s="46"/>
      <c r="F106" s="47"/>
      <c r="G106" s="61"/>
      <c r="I106" s="2"/>
    </row>
    <row r="107" spans="1:9" x14ac:dyDescent="0.25">
      <c r="B107" s="41"/>
      <c r="C107" s="42"/>
      <c r="D107" s="2"/>
      <c r="E107" s="46"/>
      <c r="F107" s="47"/>
      <c r="G107" s="61"/>
      <c r="I107" s="2"/>
    </row>
    <row r="108" spans="1:9" x14ac:dyDescent="0.25">
      <c r="B108" s="41"/>
      <c r="C108" s="42"/>
      <c r="D108" s="2"/>
      <c r="E108" s="46"/>
      <c r="F108" s="47"/>
      <c r="G108" s="61"/>
      <c r="I108" s="2"/>
    </row>
    <row r="109" spans="1:9" x14ac:dyDescent="0.25">
      <c r="B109" s="41"/>
      <c r="C109" s="42"/>
      <c r="D109" s="2"/>
      <c r="E109" s="46"/>
      <c r="F109" s="47"/>
      <c r="G109" s="61"/>
      <c r="I109" s="2"/>
    </row>
    <row r="110" spans="1:9" x14ac:dyDescent="0.25">
      <c r="B110" s="41"/>
      <c r="C110" s="42"/>
      <c r="D110" s="2"/>
      <c r="E110" s="46"/>
      <c r="F110" s="47"/>
      <c r="G110" s="61"/>
      <c r="I110" s="2"/>
    </row>
    <row r="111" spans="1:9" x14ac:dyDescent="0.25">
      <c r="B111" s="41"/>
      <c r="C111" s="42"/>
      <c r="D111" s="2"/>
      <c r="E111" s="46"/>
      <c r="F111" s="47"/>
      <c r="G111" s="61"/>
      <c r="I111" s="2"/>
    </row>
  </sheetData>
  <mergeCells count="4">
    <mergeCell ref="B1:G1"/>
    <mergeCell ref="B2:F2"/>
    <mergeCell ref="E98:G98"/>
    <mergeCell ref="E100:G100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115"/>
  <sheetViews>
    <sheetView workbookViewId="0">
      <pane xSplit="3" ySplit="3" topLeftCell="D94" activePane="bottomRight" state="frozen"/>
      <selection pane="topRight" activeCell="D1" sqref="D1"/>
      <selection pane="bottomLeft" activeCell="A4" sqref="A4"/>
      <selection pane="bottomRight" activeCell="D102" sqref="D102"/>
    </sheetView>
  </sheetViews>
  <sheetFormatPr baseColWidth="10" defaultRowHeight="15.75" x14ac:dyDescent="0.25"/>
  <cols>
    <col min="1" max="1" width="11.42578125" style="1"/>
    <col min="2" max="2" width="13.140625" style="54" customWidth="1"/>
    <col min="3" max="3" width="9.85546875" style="55" hidden="1" customWidth="1"/>
    <col min="4" max="4" width="34.28515625" customWidth="1"/>
    <col min="5" max="5" width="15.85546875" style="56" bestFit="1" customWidth="1"/>
    <col min="6" max="6" width="13.28515625" style="57" customWidth="1"/>
    <col min="7" max="7" width="18" style="63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19.5" thickBot="1" x14ac:dyDescent="0.35">
      <c r="B1" s="89" t="s">
        <v>59</v>
      </c>
      <c r="C1" s="90"/>
      <c r="D1" s="90"/>
      <c r="E1" s="90"/>
      <c r="F1" s="90"/>
      <c r="G1" s="91"/>
      <c r="I1" s="2"/>
    </row>
    <row r="2" spans="1:9" ht="21" x14ac:dyDescent="0.35">
      <c r="A2" s="3"/>
      <c r="B2" s="92" t="s">
        <v>0</v>
      </c>
      <c r="C2" s="92"/>
      <c r="D2" s="92"/>
      <c r="E2" s="92"/>
      <c r="F2" s="92"/>
      <c r="G2" s="58"/>
      <c r="H2" s="4"/>
      <c r="I2" s="2"/>
    </row>
    <row r="3" spans="1:9" ht="46.5" thickBot="1" x14ac:dyDescent="0.35">
      <c r="A3" s="5"/>
      <c r="B3" s="6" t="s">
        <v>1</v>
      </c>
      <c r="C3" s="7" t="s">
        <v>2</v>
      </c>
      <c r="D3" s="8" t="s">
        <v>3</v>
      </c>
      <c r="E3" s="9" t="s">
        <v>4</v>
      </c>
      <c r="F3" s="10" t="s">
        <v>5</v>
      </c>
      <c r="G3" s="11" t="s">
        <v>6</v>
      </c>
      <c r="H3" s="12" t="s">
        <v>7</v>
      </c>
      <c r="I3" s="2"/>
    </row>
    <row r="4" spans="1:9" ht="16.5" thickTop="1" x14ac:dyDescent="0.25">
      <c r="A4" s="13">
        <v>44986</v>
      </c>
      <c r="B4" s="14">
        <v>1129</v>
      </c>
      <c r="C4" s="15"/>
      <c r="D4" s="16" t="s">
        <v>13</v>
      </c>
      <c r="E4" s="17">
        <v>2150</v>
      </c>
      <c r="F4" s="18">
        <v>44987</v>
      </c>
      <c r="G4" s="59">
        <v>2150</v>
      </c>
      <c r="H4" s="19">
        <f t="shared" ref="H4:H97" si="0">E4-G4</f>
        <v>0</v>
      </c>
      <c r="I4" s="2"/>
    </row>
    <row r="5" spans="1:9" x14ac:dyDescent="0.25">
      <c r="A5" s="13">
        <v>44987</v>
      </c>
      <c r="B5" s="14">
        <v>1130</v>
      </c>
      <c r="C5" s="15"/>
      <c r="D5" s="20" t="s">
        <v>19</v>
      </c>
      <c r="E5" s="21">
        <v>12995</v>
      </c>
      <c r="F5" s="22">
        <v>44988</v>
      </c>
      <c r="G5" s="31">
        <v>12995</v>
      </c>
      <c r="H5" s="19">
        <f t="shared" si="0"/>
        <v>0</v>
      </c>
    </row>
    <row r="6" spans="1:9" x14ac:dyDescent="0.25">
      <c r="A6" s="13">
        <v>44987</v>
      </c>
      <c r="B6" s="14">
        <f t="shared" ref="B6:B69" si="1">B5+1</f>
        <v>1131</v>
      </c>
      <c r="C6" s="15"/>
      <c r="D6" s="20" t="s">
        <v>15</v>
      </c>
      <c r="E6" s="21">
        <v>708</v>
      </c>
      <c r="F6" s="22">
        <v>44988</v>
      </c>
      <c r="G6" s="31">
        <v>708</v>
      </c>
      <c r="H6" s="19">
        <f t="shared" si="0"/>
        <v>0</v>
      </c>
    </row>
    <row r="7" spans="1:9" x14ac:dyDescent="0.25">
      <c r="A7" s="23">
        <v>44987</v>
      </c>
      <c r="B7" s="14">
        <f t="shared" si="1"/>
        <v>1132</v>
      </c>
      <c r="C7" s="15"/>
      <c r="D7" s="20" t="s">
        <v>13</v>
      </c>
      <c r="E7" s="21">
        <v>2632</v>
      </c>
      <c r="F7" s="22">
        <v>44988</v>
      </c>
      <c r="G7" s="31">
        <v>2632</v>
      </c>
      <c r="H7" s="19">
        <f t="shared" si="0"/>
        <v>0</v>
      </c>
    </row>
    <row r="8" spans="1:9" x14ac:dyDescent="0.25">
      <c r="A8" s="13">
        <v>44988</v>
      </c>
      <c r="B8" s="14">
        <f t="shared" si="1"/>
        <v>1133</v>
      </c>
      <c r="C8" s="15"/>
      <c r="D8" s="24" t="s">
        <v>15</v>
      </c>
      <c r="E8" s="21">
        <v>1531</v>
      </c>
      <c r="F8" s="22">
        <v>44990</v>
      </c>
      <c r="G8" s="31">
        <v>1531</v>
      </c>
      <c r="H8" s="19">
        <f t="shared" si="0"/>
        <v>0</v>
      </c>
    </row>
    <row r="9" spans="1:9" x14ac:dyDescent="0.25">
      <c r="A9" s="13">
        <v>44988</v>
      </c>
      <c r="B9" s="14">
        <f t="shared" si="1"/>
        <v>1134</v>
      </c>
      <c r="C9" s="15"/>
      <c r="D9" s="20" t="s">
        <v>13</v>
      </c>
      <c r="E9" s="21">
        <v>3965</v>
      </c>
      <c r="F9" s="22">
        <v>44989</v>
      </c>
      <c r="G9" s="31">
        <v>3965</v>
      </c>
      <c r="H9" s="19">
        <f t="shared" si="0"/>
        <v>0</v>
      </c>
    </row>
    <row r="10" spans="1:9" x14ac:dyDescent="0.25">
      <c r="A10" s="13">
        <v>44988</v>
      </c>
      <c r="B10" s="14">
        <f t="shared" si="1"/>
        <v>1135</v>
      </c>
      <c r="C10" s="15"/>
      <c r="D10" s="20" t="s">
        <v>24</v>
      </c>
      <c r="E10" s="21">
        <v>11190</v>
      </c>
      <c r="F10" s="22">
        <v>44997</v>
      </c>
      <c r="G10" s="31">
        <v>11190</v>
      </c>
      <c r="H10" s="19">
        <f t="shared" si="0"/>
        <v>0</v>
      </c>
    </row>
    <row r="11" spans="1:9" ht="31.5" x14ac:dyDescent="0.25">
      <c r="A11" s="13">
        <v>44988</v>
      </c>
      <c r="B11" s="14">
        <f t="shared" si="1"/>
        <v>1136</v>
      </c>
      <c r="C11" s="15"/>
      <c r="D11" s="20" t="s">
        <v>14</v>
      </c>
      <c r="E11" s="21">
        <v>646</v>
      </c>
      <c r="F11" s="22" t="s">
        <v>63</v>
      </c>
      <c r="G11" s="31">
        <f>446+200</f>
        <v>646</v>
      </c>
      <c r="H11" s="19">
        <f t="shared" si="0"/>
        <v>0</v>
      </c>
    </row>
    <row r="12" spans="1:9" ht="47.25" x14ac:dyDescent="0.25">
      <c r="A12" s="13">
        <v>44989</v>
      </c>
      <c r="B12" s="14">
        <f t="shared" si="1"/>
        <v>1137</v>
      </c>
      <c r="C12" s="25"/>
      <c r="D12" s="20" t="s">
        <v>15</v>
      </c>
      <c r="E12" s="21">
        <v>3147</v>
      </c>
      <c r="F12" s="22" t="s">
        <v>64</v>
      </c>
      <c r="G12" s="31">
        <f>1000+600+1547</f>
        <v>3147</v>
      </c>
      <c r="H12" s="19">
        <f t="shared" si="0"/>
        <v>0</v>
      </c>
    </row>
    <row r="13" spans="1:9" x14ac:dyDescent="0.25">
      <c r="A13" s="13">
        <v>44989</v>
      </c>
      <c r="B13" s="14">
        <f t="shared" si="1"/>
        <v>1138</v>
      </c>
      <c r="C13" s="26"/>
      <c r="D13" s="20" t="s">
        <v>19</v>
      </c>
      <c r="E13" s="21">
        <v>9039</v>
      </c>
      <c r="F13" s="22">
        <v>44990</v>
      </c>
      <c r="G13" s="31">
        <v>9039</v>
      </c>
      <c r="H13" s="19">
        <f t="shared" si="0"/>
        <v>0</v>
      </c>
    </row>
    <row r="14" spans="1:9" x14ac:dyDescent="0.25">
      <c r="A14" s="13">
        <v>44989</v>
      </c>
      <c r="B14" s="14">
        <f t="shared" si="1"/>
        <v>1139</v>
      </c>
      <c r="C14" s="25"/>
      <c r="D14" s="20" t="s">
        <v>13</v>
      </c>
      <c r="E14" s="21">
        <v>4162</v>
      </c>
      <c r="F14" s="22">
        <v>44990</v>
      </c>
      <c r="G14" s="31">
        <v>4162</v>
      </c>
      <c r="H14" s="19">
        <f t="shared" si="0"/>
        <v>0</v>
      </c>
    </row>
    <row r="15" spans="1:9" x14ac:dyDescent="0.25">
      <c r="A15" s="13">
        <v>44989</v>
      </c>
      <c r="B15" s="14">
        <f t="shared" si="1"/>
        <v>1140</v>
      </c>
      <c r="C15" s="26"/>
      <c r="D15" s="20" t="s">
        <v>62</v>
      </c>
      <c r="E15" s="21">
        <v>8712</v>
      </c>
      <c r="F15" s="22">
        <v>44992</v>
      </c>
      <c r="G15" s="31">
        <v>8712</v>
      </c>
      <c r="H15" s="19">
        <f t="shared" si="0"/>
        <v>0</v>
      </c>
    </row>
    <row r="16" spans="1:9" x14ac:dyDescent="0.25">
      <c r="A16" s="13">
        <v>44989</v>
      </c>
      <c r="B16" s="14">
        <f t="shared" si="1"/>
        <v>1141</v>
      </c>
      <c r="C16" s="25"/>
      <c r="D16" s="20" t="s">
        <v>25</v>
      </c>
      <c r="E16" s="21">
        <v>10080</v>
      </c>
      <c r="F16" s="22">
        <v>44991</v>
      </c>
      <c r="G16" s="31">
        <v>10080</v>
      </c>
      <c r="H16" s="19">
        <f t="shared" si="0"/>
        <v>0</v>
      </c>
    </row>
    <row r="17" spans="1:8" x14ac:dyDescent="0.25">
      <c r="A17" s="13">
        <v>44990</v>
      </c>
      <c r="B17" s="14">
        <f t="shared" si="1"/>
        <v>1142</v>
      </c>
      <c r="C17" s="26"/>
      <c r="D17" s="20" t="s">
        <v>15</v>
      </c>
      <c r="E17" s="21">
        <v>1704</v>
      </c>
      <c r="F17" s="22">
        <v>44992</v>
      </c>
      <c r="G17" s="31">
        <v>1704</v>
      </c>
      <c r="H17" s="19">
        <f t="shared" si="0"/>
        <v>0</v>
      </c>
    </row>
    <row r="18" spans="1:8" x14ac:dyDescent="0.25">
      <c r="A18" s="13">
        <v>44990</v>
      </c>
      <c r="B18" s="14">
        <f t="shared" si="1"/>
        <v>1143</v>
      </c>
      <c r="C18" s="25"/>
      <c r="D18" s="20" t="s">
        <v>13</v>
      </c>
      <c r="E18" s="21">
        <v>4730</v>
      </c>
      <c r="F18" s="22">
        <v>44991</v>
      </c>
      <c r="G18" s="31">
        <v>4730</v>
      </c>
      <c r="H18" s="19">
        <f t="shared" si="0"/>
        <v>0</v>
      </c>
    </row>
    <row r="19" spans="1:8" ht="16.5" customHeight="1" x14ac:dyDescent="0.25">
      <c r="A19" s="13">
        <v>44991</v>
      </c>
      <c r="B19" s="14">
        <f t="shared" si="1"/>
        <v>1144</v>
      </c>
      <c r="C19" s="26"/>
      <c r="D19" s="20" t="s">
        <v>19</v>
      </c>
      <c r="E19" s="21">
        <v>16637</v>
      </c>
      <c r="F19" s="22">
        <v>44992</v>
      </c>
      <c r="G19" s="31">
        <v>16637</v>
      </c>
      <c r="H19" s="19">
        <f t="shared" si="0"/>
        <v>0</v>
      </c>
    </row>
    <row r="20" spans="1:8" x14ac:dyDescent="0.25">
      <c r="A20" s="13">
        <v>44991</v>
      </c>
      <c r="B20" s="14">
        <f t="shared" si="1"/>
        <v>1145</v>
      </c>
      <c r="C20" s="25"/>
      <c r="D20" s="20" t="s">
        <v>12</v>
      </c>
      <c r="E20" s="21">
        <v>461</v>
      </c>
      <c r="F20" s="22">
        <v>44993</v>
      </c>
      <c r="G20" s="31">
        <v>461</v>
      </c>
      <c r="H20" s="19">
        <f t="shared" si="0"/>
        <v>0</v>
      </c>
    </row>
    <row r="21" spans="1:8" x14ac:dyDescent="0.25">
      <c r="A21" s="13">
        <v>44991</v>
      </c>
      <c r="B21" s="14">
        <f t="shared" si="1"/>
        <v>1146</v>
      </c>
      <c r="C21" s="25"/>
      <c r="D21" s="20" t="s">
        <v>15</v>
      </c>
      <c r="E21" s="21">
        <v>1644</v>
      </c>
      <c r="F21" s="22">
        <v>44992</v>
      </c>
      <c r="G21" s="31">
        <v>1644</v>
      </c>
      <c r="H21" s="19">
        <f t="shared" si="0"/>
        <v>0</v>
      </c>
    </row>
    <row r="22" spans="1:8" x14ac:dyDescent="0.25">
      <c r="A22" s="13">
        <v>44991</v>
      </c>
      <c r="B22" s="14">
        <f t="shared" si="1"/>
        <v>1147</v>
      </c>
      <c r="C22" s="25"/>
      <c r="D22" s="20" t="s">
        <v>19</v>
      </c>
      <c r="E22" s="21">
        <v>11472</v>
      </c>
      <c r="F22" s="22">
        <v>44992</v>
      </c>
      <c r="G22" s="31">
        <v>11472</v>
      </c>
      <c r="H22" s="19">
        <f t="shared" si="0"/>
        <v>0</v>
      </c>
    </row>
    <row r="23" spans="1:8" x14ac:dyDescent="0.25">
      <c r="A23" s="13">
        <v>44991</v>
      </c>
      <c r="B23" s="14">
        <f t="shared" si="1"/>
        <v>1148</v>
      </c>
      <c r="C23" s="25"/>
      <c r="D23" s="20" t="s">
        <v>13</v>
      </c>
      <c r="E23" s="21">
        <v>4317</v>
      </c>
      <c r="F23" s="22">
        <v>44992</v>
      </c>
      <c r="G23" s="31">
        <v>4317</v>
      </c>
      <c r="H23" s="19">
        <f t="shared" si="0"/>
        <v>0</v>
      </c>
    </row>
    <row r="24" spans="1:8" ht="31.5" x14ac:dyDescent="0.25">
      <c r="A24" s="13">
        <v>44992</v>
      </c>
      <c r="B24" s="14">
        <f t="shared" si="1"/>
        <v>1149</v>
      </c>
      <c r="C24" s="25"/>
      <c r="D24" s="20" t="s">
        <v>14</v>
      </c>
      <c r="E24" s="21">
        <v>1783</v>
      </c>
      <c r="F24" s="22" t="s">
        <v>65</v>
      </c>
      <c r="G24" s="31">
        <f>1341+442</f>
        <v>1783</v>
      </c>
      <c r="H24" s="19">
        <f t="shared" si="0"/>
        <v>0</v>
      </c>
    </row>
    <row r="25" spans="1:8" ht="31.5" x14ac:dyDescent="0.25">
      <c r="A25" s="13">
        <v>44992</v>
      </c>
      <c r="B25" s="14">
        <f t="shared" si="1"/>
        <v>1150</v>
      </c>
      <c r="C25" s="25"/>
      <c r="D25" s="20" t="s">
        <v>15</v>
      </c>
      <c r="E25" s="21">
        <v>4078</v>
      </c>
      <c r="F25" s="22" t="s">
        <v>66</v>
      </c>
      <c r="G25" s="31">
        <f>2400+1678</f>
        <v>4078</v>
      </c>
      <c r="H25" s="19">
        <f t="shared" si="0"/>
        <v>0</v>
      </c>
    </row>
    <row r="26" spans="1:8" x14ac:dyDescent="0.25">
      <c r="A26" s="13">
        <v>44992</v>
      </c>
      <c r="B26" s="14">
        <f t="shared" si="1"/>
        <v>1151</v>
      </c>
      <c r="C26" s="25"/>
      <c r="D26" s="20" t="s">
        <v>13</v>
      </c>
      <c r="E26" s="21">
        <v>4981</v>
      </c>
      <c r="F26" s="22">
        <v>44994</v>
      </c>
      <c r="G26" s="31">
        <v>4981</v>
      </c>
      <c r="H26" s="19">
        <f t="shared" si="0"/>
        <v>0</v>
      </c>
    </row>
    <row r="27" spans="1:8" ht="31.5" x14ac:dyDescent="0.25">
      <c r="A27" s="13">
        <v>44992</v>
      </c>
      <c r="B27" s="14">
        <f t="shared" si="1"/>
        <v>1152</v>
      </c>
      <c r="C27" s="25"/>
      <c r="D27" s="20" t="s">
        <v>19</v>
      </c>
      <c r="E27" s="21">
        <v>11558</v>
      </c>
      <c r="F27" s="22" t="s">
        <v>68</v>
      </c>
      <c r="G27" s="31">
        <f>5000+6558</f>
        <v>11558</v>
      </c>
      <c r="H27" s="19">
        <f t="shared" si="0"/>
        <v>0</v>
      </c>
    </row>
    <row r="28" spans="1:8" ht="27.75" customHeight="1" x14ac:dyDescent="0.25">
      <c r="A28" s="13">
        <v>44992</v>
      </c>
      <c r="B28" s="14">
        <f t="shared" si="1"/>
        <v>1153</v>
      </c>
      <c r="C28" s="25"/>
      <c r="D28" s="20" t="s">
        <v>24</v>
      </c>
      <c r="E28" s="21">
        <v>750</v>
      </c>
      <c r="F28" s="22">
        <v>44997</v>
      </c>
      <c r="G28" s="31">
        <v>750</v>
      </c>
      <c r="H28" s="19">
        <f t="shared" si="0"/>
        <v>0</v>
      </c>
    </row>
    <row r="29" spans="1:8" ht="31.5" x14ac:dyDescent="0.25">
      <c r="A29" s="13">
        <v>44994</v>
      </c>
      <c r="B29" s="14">
        <f t="shared" si="1"/>
        <v>1154</v>
      </c>
      <c r="C29" s="25"/>
      <c r="D29" s="20" t="s">
        <v>15</v>
      </c>
      <c r="E29" s="21">
        <v>2533</v>
      </c>
      <c r="F29" s="22" t="s">
        <v>67</v>
      </c>
      <c r="G29" s="31">
        <f>1000+1533</f>
        <v>2533</v>
      </c>
      <c r="H29" s="19">
        <f t="shared" si="0"/>
        <v>0</v>
      </c>
    </row>
    <row r="30" spans="1:8" x14ac:dyDescent="0.25">
      <c r="A30" s="13">
        <v>44994</v>
      </c>
      <c r="B30" s="14">
        <f t="shared" si="1"/>
        <v>1155</v>
      </c>
      <c r="C30" s="25"/>
      <c r="D30" s="20" t="s">
        <v>13</v>
      </c>
      <c r="E30" s="21">
        <v>3798</v>
      </c>
      <c r="F30" s="22">
        <v>44995</v>
      </c>
      <c r="G30" s="31">
        <v>3798</v>
      </c>
      <c r="H30" s="19">
        <f t="shared" si="0"/>
        <v>0</v>
      </c>
    </row>
    <row r="31" spans="1:8" ht="31.5" x14ac:dyDescent="0.25">
      <c r="A31" s="13">
        <v>44994</v>
      </c>
      <c r="B31" s="14">
        <f t="shared" si="1"/>
        <v>1156</v>
      </c>
      <c r="C31" s="25"/>
      <c r="D31" s="20" t="s">
        <v>14</v>
      </c>
      <c r="E31" s="21">
        <v>4532</v>
      </c>
      <c r="F31" s="22" t="s">
        <v>66</v>
      </c>
      <c r="G31" s="31">
        <f>3558+974</f>
        <v>4532</v>
      </c>
      <c r="H31" s="19">
        <f t="shared" si="0"/>
        <v>0</v>
      </c>
    </row>
    <row r="32" spans="1:8" x14ac:dyDescent="0.25">
      <c r="A32" s="13">
        <v>44995</v>
      </c>
      <c r="B32" s="14">
        <f t="shared" si="1"/>
        <v>1157</v>
      </c>
      <c r="C32" s="25"/>
      <c r="D32" s="20" t="s">
        <v>15</v>
      </c>
      <c r="E32" s="21">
        <v>1387</v>
      </c>
      <c r="F32" s="22" t="s">
        <v>70</v>
      </c>
      <c r="G32" s="31">
        <v>1387</v>
      </c>
      <c r="H32" s="19">
        <f t="shared" si="0"/>
        <v>0</v>
      </c>
    </row>
    <row r="33" spans="1:8" x14ac:dyDescent="0.25">
      <c r="A33" s="13">
        <v>44995</v>
      </c>
      <c r="B33" s="14">
        <f t="shared" si="1"/>
        <v>1158</v>
      </c>
      <c r="C33" s="25"/>
      <c r="D33" s="20" t="s">
        <v>13</v>
      </c>
      <c r="E33" s="21">
        <v>3726</v>
      </c>
      <c r="F33" s="22">
        <v>44996</v>
      </c>
      <c r="G33" s="31">
        <v>3726</v>
      </c>
      <c r="H33" s="19">
        <f t="shared" si="0"/>
        <v>0</v>
      </c>
    </row>
    <row r="34" spans="1:8" x14ac:dyDescent="0.25">
      <c r="A34" s="13">
        <v>44995</v>
      </c>
      <c r="B34" s="14">
        <f t="shared" si="1"/>
        <v>1159</v>
      </c>
      <c r="C34" s="25"/>
      <c r="D34" s="20" t="s">
        <v>17</v>
      </c>
      <c r="E34" s="21">
        <v>13290</v>
      </c>
      <c r="F34" s="22">
        <v>45004</v>
      </c>
      <c r="G34" s="31">
        <v>13290</v>
      </c>
      <c r="H34" s="19">
        <f t="shared" si="0"/>
        <v>0</v>
      </c>
    </row>
    <row r="35" spans="1:8" ht="17.25" customHeight="1" x14ac:dyDescent="0.25">
      <c r="A35" s="13">
        <v>44995</v>
      </c>
      <c r="B35" s="14">
        <f t="shared" si="1"/>
        <v>1160</v>
      </c>
      <c r="C35" s="25"/>
      <c r="D35" s="20" t="s">
        <v>19</v>
      </c>
      <c r="E35" s="21">
        <v>3001</v>
      </c>
      <c r="F35" s="22">
        <v>44997</v>
      </c>
      <c r="G35" s="31">
        <v>3001</v>
      </c>
      <c r="H35" s="19">
        <f t="shared" si="0"/>
        <v>0</v>
      </c>
    </row>
    <row r="36" spans="1:8" ht="31.5" x14ac:dyDescent="0.25">
      <c r="A36" s="13">
        <v>44996</v>
      </c>
      <c r="B36" s="14">
        <f t="shared" si="1"/>
        <v>1161</v>
      </c>
      <c r="C36" s="25"/>
      <c r="D36" s="20" t="s">
        <v>14</v>
      </c>
      <c r="E36" s="21">
        <v>509</v>
      </c>
      <c r="F36" s="22" t="s">
        <v>69</v>
      </c>
      <c r="G36" s="31">
        <f>209+300</f>
        <v>509</v>
      </c>
      <c r="H36" s="19">
        <f t="shared" si="0"/>
        <v>0</v>
      </c>
    </row>
    <row r="37" spans="1:8" x14ac:dyDescent="0.25">
      <c r="A37" s="13">
        <v>44996</v>
      </c>
      <c r="B37" s="14">
        <f t="shared" si="1"/>
        <v>1162</v>
      </c>
      <c r="C37" s="25"/>
      <c r="D37" s="20" t="s">
        <v>19</v>
      </c>
      <c r="E37" s="21">
        <v>13182</v>
      </c>
      <c r="F37" s="22">
        <v>44997</v>
      </c>
      <c r="G37" s="31">
        <v>13182</v>
      </c>
      <c r="H37" s="19">
        <f t="shared" si="0"/>
        <v>0</v>
      </c>
    </row>
    <row r="38" spans="1:8" x14ac:dyDescent="0.25">
      <c r="A38" s="13">
        <v>44996</v>
      </c>
      <c r="B38" s="14">
        <f t="shared" si="1"/>
        <v>1163</v>
      </c>
      <c r="C38" s="25"/>
      <c r="D38" s="20" t="s">
        <v>24</v>
      </c>
      <c r="E38" s="21">
        <v>14500</v>
      </c>
      <c r="F38" s="22">
        <v>44997</v>
      </c>
      <c r="G38" s="31">
        <v>14500</v>
      </c>
      <c r="H38" s="19">
        <f t="shared" si="0"/>
        <v>0</v>
      </c>
    </row>
    <row r="39" spans="1:8" x14ac:dyDescent="0.25">
      <c r="A39" s="13">
        <v>44996</v>
      </c>
      <c r="B39" s="14">
        <f t="shared" si="1"/>
        <v>1164</v>
      </c>
      <c r="C39" s="25"/>
      <c r="D39" s="20" t="s">
        <v>13</v>
      </c>
      <c r="E39" s="21">
        <v>4005</v>
      </c>
      <c r="F39" s="22">
        <v>44997</v>
      </c>
      <c r="G39" s="31">
        <v>4005</v>
      </c>
      <c r="H39" s="19">
        <f t="shared" si="0"/>
        <v>0</v>
      </c>
    </row>
    <row r="40" spans="1:8" x14ac:dyDescent="0.25">
      <c r="A40" s="13">
        <v>44996</v>
      </c>
      <c r="B40" s="14">
        <f t="shared" si="1"/>
        <v>1165</v>
      </c>
      <c r="C40" s="25"/>
      <c r="D40" s="20" t="s">
        <v>25</v>
      </c>
      <c r="E40" s="21">
        <v>9120</v>
      </c>
      <c r="F40" s="22">
        <v>44999</v>
      </c>
      <c r="G40" s="31">
        <v>9120</v>
      </c>
      <c r="H40" s="19">
        <f t="shared" si="0"/>
        <v>0</v>
      </c>
    </row>
    <row r="41" spans="1:8" ht="31.5" x14ac:dyDescent="0.25">
      <c r="A41" s="13">
        <v>44997</v>
      </c>
      <c r="B41" s="14">
        <f t="shared" si="1"/>
        <v>1166</v>
      </c>
      <c r="C41" s="25"/>
      <c r="D41" s="20" t="s">
        <v>15</v>
      </c>
      <c r="E41" s="21">
        <v>2105</v>
      </c>
      <c r="F41" s="22" t="s">
        <v>73</v>
      </c>
      <c r="G41" s="31">
        <f>1800+305</f>
        <v>2105</v>
      </c>
      <c r="H41" s="19">
        <f t="shared" si="0"/>
        <v>0</v>
      </c>
    </row>
    <row r="42" spans="1:8" x14ac:dyDescent="0.25">
      <c r="A42" s="13">
        <v>44997</v>
      </c>
      <c r="B42" s="14">
        <f t="shared" si="1"/>
        <v>1167</v>
      </c>
      <c r="C42" s="25"/>
      <c r="D42" s="20" t="s">
        <v>19</v>
      </c>
      <c r="E42" s="21">
        <v>11502</v>
      </c>
      <c r="F42" s="22">
        <v>45002</v>
      </c>
      <c r="G42" s="31">
        <v>11502</v>
      </c>
      <c r="H42" s="19">
        <f t="shared" si="0"/>
        <v>0</v>
      </c>
    </row>
    <row r="43" spans="1:8" x14ac:dyDescent="0.25">
      <c r="A43" s="13">
        <v>44997</v>
      </c>
      <c r="B43" s="14">
        <f t="shared" si="1"/>
        <v>1168</v>
      </c>
      <c r="C43" s="25"/>
      <c r="D43" s="20" t="s">
        <v>13</v>
      </c>
      <c r="E43" s="21">
        <v>5364</v>
      </c>
      <c r="F43" s="22">
        <v>44998</v>
      </c>
      <c r="G43" s="31">
        <v>5364</v>
      </c>
      <c r="H43" s="19">
        <f t="shared" si="0"/>
        <v>0</v>
      </c>
    </row>
    <row r="44" spans="1:8" ht="47.25" x14ac:dyDescent="0.25">
      <c r="A44" s="13">
        <v>44998</v>
      </c>
      <c r="B44" s="14">
        <f t="shared" si="1"/>
        <v>1169</v>
      </c>
      <c r="C44" s="25"/>
      <c r="D44" s="20" t="s">
        <v>14</v>
      </c>
      <c r="E44" s="21">
        <v>6279</v>
      </c>
      <c r="F44" s="22" t="s">
        <v>74</v>
      </c>
      <c r="G44" s="31">
        <f>4279+1000+1000</f>
        <v>6279</v>
      </c>
      <c r="H44" s="19">
        <f t="shared" si="0"/>
        <v>0</v>
      </c>
    </row>
    <row r="45" spans="1:8" ht="31.5" x14ac:dyDescent="0.25">
      <c r="A45" s="13">
        <v>44998</v>
      </c>
      <c r="B45" s="14">
        <f t="shared" si="1"/>
        <v>1170</v>
      </c>
      <c r="C45" s="25"/>
      <c r="D45" s="20" t="s">
        <v>71</v>
      </c>
      <c r="E45" s="21">
        <v>75575</v>
      </c>
      <c r="F45" s="22" t="s">
        <v>72</v>
      </c>
      <c r="G45" s="31">
        <f>65000+10575</f>
        <v>75575</v>
      </c>
      <c r="H45" s="19">
        <f t="shared" si="0"/>
        <v>0</v>
      </c>
    </row>
    <row r="46" spans="1:8" x14ac:dyDescent="0.25">
      <c r="A46" s="13">
        <v>44998</v>
      </c>
      <c r="B46" s="14">
        <f t="shared" si="1"/>
        <v>1171</v>
      </c>
      <c r="C46" s="25"/>
      <c r="D46" s="20" t="s">
        <v>15</v>
      </c>
      <c r="E46" s="21">
        <v>1283</v>
      </c>
      <c r="F46" s="22">
        <v>45001</v>
      </c>
      <c r="G46" s="31">
        <v>1283</v>
      </c>
      <c r="H46" s="19">
        <f t="shared" si="0"/>
        <v>0</v>
      </c>
    </row>
    <row r="47" spans="1:8" ht="22.5" customHeight="1" x14ac:dyDescent="0.25">
      <c r="A47" s="13">
        <v>44998</v>
      </c>
      <c r="B47" s="14">
        <f t="shared" si="1"/>
        <v>1172</v>
      </c>
      <c r="C47" s="25"/>
      <c r="D47" s="20" t="s">
        <v>13</v>
      </c>
      <c r="E47" s="21">
        <v>4963</v>
      </c>
      <c r="F47" s="22">
        <v>44999</v>
      </c>
      <c r="G47" s="31">
        <v>4963</v>
      </c>
      <c r="H47" s="19">
        <f t="shared" si="0"/>
        <v>0</v>
      </c>
    </row>
    <row r="48" spans="1:8" ht="31.5" x14ac:dyDescent="0.25">
      <c r="A48" s="13">
        <v>44999</v>
      </c>
      <c r="B48" s="14">
        <f t="shared" si="1"/>
        <v>1173</v>
      </c>
      <c r="C48" s="25"/>
      <c r="D48" s="20" t="s">
        <v>19</v>
      </c>
      <c r="E48" s="21">
        <v>3976</v>
      </c>
      <c r="F48" s="22" t="s">
        <v>75</v>
      </c>
      <c r="G48" s="31">
        <f>2000+1976</f>
        <v>3976</v>
      </c>
      <c r="H48" s="19">
        <f t="shared" si="0"/>
        <v>0</v>
      </c>
    </row>
    <row r="49" spans="1:8" ht="21.75" customHeight="1" x14ac:dyDescent="0.25">
      <c r="A49" s="13">
        <v>44999</v>
      </c>
      <c r="B49" s="14">
        <f t="shared" si="1"/>
        <v>1174</v>
      </c>
      <c r="C49" s="25"/>
      <c r="D49" s="20" t="s">
        <v>15</v>
      </c>
      <c r="E49" s="21">
        <v>2284</v>
      </c>
      <c r="F49" s="22">
        <v>45002</v>
      </c>
      <c r="G49" s="31">
        <v>2284</v>
      </c>
      <c r="H49" s="19">
        <f t="shared" si="0"/>
        <v>0</v>
      </c>
    </row>
    <row r="50" spans="1:8" x14ac:dyDescent="0.25">
      <c r="A50" s="13">
        <v>44999</v>
      </c>
      <c r="B50" s="14">
        <f t="shared" si="1"/>
        <v>1175</v>
      </c>
      <c r="C50" s="25"/>
      <c r="D50" s="20" t="s">
        <v>13</v>
      </c>
      <c r="E50" s="21">
        <v>4282</v>
      </c>
      <c r="F50" s="22">
        <v>45000</v>
      </c>
      <c r="G50" s="31">
        <v>4282</v>
      </c>
      <c r="H50" s="19">
        <f t="shared" si="0"/>
        <v>0</v>
      </c>
    </row>
    <row r="51" spans="1:8" x14ac:dyDescent="0.25">
      <c r="A51" s="13">
        <v>45000</v>
      </c>
      <c r="B51" s="14">
        <f t="shared" si="1"/>
        <v>1176</v>
      </c>
      <c r="C51" s="25"/>
      <c r="D51" s="20" t="s">
        <v>13</v>
      </c>
      <c r="E51" s="21">
        <v>5021</v>
      </c>
      <c r="F51" s="22">
        <v>45001</v>
      </c>
      <c r="G51" s="31">
        <v>5021</v>
      </c>
      <c r="H51" s="19">
        <f t="shared" si="0"/>
        <v>0</v>
      </c>
    </row>
    <row r="52" spans="1:8" x14ac:dyDescent="0.25">
      <c r="A52" s="13">
        <v>45001</v>
      </c>
      <c r="B52" s="14">
        <f t="shared" si="1"/>
        <v>1177</v>
      </c>
      <c r="C52" s="25"/>
      <c r="D52" s="20" t="s">
        <v>12</v>
      </c>
      <c r="E52" s="21">
        <v>458</v>
      </c>
      <c r="F52" s="22">
        <v>45005</v>
      </c>
      <c r="G52" s="31">
        <v>458</v>
      </c>
      <c r="H52" s="19">
        <f t="shared" si="0"/>
        <v>0</v>
      </c>
    </row>
    <row r="53" spans="1:8" x14ac:dyDescent="0.25">
      <c r="A53" s="13">
        <v>45001</v>
      </c>
      <c r="B53" s="14">
        <f t="shared" si="1"/>
        <v>1178</v>
      </c>
      <c r="C53" s="25"/>
      <c r="D53" s="20" t="s">
        <v>15</v>
      </c>
      <c r="E53" s="21">
        <v>1584</v>
      </c>
      <c r="F53" s="22">
        <v>45003</v>
      </c>
      <c r="G53" s="31">
        <v>1584</v>
      </c>
      <c r="H53" s="19">
        <f t="shared" si="0"/>
        <v>0</v>
      </c>
    </row>
    <row r="54" spans="1:8" x14ac:dyDescent="0.25">
      <c r="A54" s="13">
        <v>45001</v>
      </c>
      <c r="B54" s="14">
        <f t="shared" si="1"/>
        <v>1179</v>
      </c>
      <c r="C54" s="25"/>
      <c r="D54" s="20" t="s">
        <v>13</v>
      </c>
      <c r="E54" s="21">
        <v>5462</v>
      </c>
      <c r="F54" s="66">
        <v>45002</v>
      </c>
      <c r="G54" s="67">
        <v>5462</v>
      </c>
      <c r="H54" s="19">
        <f t="shared" si="0"/>
        <v>0</v>
      </c>
    </row>
    <row r="55" spans="1:8" s="33" customFormat="1" ht="63" x14ac:dyDescent="0.25">
      <c r="A55" s="29">
        <v>45001</v>
      </c>
      <c r="B55" s="14">
        <f t="shared" si="1"/>
        <v>1180</v>
      </c>
      <c r="C55" s="25"/>
      <c r="D55" s="24" t="s">
        <v>17</v>
      </c>
      <c r="E55" s="30">
        <v>8120</v>
      </c>
      <c r="F55" s="22" t="s">
        <v>90</v>
      </c>
      <c r="G55" s="69">
        <f>1000+300+1000+5820</f>
        <v>8120</v>
      </c>
      <c r="H55" s="32">
        <f t="shared" si="0"/>
        <v>0</v>
      </c>
    </row>
    <row r="56" spans="1:8" ht="31.5" x14ac:dyDescent="0.25">
      <c r="A56" s="13">
        <v>45002</v>
      </c>
      <c r="B56" s="14">
        <f t="shared" si="1"/>
        <v>1181</v>
      </c>
      <c r="C56" s="25"/>
      <c r="D56" s="20" t="s">
        <v>15</v>
      </c>
      <c r="E56" s="21">
        <v>3370</v>
      </c>
      <c r="F56" s="22" t="s">
        <v>76</v>
      </c>
      <c r="G56" s="31">
        <f>1500+1870</f>
        <v>3370</v>
      </c>
      <c r="H56" s="19">
        <f t="shared" si="0"/>
        <v>0</v>
      </c>
    </row>
    <row r="57" spans="1:8" x14ac:dyDescent="0.25">
      <c r="A57" s="13">
        <v>45002</v>
      </c>
      <c r="B57" s="14">
        <f t="shared" si="1"/>
        <v>1182</v>
      </c>
      <c r="C57" s="25"/>
      <c r="D57" s="20" t="s">
        <v>24</v>
      </c>
      <c r="E57" s="21">
        <v>16050</v>
      </c>
      <c r="F57" s="22">
        <v>45011</v>
      </c>
      <c r="G57" s="31">
        <v>16050</v>
      </c>
      <c r="H57" s="19">
        <f t="shared" si="0"/>
        <v>0</v>
      </c>
    </row>
    <row r="58" spans="1:8" ht="23.25" customHeight="1" x14ac:dyDescent="0.25">
      <c r="A58" s="13">
        <v>45003</v>
      </c>
      <c r="B58" s="14">
        <f t="shared" si="1"/>
        <v>1183</v>
      </c>
      <c r="C58" s="25"/>
      <c r="D58" s="20" t="s">
        <v>15</v>
      </c>
      <c r="E58" s="21">
        <v>1394</v>
      </c>
      <c r="F58" s="22">
        <v>45006</v>
      </c>
      <c r="G58" s="31">
        <v>1394</v>
      </c>
      <c r="H58" s="19">
        <f t="shared" si="0"/>
        <v>0</v>
      </c>
    </row>
    <row r="59" spans="1:8" ht="31.5" x14ac:dyDescent="0.25">
      <c r="A59" s="13">
        <v>45003</v>
      </c>
      <c r="B59" s="14">
        <f t="shared" si="1"/>
        <v>1184</v>
      </c>
      <c r="C59" s="25"/>
      <c r="D59" s="20" t="s">
        <v>14</v>
      </c>
      <c r="E59" s="21">
        <v>565</v>
      </c>
      <c r="F59" s="22" t="s">
        <v>76</v>
      </c>
      <c r="G59" s="31">
        <f>404+161</f>
        <v>565</v>
      </c>
      <c r="H59" s="19">
        <f t="shared" si="0"/>
        <v>0</v>
      </c>
    </row>
    <row r="60" spans="1:8" x14ac:dyDescent="0.25">
      <c r="A60" s="13">
        <v>45003</v>
      </c>
      <c r="B60" s="14">
        <f t="shared" si="1"/>
        <v>1185</v>
      </c>
      <c r="C60" s="25"/>
      <c r="D60" s="20" t="s">
        <v>13</v>
      </c>
      <c r="E60" s="21">
        <v>3283</v>
      </c>
      <c r="F60" s="22">
        <v>45005</v>
      </c>
      <c r="G60" s="31">
        <v>3283</v>
      </c>
      <c r="H60" s="19">
        <f t="shared" si="0"/>
        <v>0</v>
      </c>
    </row>
    <row r="61" spans="1:8" x14ac:dyDescent="0.25">
      <c r="A61" s="13">
        <v>45003</v>
      </c>
      <c r="B61" s="14">
        <f t="shared" si="1"/>
        <v>1186</v>
      </c>
      <c r="C61" s="25"/>
      <c r="D61" s="20" t="s">
        <v>25</v>
      </c>
      <c r="E61" s="21">
        <v>10200</v>
      </c>
      <c r="F61" s="22">
        <v>45008</v>
      </c>
      <c r="G61" s="31">
        <v>10200</v>
      </c>
      <c r="H61" s="19">
        <f t="shared" si="0"/>
        <v>0</v>
      </c>
    </row>
    <row r="62" spans="1:8" ht="31.5" x14ac:dyDescent="0.25">
      <c r="A62" s="13">
        <v>45004</v>
      </c>
      <c r="B62" s="14">
        <f t="shared" si="1"/>
        <v>1187</v>
      </c>
      <c r="C62" s="25"/>
      <c r="D62" s="20" t="s">
        <v>15</v>
      </c>
      <c r="E62" s="21">
        <v>1182</v>
      </c>
      <c r="F62" s="22" t="s">
        <v>78</v>
      </c>
      <c r="G62" s="31">
        <f>500+682</f>
        <v>1182</v>
      </c>
      <c r="H62" s="19">
        <f t="shared" si="0"/>
        <v>0</v>
      </c>
    </row>
    <row r="63" spans="1:8" x14ac:dyDescent="0.25">
      <c r="A63" s="13">
        <v>45004</v>
      </c>
      <c r="B63" s="14">
        <f t="shared" si="1"/>
        <v>1188</v>
      </c>
      <c r="C63" s="25"/>
      <c r="D63" s="20" t="s">
        <v>19</v>
      </c>
      <c r="E63" s="21">
        <v>14504</v>
      </c>
      <c r="F63" s="22">
        <v>45005</v>
      </c>
      <c r="G63" s="31">
        <v>14504</v>
      </c>
      <c r="H63" s="19">
        <f t="shared" si="0"/>
        <v>0</v>
      </c>
    </row>
    <row r="64" spans="1:8" x14ac:dyDescent="0.25">
      <c r="A64" s="13">
        <v>45004</v>
      </c>
      <c r="B64" s="14">
        <f t="shared" si="1"/>
        <v>1189</v>
      </c>
      <c r="C64" s="25"/>
      <c r="D64" s="20" t="s">
        <v>13</v>
      </c>
      <c r="E64" s="21">
        <v>6413</v>
      </c>
      <c r="F64" s="22">
        <v>45006</v>
      </c>
      <c r="G64" s="31">
        <v>6413</v>
      </c>
      <c r="H64" s="19">
        <f t="shared" si="0"/>
        <v>0</v>
      </c>
    </row>
    <row r="65" spans="1:8" ht="31.5" x14ac:dyDescent="0.25">
      <c r="A65" s="23">
        <v>45005</v>
      </c>
      <c r="B65" s="14">
        <f t="shared" si="1"/>
        <v>1190</v>
      </c>
      <c r="C65" s="25"/>
      <c r="D65" s="34" t="s">
        <v>14</v>
      </c>
      <c r="E65" s="21">
        <v>6365</v>
      </c>
      <c r="F65" s="22" t="s">
        <v>77</v>
      </c>
      <c r="G65" s="31">
        <f>5865+500</f>
        <v>6365</v>
      </c>
      <c r="H65" s="19">
        <f t="shared" si="0"/>
        <v>0</v>
      </c>
    </row>
    <row r="66" spans="1:8" x14ac:dyDescent="0.25">
      <c r="A66" s="23">
        <v>45005</v>
      </c>
      <c r="B66" s="14">
        <f t="shared" si="1"/>
        <v>1191</v>
      </c>
      <c r="C66" s="25"/>
      <c r="D66" s="34" t="s">
        <v>13</v>
      </c>
      <c r="E66" s="21">
        <v>4934</v>
      </c>
      <c r="F66" s="22">
        <v>45006</v>
      </c>
      <c r="G66" s="31">
        <v>4934</v>
      </c>
      <c r="H66" s="19">
        <f t="shared" si="0"/>
        <v>0</v>
      </c>
    </row>
    <row r="67" spans="1:8" x14ac:dyDescent="0.25">
      <c r="A67" s="23">
        <v>45006</v>
      </c>
      <c r="B67" s="14">
        <f t="shared" si="1"/>
        <v>1192</v>
      </c>
      <c r="C67" s="25"/>
      <c r="D67" s="34" t="s">
        <v>15</v>
      </c>
      <c r="E67" s="21">
        <v>1600</v>
      </c>
      <c r="F67" s="22">
        <v>45010</v>
      </c>
      <c r="G67" s="31">
        <v>1600</v>
      </c>
      <c r="H67" s="19">
        <f t="shared" si="0"/>
        <v>0</v>
      </c>
    </row>
    <row r="68" spans="1:8" x14ac:dyDescent="0.25">
      <c r="A68" s="23">
        <v>45006</v>
      </c>
      <c r="B68" s="14">
        <f t="shared" si="1"/>
        <v>1193</v>
      </c>
      <c r="C68" s="25"/>
      <c r="D68" s="34" t="s">
        <v>15</v>
      </c>
      <c r="E68" s="21">
        <v>526</v>
      </c>
      <c r="F68" s="22">
        <v>45008</v>
      </c>
      <c r="G68" s="31">
        <v>526</v>
      </c>
      <c r="H68" s="19">
        <f t="shared" si="0"/>
        <v>0</v>
      </c>
    </row>
    <row r="69" spans="1:8" x14ac:dyDescent="0.25">
      <c r="A69" s="23">
        <v>45006</v>
      </c>
      <c r="B69" s="14">
        <f t="shared" si="1"/>
        <v>1194</v>
      </c>
      <c r="C69" s="25"/>
      <c r="D69" s="34" t="s">
        <v>13</v>
      </c>
      <c r="E69" s="21">
        <v>6029</v>
      </c>
      <c r="F69" s="22">
        <v>45008</v>
      </c>
      <c r="G69" s="31">
        <v>6029</v>
      </c>
      <c r="H69" s="19">
        <f t="shared" si="0"/>
        <v>0</v>
      </c>
    </row>
    <row r="70" spans="1:8" x14ac:dyDescent="0.25">
      <c r="A70" s="23">
        <v>45006</v>
      </c>
      <c r="B70" s="14">
        <f t="shared" ref="B70:B96" si="2">B69+1</f>
        <v>1195</v>
      </c>
      <c r="C70" s="25"/>
      <c r="D70" s="34" t="s">
        <v>24</v>
      </c>
      <c r="E70" s="21">
        <v>3172</v>
      </c>
      <c r="F70" s="22">
        <v>45011</v>
      </c>
      <c r="G70" s="31">
        <v>3172</v>
      </c>
      <c r="H70" s="19">
        <f t="shared" si="0"/>
        <v>0</v>
      </c>
    </row>
    <row r="71" spans="1:8" ht="31.5" x14ac:dyDescent="0.25">
      <c r="A71" s="23">
        <v>45007</v>
      </c>
      <c r="B71" s="14">
        <f t="shared" si="2"/>
        <v>1196</v>
      </c>
      <c r="C71" s="25"/>
      <c r="D71" s="34" t="s">
        <v>14</v>
      </c>
      <c r="E71" s="21">
        <v>4576</v>
      </c>
      <c r="F71" s="22" t="s">
        <v>79</v>
      </c>
      <c r="G71" s="31">
        <f>4075+501</f>
        <v>4576</v>
      </c>
      <c r="H71" s="19">
        <f t="shared" si="0"/>
        <v>0</v>
      </c>
    </row>
    <row r="72" spans="1:8" ht="21" customHeight="1" x14ac:dyDescent="0.25">
      <c r="A72" s="23">
        <v>45008</v>
      </c>
      <c r="B72" s="14">
        <f t="shared" si="2"/>
        <v>1197</v>
      </c>
      <c r="C72" s="25"/>
      <c r="D72" s="34" t="s">
        <v>12</v>
      </c>
      <c r="E72" s="21">
        <v>299</v>
      </c>
      <c r="F72" s="22">
        <v>45014</v>
      </c>
      <c r="G72" s="31">
        <v>299</v>
      </c>
      <c r="H72" s="19">
        <f t="shared" si="0"/>
        <v>0</v>
      </c>
    </row>
    <row r="73" spans="1:8" ht="31.5" x14ac:dyDescent="0.25">
      <c r="A73" s="23">
        <v>45008</v>
      </c>
      <c r="B73" s="14">
        <f t="shared" si="2"/>
        <v>1198</v>
      </c>
      <c r="C73" s="25"/>
      <c r="D73" s="34" t="s">
        <v>14</v>
      </c>
      <c r="E73" s="21">
        <v>5270</v>
      </c>
      <c r="F73" s="22" t="s">
        <v>80</v>
      </c>
      <c r="G73" s="31">
        <f>4269+1001</f>
        <v>5270</v>
      </c>
      <c r="H73" s="19">
        <f t="shared" si="0"/>
        <v>0</v>
      </c>
    </row>
    <row r="74" spans="1:8" ht="24" customHeight="1" x14ac:dyDescent="0.25">
      <c r="A74" s="23">
        <v>45008</v>
      </c>
      <c r="B74" s="14">
        <f t="shared" si="2"/>
        <v>1199</v>
      </c>
      <c r="C74" s="25"/>
      <c r="D74" s="34" t="s">
        <v>15</v>
      </c>
      <c r="E74" s="21">
        <v>1550</v>
      </c>
      <c r="F74" s="22">
        <v>45010</v>
      </c>
      <c r="G74" s="31">
        <v>1550</v>
      </c>
      <c r="H74" s="19">
        <f t="shared" si="0"/>
        <v>0</v>
      </c>
    </row>
    <row r="75" spans="1:8" ht="30" customHeight="1" x14ac:dyDescent="0.25">
      <c r="A75" s="23">
        <v>45008</v>
      </c>
      <c r="B75" s="14">
        <f t="shared" si="2"/>
        <v>1200</v>
      </c>
      <c r="C75" s="25"/>
      <c r="D75" s="34" t="s">
        <v>13</v>
      </c>
      <c r="E75" s="21">
        <v>3466</v>
      </c>
      <c r="F75" s="22">
        <v>45009</v>
      </c>
      <c r="G75" s="31">
        <v>3466</v>
      </c>
      <c r="H75" s="19">
        <f t="shared" si="0"/>
        <v>0</v>
      </c>
    </row>
    <row r="76" spans="1:8" ht="18.75" customHeight="1" x14ac:dyDescent="0.25">
      <c r="A76" s="23">
        <v>45008</v>
      </c>
      <c r="B76" s="14">
        <f t="shared" si="2"/>
        <v>1201</v>
      </c>
      <c r="C76" s="25"/>
      <c r="D76" s="34" t="s">
        <v>62</v>
      </c>
      <c r="E76" s="21">
        <v>2582</v>
      </c>
      <c r="F76" s="22">
        <v>45009</v>
      </c>
      <c r="G76" s="31">
        <v>2582</v>
      </c>
      <c r="H76" s="19">
        <f t="shared" si="0"/>
        <v>0</v>
      </c>
    </row>
    <row r="77" spans="1:8" ht="18.75" customHeight="1" x14ac:dyDescent="0.25">
      <c r="A77" s="23">
        <v>45009</v>
      </c>
      <c r="B77" s="14">
        <f t="shared" si="2"/>
        <v>1202</v>
      </c>
      <c r="C77" s="25"/>
      <c r="D77" s="34" t="s">
        <v>15</v>
      </c>
      <c r="E77" s="21">
        <v>1026</v>
      </c>
      <c r="F77" s="22">
        <v>45011</v>
      </c>
      <c r="G77" s="31">
        <v>1026</v>
      </c>
      <c r="H77" s="19">
        <f t="shared" si="0"/>
        <v>0</v>
      </c>
    </row>
    <row r="78" spans="1:8" ht="18.75" customHeight="1" x14ac:dyDescent="0.25">
      <c r="A78" s="23">
        <v>45009</v>
      </c>
      <c r="B78" s="14">
        <f t="shared" si="2"/>
        <v>1203</v>
      </c>
      <c r="C78" s="25"/>
      <c r="D78" s="34" t="s">
        <v>13</v>
      </c>
      <c r="E78" s="21">
        <v>3054</v>
      </c>
      <c r="F78" s="22">
        <v>45010</v>
      </c>
      <c r="G78" s="31">
        <v>3054</v>
      </c>
      <c r="H78" s="19">
        <f t="shared" si="0"/>
        <v>0</v>
      </c>
    </row>
    <row r="79" spans="1:8" ht="18.75" customHeight="1" x14ac:dyDescent="0.25">
      <c r="A79" s="23">
        <v>45009</v>
      </c>
      <c r="B79" s="14">
        <f t="shared" si="2"/>
        <v>1204</v>
      </c>
      <c r="C79" s="25"/>
      <c r="D79" s="34" t="s">
        <v>62</v>
      </c>
      <c r="E79" s="21">
        <v>8686</v>
      </c>
      <c r="F79" s="22">
        <v>45011</v>
      </c>
      <c r="G79" s="31">
        <v>8686</v>
      </c>
      <c r="H79" s="19">
        <f t="shared" si="0"/>
        <v>0</v>
      </c>
    </row>
    <row r="80" spans="1:8" ht="18.75" customHeight="1" x14ac:dyDescent="0.25">
      <c r="A80" s="23">
        <v>45009</v>
      </c>
      <c r="B80" s="14">
        <f t="shared" si="2"/>
        <v>1205</v>
      </c>
      <c r="C80" s="25"/>
      <c r="D80" s="34" t="s">
        <v>24</v>
      </c>
      <c r="E80" s="21">
        <v>15660</v>
      </c>
      <c r="F80" s="64">
        <v>45018</v>
      </c>
      <c r="G80" s="65">
        <v>15660</v>
      </c>
      <c r="H80" s="19">
        <f t="shared" si="0"/>
        <v>0</v>
      </c>
    </row>
    <row r="81" spans="1:8" ht="31.5" x14ac:dyDescent="0.25">
      <c r="A81" s="23">
        <v>45010</v>
      </c>
      <c r="B81" s="14">
        <f t="shared" si="2"/>
        <v>1206</v>
      </c>
      <c r="C81" s="25"/>
      <c r="D81" s="34" t="s">
        <v>14</v>
      </c>
      <c r="E81" s="21">
        <v>938</v>
      </c>
      <c r="F81" s="22" t="s">
        <v>81</v>
      </c>
      <c r="G81" s="31">
        <f>657+281</f>
        <v>938</v>
      </c>
      <c r="H81" s="19">
        <f t="shared" si="0"/>
        <v>0</v>
      </c>
    </row>
    <row r="82" spans="1:8" ht="18.75" customHeight="1" x14ac:dyDescent="0.25">
      <c r="A82" s="23">
        <v>45010</v>
      </c>
      <c r="B82" s="14">
        <f t="shared" si="2"/>
        <v>1207</v>
      </c>
      <c r="C82" s="25"/>
      <c r="D82" s="34" t="s">
        <v>15</v>
      </c>
      <c r="E82" s="21">
        <v>3320</v>
      </c>
      <c r="F82" s="22">
        <v>45011</v>
      </c>
      <c r="G82" s="31">
        <v>3320</v>
      </c>
      <c r="H82" s="19">
        <f t="shared" si="0"/>
        <v>0</v>
      </c>
    </row>
    <row r="83" spans="1:8" ht="18.75" customHeight="1" x14ac:dyDescent="0.25">
      <c r="A83" s="23">
        <v>45010</v>
      </c>
      <c r="B83" s="14">
        <f t="shared" si="2"/>
        <v>1208</v>
      </c>
      <c r="C83" s="25"/>
      <c r="D83" s="34" t="s">
        <v>15</v>
      </c>
      <c r="E83" s="21">
        <v>1710</v>
      </c>
      <c r="F83" s="22">
        <v>45012</v>
      </c>
      <c r="G83" s="31">
        <v>1710</v>
      </c>
      <c r="H83" s="19">
        <f t="shared" si="0"/>
        <v>0</v>
      </c>
    </row>
    <row r="84" spans="1:8" ht="18.75" customHeight="1" x14ac:dyDescent="0.25">
      <c r="A84" s="23">
        <v>45010</v>
      </c>
      <c r="B84" s="14">
        <f t="shared" si="2"/>
        <v>1209</v>
      </c>
      <c r="C84" s="25"/>
      <c r="D84" s="34" t="s">
        <v>13</v>
      </c>
      <c r="E84" s="21">
        <v>4008</v>
      </c>
      <c r="F84" s="22">
        <v>45013</v>
      </c>
      <c r="G84" s="31">
        <v>4008</v>
      </c>
      <c r="H84" s="19">
        <f t="shared" si="0"/>
        <v>0</v>
      </c>
    </row>
    <row r="85" spans="1:8" ht="18.75" customHeight="1" x14ac:dyDescent="0.25">
      <c r="A85" s="23">
        <v>45010</v>
      </c>
      <c r="B85" s="14">
        <f t="shared" si="2"/>
        <v>1210</v>
      </c>
      <c r="C85" s="25"/>
      <c r="D85" s="34" t="s">
        <v>25</v>
      </c>
      <c r="E85" s="21">
        <v>8250</v>
      </c>
      <c r="F85" s="22">
        <v>45012</v>
      </c>
      <c r="G85" s="31">
        <v>8250</v>
      </c>
      <c r="H85" s="19">
        <f t="shared" si="0"/>
        <v>0</v>
      </c>
    </row>
    <row r="86" spans="1:8" ht="18.75" customHeight="1" x14ac:dyDescent="0.25">
      <c r="A86" s="23">
        <v>45011</v>
      </c>
      <c r="B86" s="14">
        <f t="shared" si="2"/>
        <v>1211</v>
      </c>
      <c r="C86" s="25"/>
      <c r="D86" s="34" t="s">
        <v>15</v>
      </c>
      <c r="E86" s="21">
        <v>1363</v>
      </c>
      <c r="F86" s="22" t="s">
        <v>82</v>
      </c>
      <c r="G86" s="31">
        <f>600+763</f>
        <v>1363</v>
      </c>
      <c r="H86" s="19">
        <f t="shared" si="0"/>
        <v>0</v>
      </c>
    </row>
    <row r="87" spans="1:8" ht="18.75" customHeight="1" x14ac:dyDescent="0.25">
      <c r="A87" s="23">
        <v>45011</v>
      </c>
      <c r="B87" s="14">
        <f t="shared" si="2"/>
        <v>1212</v>
      </c>
      <c r="C87" s="25"/>
      <c r="D87" s="34" t="s">
        <v>19</v>
      </c>
      <c r="E87" s="21">
        <v>8400</v>
      </c>
      <c r="F87" s="22">
        <v>45012</v>
      </c>
      <c r="G87" s="31">
        <v>8400</v>
      </c>
      <c r="H87" s="19">
        <f t="shared" si="0"/>
        <v>0</v>
      </c>
    </row>
    <row r="88" spans="1:8" ht="18.75" customHeight="1" x14ac:dyDescent="0.25">
      <c r="A88" s="23">
        <v>45011</v>
      </c>
      <c r="B88" s="14">
        <f t="shared" si="2"/>
        <v>1213</v>
      </c>
      <c r="C88" s="25"/>
      <c r="D88" s="34" t="s">
        <v>13</v>
      </c>
      <c r="E88" s="21">
        <v>3225</v>
      </c>
      <c r="F88" s="22">
        <v>45013</v>
      </c>
      <c r="G88" s="31">
        <v>3225</v>
      </c>
      <c r="H88" s="19">
        <f t="shared" si="0"/>
        <v>0</v>
      </c>
    </row>
    <row r="89" spans="1:8" ht="31.5" x14ac:dyDescent="0.25">
      <c r="A89" s="23">
        <v>45012</v>
      </c>
      <c r="B89" s="14">
        <f t="shared" si="2"/>
        <v>1214</v>
      </c>
      <c r="C89" s="25"/>
      <c r="D89" s="34" t="s">
        <v>15</v>
      </c>
      <c r="E89" s="21">
        <v>1539</v>
      </c>
      <c r="F89" s="22" t="s">
        <v>83</v>
      </c>
      <c r="G89" s="31">
        <f>800+739</f>
        <v>1539</v>
      </c>
      <c r="H89" s="19">
        <f t="shared" si="0"/>
        <v>0</v>
      </c>
    </row>
    <row r="90" spans="1:8" ht="18.75" customHeight="1" x14ac:dyDescent="0.25">
      <c r="A90" s="23">
        <v>45012</v>
      </c>
      <c r="B90" s="14">
        <f t="shared" si="2"/>
        <v>1215</v>
      </c>
      <c r="C90" s="25"/>
      <c r="D90" s="34" t="s">
        <v>13</v>
      </c>
      <c r="E90" s="21">
        <v>3603</v>
      </c>
      <c r="F90" s="22">
        <v>45013</v>
      </c>
      <c r="G90" s="31">
        <v>3603</v>
      </c>
      <c r="H90" s="19">
        <f t="shared" si="0"/>
        <v>0</v>
      </c>
    </row>
    <row r="91" spans="1:8" ht="18.75" customHeight="1" x14ac:dyDescent="0.25">
      <c r="A91" s="23">
        <v>45013</v>
      </c>
      <c r="B91" s="14">
        <f t="shared" si="2"/>
        <v>1216</v>
      </c>
      <c r="C91" s="25"/>
      <c r="D91" s="34" t="s">
        <v>12</v>
      </c>
      <c r="E91" s="21">
        <v>289</v>
      </c>
      <c r="F91" s="22">
        <v>45014</v>
      </c>
      <c r="G91" s="31">
        <v>289</v>
      </c>
      <c r="H91" s="19">
        <f t="shared" si="0"/>
        <v>0</v>
      </c>
    </row>
    <row r="92" spans="1:8" ht="18.75" customHeight="1" x14ac:dyDescent="0.25">
      <c r="A92" s="23">
        <v>45013</v>
      </c>
      <c r="B92" s="14">
        <f t="shared" si="2"/>
        <v>1217</v>
      </c>
      <c r="C92" s="25"/>
      <c r="D92" s="34" t="s">
        <v>15</v>
      </c>
      <c r="E92" s="21">
        <v>1063</v>
      </c>
      <c r="F92" s="68" t="s">
        <v>85</v>
      </c>
      <c r="G92" s="69">
        <f>400+663</f>
        <v>1063</v>
      </c>
      <c r="H92" s="19">
        <f t="shared" si="0"/>
        <v>0</v>
      </c>
    </row>
    <row r="93" spans="1:8" ht="18.75" customHeight="1" x14ac:dyDescent="0.25">
      <c r="A93" s="23">
        <v>45013</v>
      </c>
      <c r="B93" s="14">
        <f t="shared" si="2"/>
        <v>1218</v>
      </c>
      <c r="C93" s="25"/>
      <c r="D93" s="34" t="s">
        <v>13</v>
      </c>
      <c r="E93" s="21">
        <v>3414</v>
      </c>
      <c r="F93" s="22">
        <v>45015</v>
      </c>
      <c r="G93" s="31">
        <v>3414</v>
      </c>
      <c r="H93" s="19">
        <f t="shared" si="0"/>
        <v>0</v>
      </c>
    </row>
    <row r="94" spans="1:8" ht="18.75" customHeight="1" x14ac:dyDescent="0.25">
      <c r="A94" s="23">
        <v>45013</v>
      </c>
      <c r="B94" s="14">
        <f t="shared" si="2"/>
        <v>1219</v>
      </c>
      <c r="C94" s="25"/>
      <c r="D94" s="34" t="s">
        <v>24</v>
      </c>
      <c r="E94" s="21">
        <v>3447</v>
      </c>
      <c r="F94" s="64">
        <v>45018</v>
      </c>
      <c r="G94" s="65">
        <v>3447</v>
      </c>
      <c r="H94" s="19">
        <f t="shared" si="0"/>
        <v>0</v>
      </c>
    </row>
    <row r="95" spans="1:8" ht="31.5" x14ac:dyDescent="0.25">
      <c r="A95" s="23">
        <v>45015</v>
      </c>
      <c r="B95" s="14">
        <f t="shared" si="2"/>
        <v>1220</v>
      </c>
      <c r="C95" s="25"/>
      <c r="D95" s="34" t="s">
        <v>15</v>
      </c>
      <c r="E95" s="21">
        <v>2024</v>
      </c>
      <c r="F95" s="64" t="s">
        <v>86</v>
      </c>
      <c r="G95" s="65">
        <f>800+1224</f>
        <v>2024</v>
      </c>
      <c r="H95" s="19">
        <f t="shared" si="0"/>
        <v>0</v>
      </c>
    </row>
    <row r="96" spans="1:8" ht="18.75" customHeight="1" x14ac:dyDescent="0.25">
      <c r="A96" s="23">
        <v>45015</v>
      </c>
      <c r="B96" s="14">
        <f t="shared" si="2"/>
        <v>1221</v>
      </c>
      <c r="C96" s="25"/>
      <c r="D96" s="34" t="s">
        <v>13</v>
      </c>
      <c r="E96" s="21">
        <v>3474</v>
      </c>
      <c r="F96" s="64">
        <v>45016</v>
      </c>
      <c r="G96" s="65">
        <v>3474</v>
      </c>
      <c r="H96" s="19">
        <f t="shared" si="0"/>
        <v>0</v>
      </c>
    </row>
    <row r="97" spans="1:9" ht="18.75" customHeight="1" x14ac:dyDescent="0.25">
      <c r="A97" s="23"/>
      <c r="B97" s="14"/>
      <c r="C97" s="25"/>
      <c r="D97" s="34"/>
      <c r="E97" s="21"/>
      <c r="F97" s="22"/>
      <c r="G97" s="31"/>
      <c r="H97" s="19">
        <f t="shared" si="0"/>
        <v>0</v>
      </c>
    </row>
    <row r="98" spans="1:9" x14ac:dyDescent="0.25">
      <c r="B98" s="41"/>
      <c r="C98" s="42"/>
      <c r="D98" s="2"/>
      <c r="E98" s="43">
        <f>SUM(E4:E97)</f>
        <v>522736</v>
      </c>
      <c r="F98" s="44"/>
      <c r="G98" s="44">
        <f>SUM(G4:G97)</f>
        <v>522736</v>
      </c>
      <c r="H98" s="45">
        <f>SUM(H4:H97)</f>
        <v>0</v>
      </c>
      <c r="I98" s="2"/>
    </row>
    <row r="99" spans="1:9" x14ac:dyDescent="0.25">
      <c r="B99" s="41"/>
      <c r="C99" s="42"/>
      <c r="D99" s="2"/>
      <c r="E99" s="46"/>
      <c r="F99" s="47"/>
      <c r="G99" s="61"/>
      <c r="H99" s="48"/>
      <c r="I99" s="2"/>
    </row>
    <row r="100" spans="1:9" ht="31.5" x14ac:dyDescent="0.25">
      <c r="B100" s="41"/>
      <c r="C100" s="42"/>
      <c r="D100" s="2"/>
      <c r="E100" s="49" t="s">
        <v>8</v>
      </c>
      <c r="F100" s="47"/>
      <c r="G100" s="50" t="s">
        <v>9</v>
      </c>
      <c r="H100" s="48"/>
      <c r="I100" s="2"/>
    </row>
    <row r="101" spans="1:9" ht="16.5" thickBot="1" x14ac:dyDescent="0.3">
      <c r="B101" s="41"/>
      <c r="C101" s="42"/>
      <c r="D101" s="2"/>
      <c r="E101" s="49"/>
      <c r="F101" s="47"/>
      <c r="G101" s="50"/>
      <c r="H101" s="48"/>
      <c r="I101" s="2"/>
    </row>
    <row r="102" spans="1:9" ht="21.75" thickBot="1" x14ac:dyDescent="0.4">
      <c r="B102" s="41"/>
      <c r="C102" s="42"/>
      <c r="D102" s="2"/>
      <c r="E102" s="93">
        <f>E98-G98</f>
        <v>0</v>
      </c>
      <c r="F102" s="94"/>
      <c r="G102" s="95"/>
      <c r="I102" s="2"/>
    </row>
    <row r="103" spans="1:9" x14ac:dyDescent="0.25">
      <c r="B103" s="41"/>
      <c r="C103" s="42"/>
      <c r="D103" s="2"/>
      <c r="E103" s="46"/>
      <c r="F103" s="47"/>
      <c r="G103" s="61"/>
      <c r="I103" s="2"/>
    </row>
    <row r="104" spans="1:9" ht="18.75" x14ac:dyDescent="0.3">
      <c r="B104" s="41"/>
      <c r="C104" s="42"/>
      <c r="D104" s="2"/>
      <c r="E104" s="96" t="s">
        <v>10</v>
      </c>
      <c r="F104" s="96"/>
      <c r="G104" s="96"/>
      <c r="I104" s="2"/>
    </row>
    <row r="105" spans="1:9" x14ac:dyDescent="0.25">
      <c r="B105" s="41"/>
      <c r="C105" s="42"/>
      <c r="D105" s="2"/>
      <c r="E105" s="46"/>
      <c r="F105" s="47"/>
      <c r="G105" s="61"/>
      <c r="I105" s="2"/>
    </row>
    <row r="106" spans="1:9" ht="18.75" x14ac:dyDescent="0.3">
      <c r="A106" s="23"/>
      <c r="B106" s="14"/>
      <c r="C106" s="25"/>
      <c r="D106" s="51"/>
      <c r="E106" s="52"/>
      <c r="F106" s="53"/>
      <c r="G106" s="62"/>
      <c r="I106" s="2"/>
    </row>
    <row r="107" spans="1:9" x14ac:dyDescent="0.25">
      <c r="B107" s="41"/>
      <c r="C107" s="42"/>
      <c r="D107" s="2"/>
      <c r="E107" s="46"/>
      <c r="F107" s="47"/>
      <c r="G107" s="61"/>
      <c r="I107" s="2"/>
    </row>
    <row r="108" spans="1:9" x14ac:dyDescent="0.25">
      <c r="B108" s="41"/>
      <c r="C108" s="42"/>
      <c r="D108" s="2"/>
      <c r="E108" s="46"/>
      <c r="F108" s="47"/>
      <c r="G108" s="61"/>
      <c r="I108" s="2"/>
    </row>
    <row r="109" spans="1:9" x14ac:dyDescent="0.25">
      <c r="B109" s="41"/>
      <c r="C109" s="42"/>
      <c r="D109" s="2"/>
      <c r="E109" s="46"/>
      <c r="F109" s="47"/>
      <c r="G109" s="61"/>
      <c r="I109" s="2"/>
    </row>
    <row r="110" spans="1:9" x14ac:dyDescent="0.25">
      <c r="B110" s="41"/>
      <c r="C110" s="42"/>
      <c r="D110" s="2"/>
      <c r="E110" s="46"/>
      <c r="F110" s="47"/>
      <c r="G110" s="61"/>
      <c r="I110" s="2"/>
    </row>
    <row r="111" spans="1:9" x14ac:dyDescent="0.25">
      <c r="B111" s="41"/>
      <c r="C111" s="42"/>
      <c r="D111" s="2"/>
      <c r="E111" s="46"/>
      <c r="F111" s="47"/>
      <c r="G111" s="61"/>
      <c r="I111" s="2"/>
    </row>
    <row r="112" spans="1:9" x14ac:dyDescent="0.25">
      <c r="B112" s="41"/>
      <c r="C112" s="42"/>
      <c r="D112" s="2"/>
      <c r="E112" s="46"/>
      <c r="F112" s="47"/>
      <c r="G112" s="61"/>
      <c r="I112" s="2"/>
    </row>
    <row r="113" spans="2:9" x14ac:dyDescent="0.25">
      <c r="B113" s="41"/>
      <c r="C113" s="42"/>
      <c r="D113" s="2"/>
      <c r="E113" s="46"/>
      <c r="F113" s="47"/>
      <c r="G113" s="61"/>
      <c r="I113" s="2"/>
    </row>
    <row r="114" spans="2:9" x14ac:dyDescent="0.25">
      <c r="B114" s="41"/>
      <c r="C114" s="42"/>
      <c r="D114" s="2"/>
      <c r="E114" s="46"/>
      <c r="F114" s="47"/>
      <c r="G114" s="61"/>
      <c r="I114" s="2"/>
    </row>
    <row r="115" spans="2:9" x14ac:dyDescent="0.25">
      <c r="B115" s="41"/>
      <c r="C115" s="42"/>
      <c r="D115" s="2"/>
      <c r="E115" s="46"/>
      <c r="F115" s="47"/>
      <c r="G115" s="61"/>
      <c r="I115" s="2"/>
    </row>
  </sheetData>
  <mergeCells count="4">
    <mergeCell ref="B1:G1"/>
    <mergeCell ref="B2:F2"/>
    <mergeCell ref="E102:G102"/>
    <mergeCell ref="E104:G104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I109"/>
  <sheetViews>
    <sheetView workbookViewId="0">
      <pane xSplit="3" ySplit="3" topLeftCell="D70" activePane="bottomRight" state="frozen"/>
      <selection pane="topRight" activeCell="D1" sqref="D1"/>
      <selection pane="bottomLeft" activeCell="A4" sqref="A4"/>
      <selection pane="bottomRight" activeCell="F69" sqref="F69"/>
    </sheetView>
  </sheetViews>
  <sheetFormatPr baseColWidth="10" defaultRowHeight="15.75" x14ac:dyDescent="0.25"/>
  <cols>
    <col min="1" max="1" width="11.42578125" style="1"/>
    <col min="2" max="2" width="13.140625" style="54" customWidth="1"/>
    <col min="3" max="3" width="9.85546875" style="55" hidden="1" customWidth="1"/>
    <col min="4" max="4" width="34.28515625" customWidth="1"/>
    <col min="5" max="5" width="15.85546875" style="56" bestFit="1" customWidth="1"/>
    <col min="6" max="6" width="13.28515625" style="57" customWidth="1"/>
    <col min="7" max="7" width="18" style="63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19.5" thickBot="1" x14ac:dyDescent="0.35">
      <c r="B1" s="89" t="s">
        <v>84</v>
      </c>
      <c r="C1" s="90"/>
      <c r="D1" s="90"/>
      <c r="E1" s="90"/>
      <c r="F1" s="90"/>
      <c r="G1" s="91"/>
      <c r="I1" s="2"/>
    </row>
    <row r="2" spans="1:9" ht="21" x14ac:dyDescent="0.35">
      <c r="A2" s="3"/>
      <c r="B2" s="92" t="s">
        <v>0</v>
      </c>
      <c r="C2" s="92"/>
      <c r="D2" s="92"/>
      <c r="E2" s="92"/>
      <c r="F2" s="92"/>
      <c r="G2" s="58"/>
      <c r="H2" s="4"/>
      <c r="I2" s="2"/>
    </row>
    <row r="3" spans="1:9" ht="46.5" thickBot="1" x14ac:dyDescent="0.35">
      <c r="A3" s="5"/>
      <c r="B3" s="6" t="s">
        <v>1</v>
      </c>
      <c r="C3" s="7" t="s">
        <v>2</v>
      </c>
      <c r="D3" s="8" t="s">
        <v>3</v>
      </c>
      <c r="E3" s="9" t="s">
        <v>4</v>
      </c>
      <c r="F3" s="10" t="s">
        <v>5</v>
      </c>
      <c r="G3" s="11" t="s">
        <v>6</v>
      </c>
      <c r="H3" s="12" t="s">
        <v>7</v>
      </c>
      <c r="I3" s="2"/>
    </row>
    <row r="4" spans="1:9" ht="16.5" thickTop="1" x14ac:dyDescent="0.25">
      <c r="A4" s="13">
        <v>45016</v>
      </c>
      <c r="B4" s="14">
        <v>1222</v>
      </c>
      <c r="C4" s="15"/>
      <c r="D4" s="16" t="s">
        <v>15</v>
      </c>
      <c r="E4" s="17">
        <v>1450</v>
      </c>
      <c r="F4" s="18">
        <v>45018</v>
      </c>
      <c r="G4" s="59">
        <v>1450</v>
      </c>
      <c r="H4" s="19">
        <f t="shared" ref="H4:H91" si="0">E4-G4</f>
        <v>0</v>
      </c>
      <c r="I4" s="2"/>
    </row>
    <row r="5" spans="1:9" x14ac:dyDescent="0.25">
      <c r="A5" s="13">
        <v>45016</v>
      </c>
      <c r="B5" s="14">
        <v>1223</v>
      </c>
      <c r="C5" s="15"/>
      <c r="D5" s="20" t="s">
        <v>24</v>
      </c>
      <c r="E5" s="21">
        <v>9830</v>
      </c>
      <c r="F5" s="22">
        <v>45024</v>
      </c>
      <c r="G5" s="31">
        <v>9830</v>
      </c>
      <c r="H5" s="19">
        <f t="shared" si="0"/>
        <v>0</v>
      </c>
    </row>
    <row r="6" spans="1:9" ht="31.5" x14ac:dyDescent="0.25">
      <c r="A6" s="13">
        <v>45017</v>
      </c>
      <c r="B6" s="14">
        <f t="shared" ref="B6:B69" si="1">B5+1</f>
        <v>1224</v>
      </c>
      <c r="C6" s="15"/>
      <c r="D6" s="20" t="s">
        <v>15</v>
      </c>
      <c r="E6" s="21">
        <v>2288</v>
      </c>
      <c r="F6" s="22" t="s">
        <v>87</v>
      </c>
      <c r="G6" s="31">
        <f>1400+888</f>
        <v>2288</v>
      </c>
      <c r="H6" s="19">
        <f t="shared" si="0"/>
        <v>0</v>
      </c>
    </row>
    <row r="7" spans="1:9" x14ac:dyDescent="0.25">
      <c r="A7" s="23">
        <v>45017</v>
      </c>
      <c r="B7" s="14">
        <f t="shared" si="1"/>
        <v>1225</v>
      </c>
      <c r="C7" s="15"/>
      <c r="D7" s="20" t="s">
        <v>13</v>
      </c>
      <c r="E7" s="21">
        <v>4782</v>
      </c>
      <c r="F7" s="22">
        <v>45021</v>
      </c>
      <c r="G7" s="31">
        <v>4782</v>
      </c>
      <c r="H7" s="19">
        <f t="shared" si="0"/>
        <v>0</v>
      </c>
    </row>
    <row r="8" spans="1:9" x14ac:dyDescent="0.25">
      <c r="A8" s="13">
        <v>45017</v>
      </c>
      <c r="B8" s="14">
        <f t="shared" si="1"/>
        <v>1226</v>
      </c>
      <c r="C8" s="15"/>
      <c r="D8" s="24" t="s">
        <v>25</v>
      </c>
      <c r="E8" s="21">
        <v>10131</v>
      </c>
      <c r="F8" s="22">
        <v>45019</v>
      </c>
      <c r="G8" s="31">
        <v>10131</v>
      </c>
      <c r="H8" s="19">
        <f t="shared" si="0"/>
        <v>0</v>
      </c>
    </row>
    <row r="9" spans="1:9" x14ac:dyDescent="0.25">
      <c r="A9" s="13">
        <v>45018</v>
      </c>
      <c r="B9" s="14">
        <f t="shared" si="1"/>
        <v>1227</v>
      </c>
      <c r="C9" s="15"/>
      <c r="D9" s="20" t="s">
        <v>15</v>
      </c>
      <c r="E9" s="21">
        <v>2116</v>
      </c>
      <c r="F9" s="22" t="s">
        <v>88</v>
      </c>
      <c r="G9" s="31">
        <v>2116</v>
      </c>
      <c r="H9" s="19">
        <f t="shared" si="0"/>
        <v>0</v>
      </c>
    </row>
    <row r="10" spans="1:9" ht="31.5" x14ac:dyDescent="0.25">
      <c r="A10" s="13">
        <v>45019</v>
      </c>
      <c r="B10" s="14">
        <f t="shared" si="1"/>
        <v>1228</v>
      </c>
      <c r="C10" s="15"/>
      <c r="D10" s="20" t="s">
        <v>14</v>
      </c>
      <c r="E10" s="21">
        <v>4930</v>
      </c>
      <c r="F10" s="22" t="s">
        <v>89</v>
      </c>
      <c r="G10" s="31">
        <f>4000+930</f>
        <v>4930</v>
      </c>
      <c r="H10" s="19">
        <f t="shared" si="0"/>
        <v>0</v>
      </c>
    </row>
    <row r="11" spans="1:9" x14ac:dyDescent="0.25">
      <c r="A11" s="13">
        <v>45020</v>
      </c>
      <c r="B11" s="14">
        <f t="shared" si="1"/>
        <v>1229</v>
      </c>
      <c r="C11" s="15"/>
      <c r="D11" s="20" t="s">
        <v>15</v>
      </c>
      <c r="E11" s="21">
        <v>1398</v>
      </c>
      <c r="F11" s="22">
        <v>45024</v>
      </c>
      <c r="G11" s="31">
        <v>1398</v>
      </c>
      <c r="H11" s="19">
        <f t="shared" si="0"/>
        <v>0</v>
      </c>
    </row>
    <row r="12" spans="1:9" x14ac:dyDescent="0.25">
      <c r="A12" s="13">
        <v>45020</v>
      </c>
      <c r="B12" s="14">
        <f t="shared" si="1"/>
        <v>1230</v>
      </c>
      <c r="C12" s="25"/>
      <c r="D12" s="20" t="s">
        <v>12</v>
      </c>
      <c r="E12" s="21">
        <v>287</v>
      </c>
      <c r="F12" s="22">
        <v>45026</v>
      </c>
      <c r="G12" s="31">
        <v>287</v>
      </c>
      <c r="H12" s="19">
        <f t="shared" si="0"/>
        <v>0</v>
      </c>
    </row>
    <row r="13" spans="1:9" x14ac:dyDescent="0.25">
      <c r="A13" s="13">
        <v>45021</v>
      </c>
      <c r="B13" s="14">
        <f t="shared" si="1"/>
        <v>1231</v>
      </c>
      <c r="C13" s="26"/>
      <c r="D13" s="20" t="s">
        <v>13</v>
      </c>
      <c r="E13" s="21">
        <v>3603</v>
      </c>
      <c r="F13" s="22">
        <v>45024</v>
      </c>
      <c r="G13" s="31">
        <v>3603</v>
      </c>
      <c r="H13" s="19">
        <f t="shared" si="0"/>
        <v>0</v>
      </c>
    </row>
    <row r="14" spans="1:9" x14ac:dyDescent="0.25">
      <c r="A14" s="13">
        <v>45022</v>
      </c>
      <c r="B14" s="14">
        <f t="shared" si="1"/>
        <v>1232</v>
      </c>
      <c r="C14" s="25"/>
      <c r="D14" s="20" t="s">
        <v>24</v>
      </c>
      <c r="E14" s="21">
        <v>11340</v>
      </c>
      <c r="F14" s="22">
        <v>45032</v>
      </c>
      <c r="G14" s="31">
        <v>11340</v>
      </c>
      <c r="H14" s="19">
        <f t="shared" si="0"/>
        <v>0</v>
      </c>
    </row>
    <row r="15" spans="1:9" x14ac:dyDescent="0.25">
      <c r="A15" s="13">
        <v>45024</v>
      </c>
      <c r="B15" s="14">
        <f t="shared" si="1"/>
        <v>1233</v>
      </c>
      <c r="C15" s="26"/>
      <c r="D15" s="20" t="s">
        <v>15</v>
      </c>
      <c r="E15" s="21">
        <v>1072</v>
      </c>
      <c r="F15" s="22">
        <v>45025</v>
      </c>
      <c r="G15" s="31">
        <v>1072</v>
      </c>
      <c r="H15" s="19">
        <f t="shared" si="0"/>
        <v>0</v>
      </c>
    </row>
    <row r="16" spans="1:9" x14ac:dyDescent="0.25">
      <c r="A16" s="13">
        <v>45024</v>
      </c>
      <c r="B16" s="14">
        <f t="shared" si="1"/>
        <v>1234</v>
      </c>
      <c r="C16" s="25"/>
      <c r="D16" s="20" t="s">
        <v>13</v>
      </c>
      <c r="E16" s="21">
        <v>5207</v>
      </c>
      <c r="F16" s="22">
        <v>45025</v>
      </c>
      <c r="G16" s="31">
        <v>5207</v>
      </c>
      <c r="H16" s="19">
        <f t="shared" si="0"/>
        <v>0</v>
      </c>
    </row>
    <row r="17" spans="1:8" x14ac:dyDescent="0.25">
      <c r="A17" s="13">
        <v>45025</v>
      </c>
      <c r="B17" s="14">
        <f t="shared" si="1"/>
        <v>1235</v>
      </c>
      <c r="C17" s="26"/>
      <c r="D17" s="20" t="s">
        <v>15</v>
      </c>
      <c r="E17" s="21">
        <v>487</v>
      </c>
      <c r="F17" s="22">
        <v>45026</v>
      </c>
      <c r="G17" s="31">
        <v>487</v>
      </c>
      <c r="H17" s="19">
        <f t="shared" si="0"/>
        <v>0</v>
      </c>
    </row>
    <row r="18" spans="1:8" x14ac:dyDescent="0.25">
      <c r="A18" s="13">
        <v>45025</v>
      </c>
      <c r="B18" s="14">
        <f t="shared" si="1"/>
        <v>1236</v>
      </c>
      <c r="C18" s="25"/>
      <c r="D18" s="20" t="s">
        <v>13</v>
      </c>
      <c r="E18" s="21">
        <v>2665</v>
      </c>
      <c r="F18" s="22">
        <v>45026</v>
      </c>
      <c r="G18" s="31">
        <v>2665</v>
      </c>
      <c r="H18" s="19">
        <f t="shared" si="0"/>
        <v>0</v>
      </c>
    </row>
    <row r="19" spans="1:8" ht="16.5" customHeight="1" x14ac:dyDescent="0.25">
      <c r="A19" s="13">
        <v>45026</v>
      </c>
      <c r="B19" s="14">
        <f t="shared" si="1"/>
        <v>1237</v>
      </c>
      <c r="C19" s="26"/>
      <c r="D19" s="20" t="s">
        <v>15</v>
      </c>
      <c r="E19" s="21">
        <v>1389</v>
      </c>
      <c r="F19" s="22">
        <v>45027</v>
      </c>
      <c r="G19" s="31">
        <v>1389</v>
      </c>
      <c r="H19" s="19">
        <f t="shared" si="0"/>
        <v>0</v>
      </c>
    </row>
    <row r="20" spans="1:8" x14ac:dyDescent="0.25">
      <c r="A20" s="13">
        <v>45026</v>
      </c>
      <c r="B20" s="14">
        <f t="shared" si="1"/>
        <v>1238</v>
      </c>
      <c r="C20" s="25"/>
      <c r="D20" s="20" t="s">
        <v>13</v>
      </c>
      <c r="E20" s="21">
        <v>5068</v>
      </c>
      <c r="F20" s="22">
        <v>45027</v>
      </c>
      <c r="G20" s="31">
        <v>5068</v>
      </c>
      <c r="H20" s="19">
        <f t="shared" si="0"/>
        <v>0</v>
      </c>
    </row>
    <row r="21" spans="1:8" x14ac:dyDescent="0.25">
      <c r="A21" s="13">
        <v>45027</v>
      </c>
      <c r="B21" s="14">
        <f t="shared" si="1"/>
        <v>1239</v>
      </c>
      <c r="C21" s="25"/>
      <c r="D21" s="20" t="s">
        <v>15</v>
      </c>
      <c r="E21" s="21">
        <v>1100</v>
      </c>
      <c r="F21" s="22">
        <v>45028</v>
      </c>
      <c r="G21" s="31">
        <v>1100</v>
      </c>
      <c r="H21" s="19">
        <f t="shared" si="0"/>
        <v>0</v>
      </c>
    </row>
    <row r="22" spans="1:8" x14ac:dyDescent="0.25">
      <c r="A22" s="13">
        <v>45027</v>
      </c>
      <c r="B22" s="14">
        <f t="shared" si="1"/>
        <v>1240</v>
      </c>
      <c r="C22" s="25"/>
      <c r="D22" s="20" t="s">
        <v>13</v>
      </c>
      <c r="E22" s="21">
        <v>3993</v>
      </c>
      <c r="F22" s="22">
        <v>45028</v>
      </c>
      <c r="G22" s="31">
        <v>3993</v>
      </c>
      <c r="H22" s="19">
        <f t="shared" si="0"/>
        <v>0</v>
      </c>
    </row>
    <row r="23" spans="1:8" x14ac:dyDescent="0.25">
      <c r="A23" s="13">
        <v>45028</v>
      </c>
      <c r="B23" s="14">
        <f t="shared" si="1"/>
        <v>1241</v>
      </c>
      <c r="C23" s="25"/>
      <c r="D23" s="20" t="s">
        <v>15</v>
      </c>
      <c r="E23" s="21">
        <v>1084</v>
      </c>
      <c r="F23" s="22">
        <v>45029</v>
      </c>
      <c r="G23" s="31">
        <v>1084</v>
      </c>
      <c r="H23" s="19">
        <f t="shared" si="0"/>
        <v>0</v>
      </c>
    </row>
    <row r="24" spans="1:8" x14ac:dyDescent="0.25">
      <c r="A24" s="13">
        <v>45028</v>
      </c>
      <c r="B24" s="14">
        <f t="shared" si="1"/>
        <v>1242</v>
      </c>
      <c r="C24" s="25"/>
      <c r="D24" s="20" t="s">
        <v>13</v>
      </c>
      <c r="E24" s="21">
        <v>2501</v>
      </c>
      <c r="F24" s="22">
        <v>45030</v>
      </c>
      <c r="G24" s="31">
        <v>2501</v>
      </c>
      <c r="H24" s="19">
        <f t="shared" si="0"/>
        <v>0</v>
      </c>
    </row>
    <row r="25" spans="1:8" ht="31.5" x14ac:dyDescent="0.25">
      <c r="A25" s="13">
        <v>45029</v>
      </c>
      <c r="B25" s="14">
        <f t="shared" si="1"/>
        <v>1243</v>
      </c>
      <c r="C25" s="25"/>
      <c r="D25" s="20" t="s">
        <v>15</v>
      </c>
      <c r="E25" s="21">
        <v>1693</v>
      </c>
      <c r="F25" s="22" t="s">
        <v>91</v>
      </c>
      <c r="G25" s="31">
        <f>1100+593</f>
        <v>1693</v>
      </c>
      <c r="H25" s="19">
        <f t="shared" si="0"/>
        <v>0</v>
      </c>
    </row>
    <row r="26" spans="1:8" x14ac:dyDescent="0.25">
      <c r="A26" s="13">
        <v>45029</v>
      </c>
      <c r="B26" s="14">
        <f t="shared" si="1"/>
        <v>1244</v>
      </c>
      <c r="C26" s="25"/>
      <c r="D26" s="20" t="s">
        <v>17</v>
      </c>
      <c r="E26" s="21">
        <v>6000</v>
      </c>
      <c r="F26" s="22">
        <v>45038</v>
      </c>
      <c r="G26" s="31">
        <v>6000</v>
      </c>
      <c r="H26" s="19">
        <f t="shared" si="0"/>
        <v>0</v>
      </c>
    </row>
    <row r="27" spans="1:8" x14ac:dyDescent="0.25">
      <c r="A27" s="13">
        <v>45030</v>
      </c>
      <c r="B27" s="14">
        <f t="shared" si="1"/>
        <v>1245</v>
      </c>
      <c r="C27" s="25"/>
      <c r="D27" s="20" t="s">
        <v>12</v>
      </c>
      <c r="E27" s="21">
        <v>467</v>
      </c>
      <c r="F27" s="22">
        <v>45034</v>
      </c>
      <c r="G27" s="31">
        <v>467</v>
      </c>
      <c r="H27" s="19">
        <f t="shared" si="0"/>
        <v>0</v>
      </c>
    </row>
    <row r="28" spans="1:8" ht="27.75" customHeight="1" x14ac:dyDescent="0.25">
      <c r="A28" s="13">
        <v>45030</v>
      </c>
      <c r="B28" s="14">
        <f t="shared" si="1"/>
        <v>1246</v>
      </c>
      <c r="C28" s="25"/>
      <c r="D28" s="20" t="s">
        <v>24</v>
      </c>
      <c r="E28" s="21">
        <v>16683</v>
      </c>
      <c r="F28" s="22">
        <v>45039</v>
      </c>
      <c r="G28" s="31">
        <v>16683</v>
      </c>
      <c r="H28" s="19">
        <f t="shared" si="0"/>
        <v>0</v>
      </c>
    </row>
    <row r="29" spans="1:8" x14ac:dyDescent="0.25">
      <c r="A29" s="13">
        <v>45030</v>
      </c>
      <c r="B29" s="14">
        <f t="shared" si="1"/>
        <v>1247</v>
      </c>
      <c r="C29" s="25"/>
      <c r="D29" s="20" t="s">
        <v>13</v>
      </c>
      <c r="E29" s="21">
        <v>3456</v>
      </c>
      <c r="F29" s="22">
        <v>45031</v>
      </c>
      <c r="G29" s="31">
        <v>3456</v>
      </c>
      <c r="H29" s="19">
        <f t="shared" si="0"/>
        <v>0</v>
      </c>
    </row>
    <row r="30" spans="1:8" x14ac:dyDescent="0.25">
      <c r="A30" s="13">
        <v>45031</v>
      </c>
      <c r="B30" s="14">
        <f t="shared" si="1"/>
        <v>1248</v>
      </c>
      <c r="C30" s="25"/>
      <c r="D30" s="20" t="s">
        <v>15</v>
      </c>
      <c r="E30" s="21">
        <v>3006</v>
      </c>
      <c r="F30" s="22">
        <v>45032</v>
      </c>
      <c r="G30" s="31">
        <v>3006</v>
      </c>
      <c r="H30" s="19">
        <f t="shared" si="0"/>
        <v>0</v>
      </c>
    </row>
    <row r="31" spans="1:8" x14ac:dyDescent="0.25">
      <c r="A31" s="13">
        <v>45031</v>
      </c>
      <c r="B31" s="14">
        <f t="shared" si="1"/>
        <v>1249</v>
      </c>
      <c r="C31" s="25"/>
      <c r="D31" s="20" t="s">
        <v>13</v>
      </c>
      <c r="E31" s="21">
        <v>4285</v>
      </c>
      <c r="F31" s="22">
        <v>45032</v>
      </c>
      <c r="G31" s="31">
        <v>4285</v>
      </c>
      <c r="H31" s="19">
        <f t="shared" si="0"/>
        <v>0</v>
      </c>
    </row>
    <row r="32" spans="1:8" x14ac:dyDescent="0.25">
      <c r="A32" s="13">
        <v>45032</v>
      </c>
      <c r="B32" s="14">
        <f t="shared" si="1"/>
        <v>1250</v>
      </c>
      <c r="C32" s="25"/>
      <c r="D32" s="20" t="s">
        <v>15</v>
      </c>
      <c r="E32" s="21">
        <v>1011</v>
      </c>
      <c r="F32" s="22">
        <v>45033</v>
      </c>
      <c r="G32" s="31">
        <v>1011</v>
      </c>
      <c r="H32" s="19">
        <f t="shared" si="0"/>
        <v>0</v>
      </c>
    </row>
    <row r="33" spans="1:8" x14ac:dyDescent="0.25">
      <c r="A33" s="13">
        <v>45032</v>
      </c>
      <c r="B33" s="14">
        <f t="shared" si="1"/>
        <v>1251</v>
      </c>
      <c r="C33" s="25"/>
      <c r="D33" s="20" t="s">
        <v>13</v>
      </c>
      <c r="E33" s="21">
        <v>4277</v>
      </c>
      <c r="F33" s="22">
        <v>45033</v>
      </c>
      <c r="G33" s="31">
        <v>4277</v>
      </c>
      <c r="H33" s="19">
        <f t="shared" si="0"/>
        <v>0</v>
      </c>
    </row>
    <row r="34" spans="1:8" x14ac:dyDescent="0.25">
      <c r="A34" s="13">
        <v>45033</v>
      </c>
      <c r="B34" s="14">
        <f t="shared" si="1"/>
        <v>1252</v>
      </c>
      <c r="C34" s="25"/>
      <c r="D34" s="20" t="s">
        <v>15</v>
      </c>
      <c r="E34" s="21">
        <v>803</v>
      </c>
      <c r="F34" s="22">
        <v>45034</v>
      </c>
      <c r="G34" s="31">
        <v>803</v>
      </c>
      <c r="H34" s="19">
        <f t="shared" si="0"/>
        <v>0</v>
      </c>
    </row>
    <row r="35" spans="1:8" ht="17.25" customHeight="1" x14ac:dyDescent="0.25">
      <c r="A35" s="13">
        <v>45033</v>
      </c>
      <c r="B35" s="14">
        <f t="shared" si="1"/>
        <v>1253</v>
      </c>
      <c r="C35" s="25"/>
      <c r="D35" s="20" t="s">
        <v>13</v>
      </c>
      <c r="E35" s="21">
        <v>4285</v>
      </c>
      <c r="F35" s="22">
        <v>45034</v>
      </c>
      <c r="G35" s="31">
        <v>4285</v>
      </c>
      <c r="H35" s="19">
        <f t="shared" si="0"/>
        <v>0</v>
      </c>
    </row>
    <row r="36" spans="1:8" x14ac:dyDescent="0.25">
      <c r="A36" s="13">
        <v>45034</v>
      </c>
      <c r="B36" s="14">
        <f t="shared" si="1"/>
        <v>1254</v>
      </c>
      <c r="C36" s="25"/>
      <c r="D36" s="20" t="s">
        <v>15</v>
      </c>
      <c r="E36" s="21">
        <v>1456</v>
      </c>
      <c r="F36" s="22">
        <v>45035</v>
      </c>
      <c r="G36" s="31">
        <v>1456</v>
      </c>
      <c r="H36" s="19">
        <f t="shared" si="0"/>
        <v>0</v>
      </c>
    </row>
    <row r="37" spans="1:8" x14ac:dyDescent="0.25">
      <c r="A37" s="13">
        <v>45034</v>
      </c>
      <c r="B37" s="14">
        <f t="shared" si="1"/>
        <v>1255</v>
      </c>
      <c r="C37" s="25"/>
      <c r="D37" s="20" t="s">
        <v>13</v>
      </c>
      <c r="E37" s="21">
        <v>2568</v>
      </c>
      <c r="F37" s="22">
        <v>45035</v>
      </c>
      <c r="G37" s="31">
        <v>2568</v>
      </c>
      <c r="H37" s="19">
        <f t="shared" si="0"/>
        <v>0</v>
      </c>
    </row>
    <row r="38" spans="1:8" x14ac:dyDescent="0.25">
      <c r="A38" s="13">
        <v>45035</v>
      </c>
      <c r="B38" s="14">
        <f t="shared" si="1"/>
        <v>1256</v>
      </c>
      <c r="C38" s="25"/>
      <c r="D38" s="20" t="s">
        <v>15</v>
      </c>
      <c r="E38" s="21">
        <v>1415</v>
      </c>
      <c r="F38" s="22">
        <v>45036</v>
      </c>
      <c r="G38" s="31">
        <v>1415</v>
      </c>
      <c r="H38" s="19">
        <f t="shared" si="0"/>
        <v>0</v>
      </c>
    </row>
    <row r="39" spans="1:8" ht="31.5" x14ac:dyDescent="0.25">
      <c r="A39" s="13">
        <v>45035</v>
      </c>
      <c r="B39" s="14">
        <f t="shared" si="1"/>
        <v>1257</v>
      </c>
      <c r="C39" s="25"/>
      <c r="D39" s="20" t="s">
        <v>14</v>
      </c>
      <c r="E39" s="21">
        <v>4127</v>
      </c>
      <c r="F39" s="22" t="s">
        <v>92</v>
      </c>
      <c r="G39" s="31">
        <f>3500+627</f>
        <v>4127</v>
      </c>
      <c r="H39" s="19">
        <f t="shared" si="0"/>
        <v>0</v>
      </c>
    </row>
    <row r="40" spans="1:8" x14ac:dyDescent="0.25">
      <c r="A40" s="13">
        <v>45035</v>
      </c>
      <c r="B40" s="14">
        <f t="shared" si="1"/>
        <v>1258</v>
      </c>
      <c r="C40" s="25"/>
      <c r="D40" s="20" t="s">
        <v>13</v>
      </c>
      <c r="E40" s="21">
        <v>3596</v>
      </c>
      <c r="F40" s="22">
        <v>45036</v>
      </c>
      <c r="G40" s="31">
        <v>3596</v>
      </c>
      <c r="H40" s="19">
        <f t="shared" si="0"/>
        <v>0</v>
      </c>
    </row>
    <row r="41" spans="1:8" x14ac:dyDescent="0.25">
      <c r="A41" s="13">
        <v>45036</v>
      </c>
      <c r="B41" s="14">
        <f t="shared" si="1"/>
        <v>1259</v>
      </c>
      <c r="C41" s="25"/>
      <c r="D41" s="20" t="s">
        <v>15</v>
      </c>
      <c r="E41" s="21">
        <v>1219</v>
      </c>
      <c r="F41" s="22">
        <v>45037</v>
      </c>
      <c r="G41" s="31">
        <v>1219</v>
      </c>
      <c r="H41" s="19">
        <f t="shared" si="0"/>
        <v>0</v>
      </c>
    </row>
    <row r="42" spans="1:8" ht="18.75" x14ac:dyDescent="0.3">
      <c r="A42" s="13">
        <v>45036</v>
      </c>
      <c r="B42" s="14">
        <f t="shared" si="1"/>
        <v>1260</v>
      </c>
      <c r="C42" s="25"/>
      <c r="D42" s="70" t="s">
        <v>18</v>
      </c>
      <c r="E42" s="21">
        <v>0</v>
      </c>
      <c r="F42" s="22"/>
      <c r="G42" s="31"/>
      <c r="H42" s="19">
        <f t="shared" si="0"/>
        <v>0</v>
      </c>
    </row>
    <row r="43" spans="1:8" ht="18.75" x14ac:dyDescent="0.3">
      <c r="A43" s="13">
        <v>45036</v>
      </c>
      <c r="B43" s="14">
        <f t="shared" si="1"/>
        <v>1261</v>
      </c>
      <c r="C43" s="25"/>
      <c r="D43" s="70" t="s">
        <v>18</v>
      </c>
      <c r="E43" s="21">
        <v>0</v>
      </c>
      <c r="F43" s="22"/>
      <c r="G43" s="31"/>
      <c r="H43" s="19">
        <f t="shared" si="0"/>
        <v>0</v>
      </c>
    </row>
    <row r="44" spans="1:8" x14ac:dyDescent="0.25">
      <c r="A44" s="13">
        <v>45036</v>
      </c>
      <c r="B44" s="14">
        <f t="shared" si="1"/>
        <v>1262</v>
      </c>
      <c r="C44" s="25"/>
      <c r="D44" s="20" t="s">
        <v>13</v>
      </c>
      <c r="E44" s="21">
        <v>2644</v>
      </c>
      <c r="F44" s="22">
        <v>45037</v>
      </c>
      <c r="G44" s="31">
        <v>2644</v>
      </c>
      <c r="H44" s="19">
        <f t="shared" si="0"/>
        <v>0</v>
      </c>
    </row>
    <row r="45" spans="1:8" ht="27" customHeight="1" x14ac:dyDescent="0.25">
      <c r="A45" s="13">
        <v>45037</v>
      </c>
      <c r="B45" s="14">
        <f t="shared" si="1"/>
        <v>1263</v>
      </c>
      <c r="C45" s="25"/>
      <c r="D45" s="20" t="s">
        <v>13</v>
      </c>
      <c r="E45" s="21">
        <v>2972</v>
      </c>
      <c r="F45" s="22">
        <v>45038</v>
      </c>
      <c r="G45" s="31">
        <v>2972</v>
      </c>
      <c r="H45" s="19">
        <f t="shared" si="0"/>
        <v>0</v>
      </c>
    </row>
    <row r="46" spans="1:8" ht="21.75" customHeight="1" x14ac:dyDescent="0.25">
      <c r="A46" s="13">
        <v>45037</v>
      </c>
      <c r="B46" s="14">
        <f t="shared" si="1"/>
        <v>1264</v>
      </c>
      <c r="C46" s="25"/>
      <c r="D46" s="20" t="s">
        <v>15</v>
      </c>
      <c r="E46" s="21">
        <v>1426</v>
      </c>
      <c r="F46" s="22">
        <v>45038</v>
      </c>
      <c r="G46" s="31">
        <v>1426</v>
      </c>
      <c r="H46" s="19">
        <f t="shared" si="0"/>
        <v>0</v>
      </c>
    </row>
    <row r="47" spans="1:8" ht="22.5" customHeight="1" x14ac:dyDescent="0.25">
      <c r="A47" s="13">
        <v>45037</v>
      </c>
      <c r="B47" s="14">
        <f t="shared" si="1"/>
        <v>1265</v>
      </c>
      <c r="C47" s="25"/>
      <c r="D47" s="20" t="s">
        <v>24</v>
      </c>
      <c r="E47" s="21">
        <v>11730</v>
      </c>
      <c r="F47" s="22">
        <v>45049</v>
      </c>
      <c r="G47" s="31">
        <v>11730</v>
      </c>
      <c r="H47" s="19">
        <f t="shared" si="0"/>
        <v>0</v>
      </c>
    </row>
    <row r="48" spans="1:8" ht="28.5" customHeight="1" x14ac:dyDescent="0.25">
      <c r="A48" s="13">
        <v>45037</v>
      </c>
      <c r="B48" s="14">
        <f t="shared" si="1"/>
        <v>1266</v>
      </c>
      <c r="C48" s="25"/>
      <c r="D48" s="20" t="s">
        <v>25</v>
      </c>
      <c r="E48" s="21">
        <v>10400</v>
      </c>
      <c r="F48" s="22">
        <v>45040</v>
      </c>
      <c r="G48" s="31">
        <v>10400</v>
      </c>
      <c r="H48" s="19">
        <f t="shared" si="0"/>
        <v>0</v>
      </c>
    </row>
    <row r="49" spans="1:8" ht="28.5" customHeight="1" x14ac:dyDescent="0.25">
      <c r="A49" s="13">
        <v>45038</v>
      </c>
      <c r="B49" s="14">
        <f t="shared" si="1"/>
        <v>1267</v>
      </c>
      <c r="C49" s="25"/>
      <c r="D49" s="20" t="s">
        <v>12</v>
      </c>
      <c r="E49" s="21">
        <v>491</v>
      </c>
      <c r="F49" s="22">
        <v>45044</v>
      </c>
      <c r="G49" s="31">
        <v>491</v>
      </c>
      <c r="H49" s="19">
        <f t="shared" si="0"/>
        <v>0</v>
      </c>
    </row>
    <row r="50" spans="1:8" ht="28.5" customHeight="1" x14ac:dyDescent="0.25">
      <c r="A50" s="13">
        <v>45038</v>
      </c>
      <c r="B50" s="14">
        <f t="shared" si="1"/>
        <v>1268</v>
      </c>
      <c r="C50" s="25"/>
      <c r="D50" s="20" t="s">
        <v>15</v>
      </c>
      <c r="E50" s="21">
        <v>2080</v>
      </c>
      <c r="F50" s="22">
        <v>45039</v>
      </c>
      <c r="G50" s="31">
        <v>2080</v>
      </c>
      <c r="H50" s="19">
        <f t="shared" si="0"/>
        <v>0</v>
      </c>
    </row>
    <row r="51" spans="1:8" ht="28.5" customHeight="1" x14ac:dyDescent="0.25">
      <c r="A51" s="13">
        <v>45038</v>
      </c>
      <c r="B51" s="14">
        <f t="shared" si="1"/>
        <v>1269</v>
      </c>
      <c r="C51" s="25"/>
      <c r="D51" s="20" t="s">
        <v>17</v>
      </c>
      <c r="E51" s="21">
        <v>870</v>
      </c>
      <c r="F51" s="64">
        <v>45053</v>
      </c>
      <c r="G51" s="65">
        <v>870</v>
      </c>
      <c r="H51" s="19">
        <f t="shared" si="0"/>
        <v>0</v>
      </c>
    </row>
    <row r="52" spans="1:8" ht="28.5" customHeight="1" x14ac:dyDescent="0.25">
      <c r="A52" s="13">
        <v>45038</v>
      </c>
      <c r="B52" s="14">
        <f t="shared" si="1"/>
        <v>1270</v>
      </c>
      <c r="C52" s="25"/>
      <c r="D52" s="20" t="s">
        <v>13</v>
      </c>
      <c r="E52" s="21">
        <v>3338</v>
      </c>
      <c r="F52" s="22">
        <v>45039</v>
      </c>
      <c r="G52" s="31">
        <v>3338</v>
      </c>
      <c r="H52" s="19">
        <f t="shared" si="0"/>
        <v>0</v>
      </c>
    </row>
    <row r="53" spans="1:8" ht="28.5" customHeight="1" x14ac:dyDescent="0.25">
      <c r="A53" s="13">
        <v>45039</v>
      </c>
      <c r="B53" s="14">
        <f t="shared" si="1"/>
        <v>1271</v>
      </c>
      <c r="C53" s="25"/>
      <c r="D53" s="20" t="s">
        <v>15</v>
      </c>
      <c r="E53" s="21">
        <v>972</v>
      </c>
      <c r="F53" s="22">
        <v>45041</v>
      </c>
      <c r="G53" s="31">
        <v>972</v>
      </c>
      <c r="H53" s="19">
        <f t="shared" si="0"/>
        <v>0</v>
      </c>
    </row>
    <row r="54" spans="1:8" ht="28.5" customHeight="1" x14ac:dyDescent="0.25">
      <c r="A54" s="13">
        <v>45039</v>
      </c>
      <c r="B54" s="14">
        <f t="shared" si="1"/>
        <v>1272</v>
      </c>
      <c r="C54" s="25"/>
      <c r="D54" s="20" t="s">
        <v>13</v>
      </c>
      <c r="E54" s="21">
        <v>4009</v>
      </c>
      <c r="F54" s="22">
        <v>45040</v>
      </c>
      <c r="G54" s="31">
        <v>4009</v>
      </c>
      <c r="H54" s="19">
        <f t="shared" si="0"/>
        <v>0</v>
      </c>
    </row>
    <row r="55" spans="1:8" s="33" customFormat="1" ht="28.5" customHeight="1" x14ac:dyDescent="0.25">
      <c r="A55" s="29">
        <v>45040</v>
      </c>
      <c r="B55" s="14">
        <f t="shared" si="1"/>
        <v>1273</v>
      </c>
      <c r="C55" s="25"/>
      <c r="D55" s="24" t="s">
        <v>15</v>
      </c>
      <c r="E55" s="30">
        <v>550</v>
      </c>
      <c r="F55" s="22">
        <v>45041</v>
      </c>
      <c r="G55" s="31">
        <v>550</v>
      </c>
      <c r="H55" s="32">
        <f t="shared" si="0"/>
        <v>0</v>
      </c>
    </row>
    <row r="56" spans="1:8" ht="28.5" customHeight="1" x14ac:dyDescent="0.25">
      <c r="A56" s="13">
        <v>45040</v>
      </c>
      <c r="B56" s="14">
        <f t="shared" si="1"/>
        <v>1274</v>
      </c>
      <c r="C56" s="25"/>
      <c r="D56" s="20" t="s">
        <v>13</v>
      </c>
      <c r="E56" s="21">
        <v>2075</v>
      </c>
      <c r="F56" s="22">
        <v>45041</v>
      </c>
      <c r="G56" s="31">
        <v>2075</v>
      </c>
      <c r="H56" s="19">
        <f t="shared" si="0"/>
        <v>0</v>
      </c>
    </row>
    <row r="57" spans="1:8" ht="28.5" customHeight="1" x14ac:dyDescent="0.25">
      <c r="A57" s="13">
        <v>45040</v>
      </c>
      <c r="B57" s="14">
        <f t="shared" si="1"/>
        <v>1275</v>
      </c>
      <c r="C57" s="25"/>
      <c r="D57" s="20" t="s">
        <v>25</v>
      </c>
      <c r="E57" s="21">
        <v>1144</v>
      </c>
      <c r="F57" s="22">
        <v>45041</v>
      </c>
      <c r="G57" s="31">
        <v>1144</v>
      </c>
      <c r="H57" s="19">
        <f t="shared" si="0"/>
        <v>0</v>
      </c>
    </row>
    <row r="58" spans="1:8" ht="28.5" customHeight="1" x14ac:dyDescent="0.25">
      <c r="A58" s="13">
        <v>45041</v>
      </c>
      <c r="B58" s="14">
        <f t="shared" si="1"/>
        <v>1276</v>
      </c>
      <c r="C58" s="25"/>
      <c r="D58" s="20" t="s">
        <v>15</v>
      </c>
      <c r="E58" s="21">
        <v>1375</v>
      </c>
      <c r="F58" s="22">
        <v>45042</v>
      </c>
      <c r="G58" s="31">
        <v>1375</v>
      </c>
      <c r="H58" s="19">
        <f t="shared" si="0"/>
        <v>0</v>
      </c>
    </row>
    <row r="59" spans="1:8" ht="28.5" customHeight="1" x14ac:dyDescent="0.25">
      <c r="A59" s="13">
        <v>45041</v>
      </c>
      <c r="B59" s="14">
        <f t="shared" si="1"/>
        <v>1277</v>
      </c>
      <c r="C59" s="25"/>
      <c r="D59" s="20" t="s">
        <v>15</v>
      </c>
      <c r="E59" s="21">
        <v>190</v>
      </c>
      <c r="F59" s="22">
        <v>45042</v>
      </c>
      <c r="G59" s="31">
        <v>190</v>
      </c>
      <c r="H59" s="19">
        <f t="shared" si="0"/>
        <v>0</v>
      </c>
    </row>
    <row r="60" spans="1:8" ht="28.5" customHeight="1" x14ac:dyDescent="0.25">
      <c r="A60" s="13">
        <v>45041</v>
      </c>
      <c r="B60" s="14">
        <f t="shared" si="1"/>
        <v>1278</v>
      </c>
      <c r="C60" s="25"/>
      <c r="D60" s="20" t="s">
        <v>13</v>
      </c>
      <c r="E60" s="21">
        <v>2742</v>
      </c>
      <c r="F60" s="22">
        <v>45042</v>
      </c>
      <c r="G60" s="31">
        <v>2742</v>
      </c>
      <c r="H60" s="19">
        <f t="shared" si="0"/>
        <v>0</v>
      </c>
    </row>
    <row r="61" spans="1:8" ht="28.5" customHeight="1" x14ac:dyDescent="0.25">
      <c r="A61" s="13">
        <v>45041</v>
      </c>
      <c r="B61" s="14">
        <f t="shared" si="1"/>
        <v>1279</v>
      </c>
      <c r="C61" s="25"/>
      <c r="D61" s="20" t="s">
        <v>93</v>
      </c>
      <c r="E61" s="21">
        <v>7430</v>
      </c>
      <c r="F61" s="22">
        <v>45043</v>
      </c>
      <c r="G61" s="31">
        <v>7430</v>
      </c>
      <c r="H61" s="19">
        <f t="shared" si="0"/>
        <v>0</v>
      </c>
    </row>
    <row r="62" spans="1:8" ht="28.5" customHeight="1" x14ac:dyDescent="0.25">
      <c r="A62" s="13">
        <v>45042</v>
      </c>
      <c r="B62" s="14">
        <f t="shared" si="1"/>
        <v>1280</v>
      </c>
      <c r="C62" s="25"/>
      <c r="D62" s="20" t="s">
        <v>15</v>
      </c>
      <c r="E62" s="21">
        <v>1414</v>
      </c>
      <c r="F62" s="22">
        <v>45044</v>
      </c>
      <c r="G62" s="31">
        <v>1414</v>
      </c>
      <c r="H62" s="19">
        <f t="shared" si="0"/>
        <v>0</v>
      </c>
    </row>
    <row r="63" spans="1:8" ht="28.5" customHeight="1" x14ac:dyDescent="0.25">
      <c r="A63" s="13">
        <v>45042</v>
      </c>
      <c r="B63" s="14">
        <f t="shared" si="1"/>
        <v>1281</v>
      </c>
      <c r="C63" s="25"/>
      <c r="D63" s="20" t="s">
        <v>14</v>
      </c>
      <c r="E63" s="21">
        <v>1016</v>
      </c>
      <c r="F63" s="22">
        <v>45043</v>
      </c>
      <c r="G63" s="31">
        <v>1016</v>
      </c>
      <c r="H63" s="19">
        <f t="shared" si="0"/>
        <v>0</v>
      </c>
    </row>
    <row r="64" spans="1:8" ht="28.5" customHeight="1" x14ac:dyDescent="0.25">
      <c r="A64" s="13">
        <v>45042</v>
      </c>
      <c r="B64" s="14">
        <f t="shared" si="1"/>
        <v>1282</v>
      </c>
      <c r="C64" s="25"/>
      <c r="D64" s="20" t="s">
        <v>13</v>
      </c>
      <c r="E64" s="21">
        <v>2128</v>
      </c>
      <c r="F64" s="22">
        <v>45043</v>
      </c>
      <c r="G64" s="31">
        <v>2128</v>
      </c>
      <c r="H64" s="19">
        <f t="shared" si="0"/>
        <v>0</v>
      </c>
    </row>
    <row r="65" spans="1:8" ht="42" customHeight="1" x14ac:dyDescent="0.25">
      <c r="A65" s="23">
        <v>45043</v>
      </c>
      <c r="B65" s="14">
        <f t="shared" si="1"/>
        <v>1283</v>
      </c>
      <c r="C65" s="25"/>
      <c r="D65" s="34" t="s">
        <v>15</v>
      </c>
      <c r="E65" s="21">
        <v>1100</v>
      </c>
      <c r="F65" s="22" t="s">
        <v>94</v>
      </c>
      <c r="G65" s="31">
        <f>900+200</f>
        <v>1100</v>
      </c>
      <c r="H65" s="19">
        <f t="shared" si="0"/>
        <v>0</v>
      </c>
    </row>
    <row r="66" spans="1:8" ht="28.5" customHeight="1" x14ac:dyDescent="0.25">
      <c r="A66" s="23">
        <v>45043</v>
      </c>
      <c r="B66" s="14">
        <f t="shared" si="1"/>
        <v>1284</v>
      </c>
      <c r="C66" s="25"/>
      <c r="D66" s="34" t="s">
        <v>13</v>
      </c>
      <c r="E66" s="21">
        <v>3949</v>
      </c>
      <c r="F66" s="22">
        <v>45044</v>
      </c>
      <c r="G66" s="31">
        <v>3949</v>
      </c>
      <c r="H66" s="19">
        <f t="shared" si="0"/>
        <v>0</v>
      </c>
    </row>
    <row r="67" spans="1:8" ht="28.5" customHeight="1" x14ac:dyDescent="0.25">
      <c r="A67" s="23">
        <v>45044</v>
      </c>
      <c r="B67" s="14">
        <f t="shared" si="1"/>
        <v>1285</v>
      </c>
      <c r="C67" s="25"/>
      <c r="D67" s="34" t="s">
        <v>15</v>
      </c>
      <c r="E67" s="21">
        <v>1375</v>
      </c>
      <c r="F67" s="22">
        <v>45045</v>
      </c>
      <c r="G67" s="31">
        <v>1375</v>
      </c>
      <c r="H67" s="19">
        <f t="shared" si="0"/>
        <v>0</v>
      </c>
    </row>
    <row r="68" spans="1:8" ht="28.5" customHeight="1" x14ac:dyDescent="0.25">
      <c r="A68" s="23">
        <v>45044</v>
      </c>
      <c r="B68" s="14">
        <f t="shared" si="1"/>
        <v>1286</v>
      </c>
      <c r="C68" s="25"/>
      <c r="D68" s="34" t="s">
        <v>13</v>
      </c>
      <c r="E68" s="21">
        <v>2948</v>
      </c>
      <c r="F68" s="22">
        <v>45045</v>
      </c>
      <c r="G68" s="31">
        <v>2948</v>
      </c>
      <c r="H68" s="19">
        <f t="shared" si="0"/>
        <v>0</v>
      </c>
    </row>
    <row r="69" spans="1:8" ht="28.5" customHeight="1" x14ac:dyDescent="0.25">
      <c r="A69" s="23">
        <v>45044</v>
      </c>
      <c r="B69" s="14">
        <f t="shared" si="1"/>
        <v>1287</v>
      </c>
      <c r="C69" s="25"/>
      <c r="D69" s="34" t="s">
        <v>24</v>
      </c>
      <c r="E69" s="21">
        <v>11080</v>
      </c>
      <c r="F69" s="64">
        <v>45053</v>
      </c>
      <c r="G69" s="65">
        <v>11080</v>
      </c>
      <c r="H69" s="19">
        <f t="shared" si="0"/>
        <v>0</v>
      </c>
    </row>
    <row r="70" spans="1:8" ht="28.5" customHeight="1" x14ac:dyDescent="0.25">
      <c r="A70" s="23">
        <v>45044</v>
      </c>
      <c r="B70" s="14">
        <f t="shared" ref="B70:B87" si="2">B69+1</f>
        <v>1288</v>
      </c>
      <c r="C70" s="25"/>
      <c r="D70" s="34" t="s">
        <v>25</v>
      </c>
      <c r="E70" s="21">
        <v>12455</v>
      </c>
      <c r="F70" s="22">
        <v>45047</v>
      </c>
      <c r="G70" s="31">
        <v>12455</v>
      </c>
      <c r="H70" s="19">
        <f t="shared" si="0"/>
        <v>0</v>
      </c>
    </row>
    <row r="71" spans="1:8" ht="28.5" customHeight="1" x14ac:dyDescent="0.25">
      <c r="A71" s="23">
        <v>45045</v>
      </c>
      <c r="B71" s="14">
        <f t="shared" si="2"/>
        <v>1289</v>
      </c>
      <c r="C71" s="25"/>
      <c r="D71" s="34" t="s">
        <v>15</v>
      </c>
      <c r="E71" s="21">
        <v>1726</v>
      </c>
      <c r="F71" s="22">
        <v>45046</v>
      </c>
      <c r="G71" s="31">
        <v>1726</v>
      </c>
      <c r="H71" s="19">
        <f t="shared" si="0"/>
        <v>0</v>
      </c>
    </row>
    <row r="72" spans="1:8" ht="28.5" customHeight="1" x14ac:dyDescent="0.25">
      <c r="A72" s="23">
        <v>45045</v>
      </c>
      <c r="B72" s="14">
        <f t="shared" si="2"/>
        <v>1290</v>
      </c>
      <c r="C72" s="25"/>
      <c r="D72" s="34" t="s">
        <v>13</v>
      </c>
      <c r="E72" s="21">
        <v>4064</v>
      </c>
      <c r="F72" s="22">
        <v>45046</v>
      </c>
      <c r="G72" s="31">
        <v>4064</v>
      </c>
      <c r="H72" s="19">
        <f t="shared" si="0"/>
        <v>0</v>
      </c>
    </row>
    <row r="73" spans="1:8" ht="28.5" customHeight="1" x14ac:dyDescent="0.25">
      <c r="A73" s="23">
        <v>45045</v>
      </c>
      <c r="B73" s="14">
        <f t="shared" si="2"/>
        <v>1291</v>
      </c>
      <c r="C73" s="25"/>
      <c r="D73" s="34" t="s">
        <v>12</v>
      </c>
      <c r="E73" s="21">
        <v>428</v>
      </c>
      <c r="F73" s="22">
        <v>45047</v>
      </c>
      <c r="G73" s="31">
        <v>428</v>
      </c>
      <c r="H73" s="19">
        <f t="shared" si="0"/>
        <v>0</v>
      </c>
    </row>
    <row r="74" spans="1:8" ht="24" customHeight="1" x14ac:dyDescent="0.25">
      <c r="A74" s="23">
        <v>45046</v>
      </c>
      <c r="B74" s="14">
        <f t="shared" si="2"/>
        <v>1292</v>
      </c>
      <c r="C74" s="25"/>
      <c r="D74" s="34" t="s">
        <v>15</v>
      </c>
      <c r="E74" s="21">
        <v>625</v>
      </c>
      <c r="F74" s="22">
        <v>45048</v>
      </c>
      <c r="G74" s="31">
        <v>625</v>
      </c>
      <c r="H74" s="19">
        <f t="shared" si="0"/>
        <v>0</v>
      </c>
    </row>
    <row r="75" spans="1:8" ht="30" customHeight="1" x14ac:dyDescent="0.25">
      <c r="A75" s="23">
        <v>45046</v>
      </c>
      <c r="B75" s="14">
        <f t="shared" si="2"/>
        <v>1293</v>
      </c>
      <c r="C75" s="25"/>
      <c r="D75" s="34" t="s">
        <v>13</v>
      </c>
      <c r="E75" s="21">
        <v>3560</v>
      </c>
      <c r="F75" s="22">
        <v>45047</v>
      </c>
      <c r="G75" s="31">
        <v>3560</v>
      </c>
      <c r="H75" s="19">
        <f t="shared" si="0"/>
        <v>0</v>
      </c>
    </row>
    <row r="76" spans="1:8" ht="18.75" customHeight="1" x14ac:dyDescent="0.25">
      <c r="A76" s="23">
        <v>45047</v>
      </c>
      <c r="B76" s="14">
        <f t="shared" si="2"/>
        <v>1294</v>
      </c>
      <c r="C76" s="25"/>
      <c r="D76" s="34" t="s">
        <v>15</v>
      </c>
      <c r="E76" s="21">
        <v>1344</v>
      </c>
      <c r="F76" s="22">
        <v>45048</v>
      </c>
      <c r="G76" s="31">
        <v>1344</v>
      </c>
      <c r="H76" s="19">
        <f t="shared" si="0"/>
        <v>0</v>
      </c>
    </row>
    <row r="77" spans="1:8" ht="18.75" customHeight="1" x14ac:dyDescent="0.25">
      <c r="A77" s="23">
        <v>45047</v>
      </c>
      <c r="B77" s="14">
        <f t="shared" si="2"/>
        <v>1295</v>
      </c>
      <c r="C77" s="25"/>
      <c r="D77" s="34" t="s">
        <v>13</v>
      </c>
      <c r="E77" s="21">
        <v>3952</v>
      </c>
      <c r="F77" s="22">
        <v>45048</v>
      </c>
      <c r="G77" s="31">
        <v>3952</v>
      </c>
      <c r="H77" s="19">
        <f t="shared" si="0"/>
        <v>0</v>
      </c>
    </row>
    <row r="78" spans="1:8" ht="31.5" x14ac:dyDescent="0.25">
      <c r="A78" s="23">
        <v>45048</v>
      </c>
      <c r="B78" s="14">
        <f t="shared" si="2"/>
        <v>1296</v>
      </c>
      <c r="C78" s="25"/>
      <c r="D78" s="34" t="s">
        <v>15</v>
      </c>
      <c r="E78" s="21">
        <v>970</v>
      </c>
      <c r="F78" s="64" t="s">
        <v>96</v>
      </c>
      <c r="G78" s="65">
        <f>700+270</f>
        <v>970</v>
      </c>
      <c r="H78" s="19">
        <f t="shared" si="0"/>
        <v>0</v>
      </c>
    </row>
    <row r="79" spans="1:8" ht="18.75" customHeight="1" x14ac:dyDescent="0.25">
      <c r="A79" s="23">
        <v>45048</v>
      </c>
      <c r="B79" s="14">
        <f t="shared" si="2"/>
        <v>1297</v>
      </c>
      <c r="C79" s="25"/>
      <c r="D79" s="34" t="s">
        <v>13</v>
      </c>
      <c r="E79" s="21">
        <v>6672</v>
      </c>
      <c r="F79" s="22">
        <v>45050</v>
      </c>
      <c r="G79" s="31">
        <v>6672</v>
      </c>
      <c r="H79" s="19">
        <f t="shared" si="0"/>
        <v>0</v>
      </c>
    </row>
    <row r="80" spans="1:8" ht="18.75" customHeight="1" x14ac:dyDescent="0.25">
      <c r="A80" s="23">
        <v>45048</v>
      </c>
      <c r="B80" s="14">
        <f t="shared" si="2"/>
        <v>1298</v>
      </c>
      <c r="C80" s="25"/>
      <c r="D80" s="34" t="s">
        <v>15</v>
      </c>
      <c r="E80" s="21">
        <v>955</v>
      </c>
      <c r="F80" s="22">
        <v>45049</v>
      </c>
      <c r="G80" s="31">
        <v>955</v>
      </c>
      <c r="H80" s="19">
        <f t="shared" si="0"/>
        <v>0</v>
      </c>
    </row>
    <row r="81" spans="1:9" ht="31.5" x14ac:dyDescent="0.25">
      <c r="A81" s="23">
        <v>45048</v>
      </c>
      <c r="B81" s="14">
        <f t="shared" si="2"/>
        <v>1299</v>
      </c>
      <c r="C81" s="25"/>
      <c r="D81" s="34" t="s">
        <v>93</v>
      </c>
      <c r="E81" s="21">
        <v>10844</v>
      </c>
      <c r="F81" s="64" t="s">
        <v>98</v>
      </c>
      <c r="G81" s="65">
        <f>8000+2844</f>
        <v>10844</v>
      </c>
      <c r="H81" s="19">
        <f t="shared" si="0"/>
        <v>0</v>
      </c>
    </row>
    <row r="82" spans="1:9" ht="18.75" customHeight="1" x14ac:dyDescent="0.25">
      <c r="A82" s="23">
        <v>45049</v>
      </c>
      <c r="B82" s="14">
        <f t="shared" si="2"/>
        <v>1300</v>
      </c>
      <c r="C82" s="25"/>
      <c r="D82" s="34" t="s">
        <v>15</v>
      </c>
      <c r="E82" s="21">
        <v>865</v>
      </c>
      <c r="F82" s="22">
        <v>45050</v>
      </c>
      <c r="G82" s="31">
        <v>865</v>
      </c>
      <c r="H82" s="19">
        <f t="shared" si="0"/>
        <v>0</v>
      </c>
    </row>
    <row r="83" spans="1:9" ht="18.75" customHeight="1" x14ac:dyDescent="0.25">
      <c r="A83" s="23">
        <v>45049</v>
      </c>
      <c r="B83" s="14">
        <f t="shared" si="2"/>
        <v>1301</v>
      </c>
      <c r="C83" s="25"/>
      <c r="D83" s="34" t="s">
        <v>14</v>
      </c>
      <c r="E83" s="21">
        <v>2880</v>
      </c>
      <c r="F83" s="22">
        <v>45050</v>
      </c>
      <c r="G83" s="31">
        <v>2880</v>
      </c>
      <c r="H83" s="19">
        <f t="shared" si="0"/>
        <v>0</v>
      </c>
    </row>
    <row r="84" spans="1:9" ht="18.75" customHeight="1" x14ac:dyDescent="0.25">
      <c r="A84" s="23">
        <v>45050</v>
      </c>
      <c r="B84" s="14">
        <f t="shared" si="2"/>
        <v>1302</v>
      </c>
      <c r="C84" s="25"/>
      <c r="D84" s="34" t="s">
        <v>12</v>
      </c>
      <c r="E84" s="21">
        <v>289</v>
      </c>
      <c r="F84" s="64">
        <v>45051</v>
      </c>
      <c r="G84" s="65">
        <v>289</v>
      </c>
      <c r="H84" s="19">
        <f t="shared" si="0"/>
        <v>0</v>
      </c>
    </row>
    <row r="85" spans="1:9" ht="18.75" customHeight="1" x14ac:dyDescent="0.25">
      <c r="A85" s="23">
        <v>45050</v>
      </c>
      <c r="B85" s="14">
        <f t="shared" si="2"/>
        <v>1303</v>
      </c>
      <c r="C85" s="25"/>
      <c r="D85" s="34" t="s">
        <v>15</v>
      </c>
      <c r="E85" s="21">
        <v>1400</v>
      </c>
      <c r="F85" s="64">
        <v>45051</v>
      </c>
      <c r="G85" s="65">
        <v>1400</v>
      </c>
      <c r="H85" s="19">
        <f t="shared" si="0"/>
        <v>0</v>
      </c>
    </row>
    <row r="86" spans="1:9" ht="18.75" customHeight="1" x14ac:dyDescent="0.25">
      <c r="A86" s="23">
        <v>45050</v>
      </c>
      <c r="B86" s="14">
        <f t="shared" si="2"/>
        <v>1304</v>
      </c>
      <c r="C86" s="25"/>
      <c r="D86" s="34" t="s">
        <v>13</v>
      </c>
      <c r="E86" s="21">
        <v>2264</v>
      </c>
      <c r="F86" s="64">
        <v>45051</v>
      </c>
      <c r="G86" s="65">
        <v>2264</v>
      </c>
      <c r="H86" s="19">
        <f t="shared" si="0"/>
        <v>0</v>
      </c>
    </row>
    <row r="87" spans="1:9" ht="18.75" customHeight="1" x14ac:dyDescent="0.25">
      <c r="A87" s="23">
        <v>45050</v>
      </c>
      <c r="B87" s="14">
        <f t="shared" si="2"/>
        <v>1305</v>
      </c>
      <c r="C87" s="25"/>
      <c r="D87" s="34" t="s">
        <v>25</v>
      </c>
      <c r="E87" s="21">
        <v>1242</v>
      </c>
      <c r="F87" s="64">
        <v>45051</v>
      </c>
      <c r="G87" s="65">
        <v>1242</v>
      </c>
      <c r="H87" s="19">
        <f t="shared" si="0"/>
        <v>0</v>
      </c>
    </row>
    <row r="88" spans="1:9" ht="18.75" customHeight="1" x14ac:dyDescent="0.25">
      <c r="A88" s="23"/>
      <c r="B88" s="14"/>
      <c r="C88" s="25"/>
      <c r="D88" s="34"/>
      <c r="E88" s="21"/>
      <c r="F88" s="22"/>
      <c r="G88" s="31"/>
      <c r="H88" s="19">
        <f t="shared" si="0"/>
        <v>0</v>
      </c>
    </row>
    <row r="89" spans="1:9" x14ac:dyDescent="0.25">
      <c r="A89" s="23"/>
      <c r="B89" s="14"/>
      <c r="C89" s="25"/>
      <c r="D89" s="34"/>
      <c r="E89" s="21"/>
      <c r="F89" s="22"/>
      <c r="G89" s="31"/>
      <c r="H89" s="19">
        <f t="shared" si="0"/>
        <v>0</v>
      </c>
    </row>
    <row r="90" spans="1:9" ht="18.75" customHeight="1" x14ac:dyDescent="0.25">
      <c r="A90" s="23"/>
      <c r="B90" s="14"/>
      <c r="C90" s="25"/>
      <c r="D90" s="34"/>
      <c r="E90" s="21"/>
      <c r="F90" s="22"/>
      <c r="G90" s="31"/>
      <c r="H90" s="19">
        <f t="shared" si="0"/>
        <v>0</v>
      </c>
    </row>
    <row r="91" spans="1:9" ht="18.75" customHeight="1" x14ac:dyDescent="0.25">
      <c r="A91" s="23"/>
      <c r="B91" s="14"/>
      <c r="C91" s="25"/>
      <c r="D91" s="34"/>
      <c r="E91" s="21"/>
      <c r="F91" s="22"/>
      <c r="G91" s="31"/>
      <c r="H91" s="19">
        <f t="shared" si="0"/>
        <v>0</v>
      </c>
    </row>
    <row r="92" spans="1:9" x14ac:dyDescent="0.25">
      <c r="B92" s="41"/>
      <c r="C92" s="42"/>
      <c r="D92" s="2"/>
      <c r="E92" s="43">
        <f>SUM(E4:E91)</f>
        <v>275051</v>
      </c>
      <c r="F92" s="44"/>
      <c r="G92" s="44">
        <f>SUM(G4:G91)</f>
        <v>275051</v>
      </c>
      <c r="H92" s="45">
        <f>SUM(H4:H91)</f>
        <v>0</v>
      </c>
      <c r="I92" s="2"/>
    </row>
    <row r="93" spans="1:9" x14ac:dyDescent="0.25">
      <c r="B93" s="41"/>
      <c r="C93" s="42"/>
      <c r="D93" s="2"/>
      <c r="E93" s="46"/>
      <c r="F93" s="47"/>
      <c r="G93" s="61"/>
      <c r="H93" s="48"/>
      <c r="I93" s="2"/>
    </row>
    <row r="94" spans="1:9" ht="31.5" x14ac:dyDescent="0.25">
      <c r="B94" s="41"/>
      <c r="C94" s="42"/>
      <c r="D94" s="2"/>
      <c r="E94" s="49" t="s">
        <v>8</v>
      </c>
      <c r="F94" s="47"/>
      <c r="G94" s="50" t="s">
        <v>9</v>
      </c>
      <c r="H94" s="48"/>
      <c r="I94" s="2"/>
    </row>
    <row r="95" spans="1:9" ht="16.5" thickBot="1" x14ac:dyDescent="0.3">
      <c r="B95" s="41"/>
      <c r="C95" s="42"/>
      <c r="D95" s="2"/>
      <c r="E95" s="49"/>
      <c r="F95" s="47"/>
      <c r="G95" s="50"/>
      <c r="H95" s="48"/>
      <c r="I95" s="2"/>
    </row>
    <row r="96" spans="1:9" ht="21.75" thickBot="1" x14ac:dyDescent="0.4">
      <c r="B96" s="41"/>
      <c r="C96" s="42"/>
      <c r="D96" s="2"/>
      <c r="E96" s="93">
        <f>E92-G92</f>
        <v>0</v>
      </c>
      <c r="F96" s="94"/>
      <c r="G96" s="95"/>
      <c r="I96" s="2"/>
    </row>
    <row r="97" spans="1:9" x14ac:dyDescent="0.25">
      <c r="B97" s="41"/>
      <c r="C97" s="42"/>
      <c r="D97" s="2"/>
      <c r="E97" s="46"/>
      <c r="F97" s="47"/>
      <c r="G97" s="61"/>
      <c r="I97" s="2"/>
    </row>
    <row r="98" spans="1:9" ht="18.75" x14ac:dyDescent="0.3">
      <c r="B98" s="41"/>
      <c r="C98" s="42"/>
      <c r="D98" s="2"/>
      <c r="E98" s="96" t="s">
        <v>10</v>
      </c>
      <c r="F98" s="96"/>
      <c r="G98" s="96"/>
      <c r="I98" s="2"/>
    </row>
    <row r="99" spans="1:9" x14ac:dyDescent="0.25">
      <c r="B99" s="41"/>
      <c r="C99" s="42"/>
      <c r="D99" s="2"/>
      <c r="E99" s="46"/>
      <c r="F99" s="47"/>
      <c r="G99" s="61"/>
      <c r="I99" s="2"/>
    </row>
    <row r="100" spans="1:9" ht="18.75" x14ac:dyDescent="0.3">
      <c r="A100" s="23"/>
      <c r="B100" s="14"/>
      <c r="C100" s="25"/>
      <c r="D100" s="51"/>
      <c r="E100" s="52"/>
      <c r="F100" s="53"/>
      <c r="G100" s="62"/>
      <c r="I100" s="2"/>
    </row>
    <row r="101" spans="1:9" x14ac:dyDescent="0.25">
      <c r="B101" s="41"/>
      <c r="C101" s="42"/>
      <c r="D101" s="2"/>
      <c r="E101" s="46"/>
      <c r="F101" s="47"/>
      <c r="G101" s="61"/>
      <c r="I101" s="2"/>
    </row>
    <row r="102" spans="1:9" x14ac:dyDescent="0.25">
      <c r="B102" s="41"/>
      <c r="C102" s="42"/>
      <c r="D102" s="2"/>
      <c r="E102" s="46"/>
      <c r="F102" s="47"/>
      <c r="G102" s="61"/>
      <c r="I102" s="2"/>
    </row>
    <row r="103" spans="1:9" x14ac:dyDescent="0.25">
      <c r="B103" s="41"/>
      <c r="C103" s="42"/>
      <c r="D103" s="2"/>
      <c r="E103" s="46"/>
      <c r="F103" s="47"/>
      <c r="G103" s="61"/>
      <c r="I103" s="2"/>
    </row>
    <row r="104" spans="1:9" x14ac:dyDescent="0.25">
      <c r="B104" s="41"/>
      <c r="C104" s="42"/>
      <c r="D104" s="2"/>
      <c r="E104" s="46"/>
      <c r="F104" s="47"/>
      <c r="G104" s="61"/>
      <c r="I104" s="2"/>
    </row>
    <row r="105" spans="1:9" x14ac:dyDescent="0.25">
      <c r="B105" s="41"/>
      <c r="C105" s="42"/>
      <c r="D105" s="2"/>
      <c r="E105" s="46"/>
      <c r="F105" s="47"/>
      <c r="G105" s="61"/>
      <c r="I105" s="2"/>
    </row>
    <row r="106" spans="1:9" x14ac:dyDescent="0.25">
      <c r="B106" s="41"/>
      <c r="C106" s="42"/>
      <c r="D106" s="2"/>
      <c r="E106" s="46"/>
      <c r="F106" s="47"/>
      <c r="G106" s="61"/>
      <c r="I106" s="2"/>
    </row>
    <row r="107" spans="1:9" x14ac:dyDescent="0.25">
      <c r="B107" s="41"/>
      <c r="C107" s="42"/>
      <c r="D107" s="2"/>
      <c r="E107" s="46"/>
      <c r="F107" s="47"/>
      <c r="G107" s="61"/>
      <c r="I107" s="2"/>
    </row>
    <row r="108" spans="1:9" x14ac:dyDescent="0.25">
      <c r="B108" s="41"/>
      <c r="C108" s="42"/>
      <c r="D108" s="2"/>
      <c r="E108" s="46"/>
      <c r="F108" s="47"/>
      <c r="G108" s="61"/>
      <c r="I108" s="2"/>
    </row>
    <row r="109" spans="1:9" x14ac:dyDescent="0.25">
      <c r="B109" s="41"/>
      <c r="C109" s="42"/>
      <c r="D109" s="2"/>
      <c r="E109" s="46"/>
      <c r="F109" s="47"/>
      <c r="G109" s="61"/>
      <c r="I109" s="2"/>
    </row>
  </sheetData>
  <mergeCells count="4">
    <mergeCell ref="B1:G1"/>
    <mergeCell ref="B2:F2"/>
    <mergeCell ref="E96:G96"/>
    <mergeCell ref="E98:G98"/>
  </mergeCells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I141"/>
  <sheetViews>
    <sheetView zoomScaleNormal="100" workbookViewId="0">
      <pane ySplit="3" topLeftCell="A113" activePane="bottomLeft" state="frozen"/>
      <selection pane="bottomLeft" activeCell="G121" sqref="G121"/>
    </sheetView>
  </sheetViews>
  <sheetFormatPr baseColWidth="10" defaultRowHeight="15.75" x14ac:dyDescent="0.25"/>
  <cols>
    <col min="1" max="1" width="11.42578125" style="1"/>
    <col min="2" max="2" width="13.140625" style="54" customWidth="1"/>
    <col min="3" max="3" width="9.85546875" style="55" hidden="1" customWidth="1"/>
    <col min="4" max="4" width="34.28515625" customWidth="1"/>
    <col min="5" max="5" width="15.85546875" style="56" bestFit="1" customWidth="1"/>
    <col min="6" max="6" width="13.28515625" style="57" customWidth="1"/>
    <col min="7" max="7" width="18" style="63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19.5" thickBot="1" x14ac:dyDescent="0.35">
      <c r="B1" s="89" t="s">
        <v>95</v>
      </c>
      <c r="C1" s="90"/>
      <c r="D1" s="90"/>
      <c r="E1" s="90"/>
      <c r="F1" s="90"/>
      <c r="G1" s="91"/>
      <c r="I1" s="2"/>
    </row>
    <row r="2" spans="1:9" ht="21" x14ac:dyDescent="0.35">
      <c r="A2" s="3"/>
      <c r="B2" s="92" t="s">
        <v>0</v>
      </c>
      <c r="C2" s="92"/>
      <c r="D2" s="92"/>
      <c r="E2" s="92"/>
      <c r="F2" s="92"/>
      <c r="G2" s="58"/>
      <c r="H2" s="4"/>
      <c r="I2" s="2"/>
    </row>
    <row r="3" spans="1:9" ht="46.5" thickBot="1" x14ac:dyDescent="0.35">
      <c r="A3" s="5"/>
      <c r="B3" s="6" t="s">
        <v>1</v>
      </c>
      <c r="C3" s="7" t="s">
        <v>2</v>
      </c>
      <c r="D3" s="8" t="s">
        <v>3</v>
      </c>
      <c r="E3" s="9" t="s">
        <v>4</v>
      </c>
      <c r="F3" s="10" t="s">
        <v>5</v>
      </c>
      <c r="G3" s="11" t="s">
        <v>6</v>
      </c>
      <c r="H3" s="12" t="s">
        <v>7</v>
      </c>
      <c r="I3" s="2"/>
    </row>
    <row r="4" spans="1:9" ht="32.25" thickTop="1" x14ac:dyDescent="0.25">
      <c r="A4" s="13">
        <v>45051</v>
      </c>
      <c r="B4" s="14">
        <v>1306</v>
      </c>
      <c r="C4" s="15"/>
      <c r="D4" s="16" t="s">
        <v>14</v>
      </c>
      <c r="E4" s="17">
        <v>3887</v>
      </c>
      <c r="F4" s="18" t="s">
        <v>97</v>
      </c>
      <c r="G4" s="59">
        <f>2500+1387</f>
        <v>3887</v>
      </c>
      <c r="H4" s="19">
        <f t="shared" ref="H4:H123" si="0">E4-G4</f>
        <v>0</v>
      </c>
      <c r="I4" s="2"/>
    </row>
    <row r="5" spans="1:9" x14ac:dyDescent="0.25">
      <c r="A5" s="13">
        <v>45051</v>
      </c>
      <c r="B5" s="14">
        <v>1307</v>
      </c>
      <c r="C5" s="15"/>
      <c r="D5" s="71" t="s">
        <v>15</v>
      </c>
      <c r="E5" s="72">
        <v>969</v>
      </c>
      <c r="F5" s="22">
        <v>45052</v>
      </c>
      <c r="G5" s="31">
        <v>969</v>
      </c>
      <c r="H5" s="19">
        <f t="shared" si="0"/>
        <v>0</v>
      </c>
    </row>
    <row r="6" spans="1:9" x14ac:dyDescent="0.25">
      <c r="A6" s="13">
        <v>45051</v>
      </c>
      <c r="B6" s="14">
        <f t="shared" ref="B6:B69" si="1">B5+1</f>
        <v>1308</v>
      </c>
      <c r="C6" s="15"/>
      <c r="D6" s="20" t="s">
        <v>13</v>
      </c>
      <c r="E6" s="21">
        <v>3377</v>
      </c>
      <c r="F6" s="22">
        <v>45052</v>
      </c>
      <c r="G6" s="31">
        <v>3377</v>
      </c>
      <c r="H6" s="19">
        <f t="shared" si="0"/>
        <v>0</v>
      </c>
    </row>
    <row r="7" spans="1:9" x14ac:dyDescent="0.25">
      <c r="A7" s="23">
        <v>45051</v>
      </c>
      <c r="B7" s="14">
        <f t="shared" si="1"/>
        <v>1309</v>
      </c>
      <c r="C7" s="15"/>
      <c r="D7" s="20" t="s">
        <v>24</v>
      </c>
      <c r="E7" s="21">
        <v>11520</v>
      </c>
      <c r="F7" s="22">
        <v>45060</v>
      </c>
      <c r="G7" s="31">
        <v>11520</v>
      </c>
      <c r="H7" s="19">
        <f t="shared" si="0"/>
        <v>0</v>
      </c>
    </row>
    <row r="8" spans="1:9" ht="24.75" customHeight="1" x14ac:dyDescent="0.25">
      <c r="A8" s="13">
        <v>45051</v>
      </c>
      <c r="B8" s="14">
        <f t="shared" si="1"/>
        <v>1310</v>
      </c>
      <c r="C8" s="15"/>
      <c r="D8" s="24" t="s">
        <v>25</v>
      </c>
      <c r="E8" s="21">
        <v>12100</v>
      </c>
      <c r="F8" s="22">
        <v>45054</v>
      </c>
      <c r="G8" s="31">
        <v>12100</v>
      </c>
      <c r="H8" s="19">
        <f t="shared" si="0"/>
        <v>0</v>
      </c>
    </row>
    <row r="9" spans="1:9" ht="24.75" customHeight="1" x14ac:dyDescent="0.25">
      <c r="A9" s="13">
        <v>45052</v>
      </c>
      <c r="B9" s="14">
        <f t="shared" si="1"/>
        <v>1311</v>
      </c>
      <c r="C9" s="15"/>
      <c r="D9" s="20" t="s">
        <v>15</v>
      </c>
      <c r="E9" s="21">
        <v>1758</v>
      </c>
      <c r="F9" s="22">
        <v>45054</v>
      </c>
      <c r="G9" s="31">
        <v>1758</v>
      </c>
      <c r="H9" s="19">
        <f t="shared" si="0"/>
        <v>0</v>
      </c>
    </row>
    <row r="10" spans="1:9" ht="24.75" customHeight="1" x14ac:dyDescent="0.25">
      <c r="A10" s="13">
        <v>45052</v>
      </c>
      <c r="B10" s="14">
        <f t="shared" si="1"/>
        <v>1312</v>
      </c>
      <c r="C10" s="15"/>
      <c r="D10" s="20" t="s">
        <v>13</v>
      </c>
      <c r="E10" s="21">
        <v>3478</v>
      </c>
      <c r="F10" s="22">
        <v>45053</v>
      </c>
      <c r="G10" s="31">
        <v>3478</v>
      </c>
      <c r="H10" s="19">
        <f t="shared" si="0"/>
        <v>0</v>
      </c>
    </row>
    <row r="11" spans="1:9" ht="24.75" customHeight="1" x14ac:dyDescent="0.25">
      <c r="A11" s="13">
        <v>45052</v>
      </c>
      <c r="B11" s="14">
        <f t="shared" si="1"/>
        <v>1313</v>
      </c>
      <c r="C11" s="15"/>
      <c r="D11" s="20" t="s">
        <v>93</v>
      </c>
      <c r="E11" s="21">
        <v>22218</v>
      </c>
      <c r="F11" s="22">
        <v>45056</v>
      </c>
      <c r="G11" s="31">
        <v>22218</v>
      </c>
      <c r="H11" s="19">
        <f t="shared" si="0"/>
        <v>0</v>
      </c>
    </row>
    <row r="12" spans="1:9" ht="24.75" customHeight="1" x14ac:dyDescent="0.25">
      <c r="A12" s="13">
        <v>45053</v>
      </c>
      <c r="B12" s="14">
        <f t="shared" si="1"/>
        <v>1314</v>
      </c>
      <c r="C12" s="25"/>
      <c r="D12" s="20" t="s">
        <v>13</v>
      </c>
      <c r="E12" s="21">
        <v>3990</v>
      </c>
      <c r="F12" s="22">
        <v>45054</v>
      </c>
      <c r="G12" s="31">
        <v>3990</v>
      </c>
      <c r="H12" s="19">
        <f t="shared" si="0"/>
        <v>0</v>
      </c>
    </row>
    <row r="13" spans="1:9" ht="22.5" customHeight="1" x14ac:dyDescent="0.25">
      <c r="A13" s="13">
        <v>45053</v>
      </c>
      <c r="B13" s="14">
        <f t="shared" si="1"/>
        <v>1315</v>
      </c>
      <c r="C13" s="26"/>
      <c r="D13" s="20" t="s">
        <v>24</v>
      </c>
      <c r="E13" s="21">
        <v>3430</v>
      </c>
      <c r="F13" s="22">
        <v>45081</v>
      </c>
      <c r="G13" s="31">
        <v>3430</v>
      </c>
      <c r="H13" s="19">
        <f t="shared" si="0"/>
        <v>0</v>
      </c>
    </row>
    <row r="14" spans="1:9" ht="22.5" customHeight="1" x14ac:dyDescent="0.25">
      <c r="A14" s="13">
        <v>45054</v>
      </c>
      <c r="B14" s="14">
        <f t="shared" si="1"/>
        <v>1316</v>
      </c>
      <c r="C14" s="25"/>
      <c r="D14" s="20" t="s">
        <v>12</v>
      </c>
      <c r="E14" s="21">
        <v>9577</v>
      </c>
      <c r="F14" s="22">
        <v>45059</v>
      </c>
      <c r="G14" s="31">
        <v>9577</v>
      </c>
      <c r="H14" s="19">
        <f t="shared" si="0"/>
        <v>0</v>
      </c>
    </row>
    <row r="15" spans="1:9" ht="31.5" x14ac:dyDescent="0.25">
      <c r="A15" s="13">
        <v>45054</v>
      </c>
      <c r="B15" s="14">
        <f t="shared" si="1"/>
        <v>1317</v>
      </c>
      <c r="C15" s="26"/>
      <c r="D15" s="20" t="s">
        <v>14</v>
      </c>
      <c r="E15" s="21">
        <v>3732</v>
      </c>
      <c r="F15" s="22" t="s">
        <v>99</v>
      </c>
      <c r="G15" s="31">
        <f>2532+1200</f>
        <v>3732</v>
      </c>
      <c r="H15" s="19">
        <f t="shared" si="0"/>
        <v>0</v>
      </c>
    </row>
    <row r="16" spans="1:9" ht="22.5" customHeight="1" x14ac:dyDescent="0.25">
      <c r="A16" s="13">
        <v>45054</v>
      </c>
      <c r="B16" s="14">
        <f t="shared" si="1"/>
        <v>1318</v>
      </c>
      <c r="C16" s="25"/>
      <c r="D16" s="20" t="s">
        <v>15</v>
      </c>
      <c r="E16" s="21">
        <v>1160</v>
      </c>
      <c r="F16" s="22">
        <v>45055</v>
      </c>
      <c r="G16" s="31">
        <v>1160</v>
      </c>
      <c r="H16" s="19">
        <f t="shared" si="0"/>
        <v>0</v>
      </c>
    </row>
    <row r="17" spans="1:8" ht="22.5" customHeight="1" x14ac:dyDescent="0.25">
      <c r="A17" s="13">
        <v>45054</v>
      </c>
      <c r="B17" s="14">
        <f t="shared" si="1"/>
        <v>1319</v>
      </c>
      <c r="C17" s="26"/>
      <c r="D17" s="20" t="s">
        <v>13</v>
      </c>
      <c r="E17" s="21">
        <v>5289</v>
      </c>
      <c r="F17" s="22">
        <v>45056</v>
      </c>
      <c r="G17" s="31">
        <v>5289</v>
      </c>
      <c r="H17" s="19">
        <f t="shared" si="0"/>
        <v>0</v>
      </c>
    </row>
    <row r="18" spans="1:8" ht="22.5" customHeight="1" x14ac:dyDescent="0.25">
      <c r="A18" s="13">
        <v>45055</v>
      </c>
      <c r="B18" s="14">
        <f t="shared" si="1"/>
        <v>1320</v>
      </c>
      <c r="C18" s="25"/>
      <c r="D18" s="20" t="s">
        <v>15</v>
      </c>
      <c r="E18" s="21">
        <v>1572</v>
      </c>
      <c r="F18" s="22">
        <v>45056</v>
      </c>
      <c r="G18" s="31">
        <v>1572</v>
      </c>
      <c r="H18" s="19">
        <f t="shared" si="0"/>
        <v>0</v>
      </c>
    </row>
    <row r="19" spans="1:8" ht="22.5" customHeight="1" x14ac:dyDescent="0.25">
      <c r="A19" s="13">
        <v>45056</v>
      </c>
      <c r="B19" s="14">
        <f t="shared" si="1"/>
        <v>1321</v>
      </c>
      <c r="C19" s="26"/>
      <c r="D19" s="20" t="s">
        <v>15</v>
      </c>
      <c r="E19" s="21">
        <v>1590</v>
      </c>
      <c r="F19" s="22">
        <v>45057</v>
      </c>
      <c r="G19" s="31">
        <v>1590</v>
      </c>
      <c r="H19" s="19">
        <f t="shared" si="0"/>
        <v>0</v>
      </c>
    </row>
    <row r="20" spans="1:8" ht="22.5" customHeight="1" x14ac:dyDescent="0.25">
      <c r="A20" s="13">
        <v>45056</v>
      </c>
      <c r="B20" s="14">
        <f t="shared" si="1"/>
        <v>1322</v>
      </c>
      <c r="C20" s="25"/>
      <c r="D20" s="20" t="s">
        <v>13</v>
      </c>
      <c r="E20" s="21">
        <v>3370</v>
      </c>
      <c r="F20" s="22">
        <v>45057</v>
      </c>
      <c r="G20" s="31">
        <v>3370</v>
      </c>
      <c r="H20" s="19">
        <f t="shared" si="0"/>
        <v>0</v>
      </c>
    </row>
    <row r="21" spans="1:8" ht="31.5" x14ac:dyDescent="0.25">
      <c r="A21" s="13">
        <v>45057</v>
      </c>
      <c r="B21" s="14">
        <f t="shared" si="1"/>
        <v>1323</v>
      </c>
      <c r="C21" s="25"/>
      <c r="D21" s="20" t="s">
        <v>93</v>
      </c>
      <c r="E21" s="21">
        <v>9414</v>
      </c>
      <c r="F21" s="22" t="s">
        <v>100</v>
      </c>
      <c r="G21" s="31">
        <f>2200+7214</f>
        <v>9414</v>
      </c>
      <c r="H21" s="19">
        <f t="shared" si="0"/>
        <v>0</v>
      </c>
    </row>
    <row r="22" spans="1:8" ht="22.5" customHeight="1" x14ac:dyDescent="0.25">
      <c r="A22" s="13">
        <v>45057</v>
      </c>
      <c r="B22" s="14">
        <f t="shared" si="1"/>
        <v>1324</v>
      </c>
      <c r="C22" s="25"/>
      <c r="D22" s="20" t="s">
        <v>15</v>
      </c>
      <c r="E22" s="21">
        <v>1245</v>
      </c>
      <c r="F22" s="22">
        <v>45058</v>
      </c>
      <c r="G22" s="31">
        <v>1245</v>
      </c>
      <c r="H22" s="19">
        <f t="shared" si="0"/>
        <v>0</v>
      </c>
    </row>
    <row r="23" spans="1:8" ht="22.5" customHeight="1" x14ac:dyDescent="0.25">
      <c r="A23" s="13">
        <v>45057</v>
      </c>
      <c r="B23" s="14">
        <f t="shared" si="1"/>
        <v>1325</v>
      </c>
      <c r="C23" s="25"/>
      <c r="D23" s="20" t="s">
        <v>13</v>
      </c>
      <c r="E23" s="21">
        <v>2637</v>
      </c>
      <c r="F23" s="22">
        <v>45058</v>
      </c>
      <c r="G23" s="31">
        <v>2637</v>
      </c>
      <c r="H23" s="19">
        <f t="shared" si="0"/>
        <v>0</v>
      </c>
    </row>
    <row r="24" spans="1:8" ht="31.5" x14ac:dyDescent="0.25">
      <c r="A24" s="13">
        <v>45058</v>
      </c>
      <c r="B24" s="14">
        <f t="shared" si="1"/>
        <v>1326</v>
      </c>
      <c r="C24" s="25"/>
      <c r="D24" s="20" t="s">
        <v>14</v>
      </c>
      <c r="E24" s="21">
        <v>3612</v>
      </c>
      <c r="F24" s="22" t="s">
        <v>101</v>
      </c>
      <c r="G24" s="31">
        <f>3112+500</f>
        <v>3612</v>
      </c>
      <c r="H24" s="19">
        <f t="shared" si="0"/>
        <v>0</v>
      </c>
    </row>
    <row r="25" spans="1:8" ht="27.75" customHeight="1" x14ac:dyDescent="0.25">
      <c r="A25" s="13">
        <v>45058</v>
      </c>
      <c r="B25" s="14">
        <f t="shared" si="1"/>
        <v>1327</v>
      </c>
      <c r="C25" s="25"/>
      <c r="D25" s="20" t="s">
        <v>15</v>
      </c>
      <c r="E25" s="21">
        <v>1569</v>
      </c>
      <c r="F25" s="22">
        <v>45059</v>
      </c>
      <c r="G25" s="31">
        <v>1569</v>
      </c>
      <c r="H25" s="19">
        <f t="shared" si="0"/>
        <v>0</v>
      </c>
    </row>
    <row r="26" spans="1:8" ht="27.75" customHeight="1" x14ac:dyDescent="0.25">
      <c r="A26" s="13">
        <v>45058</v>
      </c>
      <c r="B26" s="14">
        <f t="shared" si="1"/>
        <v>1328</v>
      </c>
      <c r="C26" s="25"/>
      <c r="D26" s="20" t="s">
        <v>13</v>
      </c>
      <c r="E26" s="21">
        <v>4167</v>
      </c>
      <c r="F26" s="22">
        <v>45059</v>
      </c>
      <c r="G26" s="31">
        <v>4167</v>
      </c>
      <c r="H26" s="19">
        <f t="shared" si="0"/>
        <v>0</v>
      </c>
    </row>
    <row r="27" spans="1:8" ht="43.5" customHeight="1" x14ac:dyDescent="0.25">
      <c r="A27" s="13">
        <v>45058</v>
      </c>
      <c r="B27" s="14">
        <f t="shared" si="1"/>
        <v>1329</v>
      </c>
      <c r="C27" s="25"/>
      <c r="D27" s="20" t="s">
        <v>17</v>
      </c>
      <c r="E27" s="21">
        <v>6380</v>
      </c>
      <c r="F27" s="22" t="s">
        <v>112</v>
      </c>
      <c r="G27" s="31">
        <f>3620+2760</f>
        <v>6380</v>
      </c>
      <c r="H27" s="19">
        <f t="shared" si="0"/>
        <v>0</v>
      </c>
    </row>
    <row r="28" spans="1:8" ht="24" customHeight="1" x14ac:dyDescent="0.25">
      <c r="A28" s="13">
        <v>45058</v>
      </c>
      <c r="B28" s="14">
        <f t="shared" si="1"/>
        <v>1330</v>
      </c>
      <c r="C28" s="25"/>
      <c r="D28" s="20" t="s">
        <v>17</v>
      </c>
      <c r="E28" s="21">
        <v>6380</v>
      </c>
      <c r="F28" s="22">
        <v>45067</v>
      </c>
      <c r="G28" s="31">
        <v>6380</v>
      </c>
      <c r="H28" s="19">
        <f t="shared" si="0"/>
        <v>0</v>
      </c>
    </row>
    <row r="29" spans="1:8" ht="24.75" customHeight="1" x14ac:dyDescent="0.25">
      <c r="A29" s="13">
        <v>45058</v>
      </c>
      <c r="B29" s="14">
        <f t="shared" si="1"/>
        <v>1331</v>
      </c>
      <c r="C29" s="25"/>
      <c r="D29" s="20" t="s">
        <v>25</v>
      </c>
      <c r="E29" s="21">
        <v>12760</v>
      </c>
      <c r="F29" s="22">
        <v>45061</v>
      </c>
      <c r="G29" s="31">
        <v>12760</v>
      </c>
      <c r="H29" s="19">
        <f t="shared" si="0"/>
        <v>0</v>
      </c>
    </row>
    <row r="30" spans="1:8" ht="57" customHeight="1" x14ac:dyDescent="0.25">
      <c r="A30" s="13">
        <v>45058</v>
      </c>
      <c r="B30" s="14">
        <f t="shared" si="1"/>
        <v>1332</v>
      </c>
      <c r="C30" s="25"/>
      <c r="D30" s="20" t="s">
        <v>93</v>
      </c>
      <c r="E30" s="21">
        <v>7155</v>
      </c>
      <c r="F30" s="22" t="s">
        <v>107</v>
      </c>
      <c r="G30" s="31">
        <f>2500+4055+600</f>
        <v>7155</v>
      </c>
      <c r="H30" s="19">
        <f t="shared" si="0"/>
        <v>0</v>
      </c>
    </row>
    <row r="31" spans="1:8" ht="24.75" customHeight="1" x14ac:dyDescent="0.25">
      <c r="A31" s="13">
        <v>45059</v>
      </c>
      <c r="B31" s="14">
        <f t="shared" si="1"/>
        <v>1333</v>
      </c>
      <c r="C31" s="25"/>
      <c r="D31" s="20" t="s">
        <v>12</v>
      </c>
      <c r="E31" s="21">
        <v>388</v>
      </c>
      <c r="F31" s="22">
        <v>45062</v>
      </c>
      <c r="G31" s="31">
        <v>388</v>
      </c>
      <c r="H31" s="19">
        <f t="shared" si="0"/>
        <v>0</v>
      </c>
    </row>
    <row r="32" spans="1:8" ht="24.75" customHeight="1" x14ac:dyDescent="0.3">
      <c r="A32" s="13">
        <v>45059</v>
      </c>
      <c r="B32" s="14">
        <f t="shared" si="1"/>
        <v>1334</v>
      </c>
      <c r="C32" s="25"/>
      <c r="D32" s="70" t="s">
        <v>18</v>
      </c>
      <c r="E32" s="21">
        <v>0</v>
      </c>
      <c r="F32" s="22"/>
      <c r="G32" s="31"/>
      <c r="H32" s="19">
        <f t="shared" si="0"/>
        <v>0</v>
      </c>
    </row>
    <row r="33" spans="1:8" ht="26.25" customHeight="1" x14ac:dyDescent="0.25">
      <c r="A33" s="13">
        <v>45059</v>
      </c>
      <c r="B33" s="14">
        <f t="shared" si="1"/>
        <v>1335</v>
      </c>
      <c r="C33" s="25"/>
      <c r="D33" s="20" t="s">
        <v>13</v>
      </c>
      <c r="E33" s="21">
        <v>4416</v>
      </c>
      <c r="F33" s="22">
        <v>45060</v>
      </c>
      <c r="G33" s="31">
        <v>4416</v>
      </c>
      <c r="H33" s="19">
        <f t="shared" si="0"/>
        <v>0</v>
      </c>
    </row>
    <row r="34" spans="1:8" ht="26.25" customHeight="1" x14ac:dyDescent="0.25">
      <c r="A34" s="13">
        <v>45059</v>
      </c>
      <c r="B34" s="14">
        <f t="shared" si="1"/>
        <v>1336</v>
      </c>
      <c r="C34" s="25"/>
      <c r="D34" s="20" t="s">
        <v>15</v>
      </c>
      <c r="E34" s="21">
        <v>2034</v>
      </c>
      <c r="F34" s="22">
        <v>45060</v>
      </c>
      <c r="G34" s="31">
        <v>2034</v>
      </c>
      <c r="H34" s="19">
        <f t="shared" si="0"/>
        <v>0</v>
      </c>
    </row>
    <row r="35" spans="1:8" ht="36.75" customHeight="1" x14ac:dyDescent="0.25">
      <c r="A35" s="13">
        <v>45060</v>
      </c>
      <c r="B35" s="14">
        <f t="shared" si="1"/>
        <v>1337</v>
      </c>
      <c r="C35" s="25"/>
      <c r="D35" s="20" t="s">
        <v>15</v>
      </c>
      <c r="E35" s="21">
        <v>2457</v>
      </c>
      <c r="F35" s="22" t="s">
        <v>102</v>
      </c>
      <c r="G35" s="31">
        <f>2000+457</f>
        <v>2457</v>
      </c>
      <c r="H35" s="19">
        <f t="shared" si="0"/>
        <v>0</v>
      </c>
    </row>
    <row r="36" spans="1:8" ht="26.25" customHeight="1" x14ac:dyDescent="0.25">
      <c r="A36" s="13">
        <v>45060</v>
      </c>
      <c r="B36" s="14">
        <f t="shared" si="1"/>
        <v>1338</v>
      </c>
      <c r="C36" s="25"/>
      <c r="D36" s="20" t="s">
        <v>13</v>
      </c>
      <c r="E36" s="21">
        <v>3919</v>
      </c>
      <c r="F36" s="22">
        <v>45061</v>
      </c>
      <c r="G36" s="31">
        <v>3919</v>
      </c>
      <c r="H36" s="19">
        <f t="shared" si="0"/>
        <v>0</v>
      </c>
    </row>
    <row r="37" spans="1:8" ht="31.5" x14ac:dyDescent="0.25">
      <c r="A37" s="13">
        <v>45061</v>
      </c>
      <c r="B37" s="14">
        <f t="shared" si="1"/>
        <v>1339</v>
      </c>
      <c r="C37" s="25"/>
      <c r="D37" s="20" t="s">
        <v>15</v>
      </c>
      <c r="E37" s="21">
        <v>885</v>
      </c>
      <c r="F37" s="22" t="s">
        <v>103</v>
      </c>
      <c r="G37" s="31">
        <f>500+385</f>
        <v>885</v>
      </c>
      <c r="H37" s="19">
        <f t="shared" si="0"/>
        <v>0</v>
      </c>
    </row>
    <row r="38" spans="1:8" ht="26.25" customHeight="1" x14ac:dyDescent="0.25">
      <c r="A38" s="13">
        <v>45061</v>
      </c>
      <c r="B38" s="14">
        <f t="shared" si="1"/>
        <v>1340</v>
      </c>
      <c r="C38" s="25"/>
      <c r="D38" s="20" t="s">
        <v>14</v>
      </c>
      <c r="E38" s="21">
        <v>974</v>
      </c>
      <c r="F38" s="22">
        <v>45062</v>
      </c>
      <c r="G38" s="31">
        <v>974</v>
      </c>
      <c r="H38" s="19">
        <f t="shared" si="0"/>
        <v>0</v>
      </c>
    </row>
    <row r="39" spans="1:8" ht="26.25" customHeight="1" x14ac:dyDescent="0.25">
      <c r="A39" s="13">
        <v>45061</v>
      </c>
      <c r="B39" s="14">
        <f t="shared" si="1"/>
        <v>1341</v>
      </c>
      <c r="C39" s="25"/>
      <c r="D39" s="20" t="s">
        <v>13</v>
      </c>
      <c r="E39" s="21">
        <v>2530</v>
      </c>
      <c r="F39" s="22">
        <v>45062</v>
      </c>
      <c r="G39" s="31">
        <v>2530</v>
      </c>
      <c r="H39" s="19">
        <f t="shared" si="0"/>
        <v>0</v>
      </c>
    </row>
    <row r="40" spans="1:8" ht="31.5" x14ac:dyDescent="0.25">
      <c r="A40" s="13">
        <v>45062</v>
      </c>
      <c r="B40" s="14">
        <f t="shared" si="1"/>
        <v>1342</v>
      </c>
      <c r="C40" s="25"/>
      <c r="D40" s="20" t="s">
        <v>15</v>
      </c>
      <c r="E40" s="21">
        <v>1525</v>
      </c>
      <c r="F40" s="22" t="s">
        <v>104</v>
      </c>
      <c r="G40" s="31">
        <f>1500+25</f>
        <v>1525</v>
      </c>
      <c r="H40" s="19">
        <f t="shared" si="0"/>
        <v>0</v>
      </c>
    </row>
    <row r="41" spans="1:8" ht="26.25" customHeight="1" x14ac:dyDescent="0.25">
      <c r="A41" s="13">
        <v>45062</v>
      </c>
      <c r="B41" s="14">
        <f t="shared" si="1"/>
        <v>1343</v>
      </c>
      <c r="C41" s="25"/>
      <c r="D41" s="20" t="s">
        <v>13</v>
      </c>
      <c r="E41" s="21">
        <v>2567</v>
      </c>
      <c r="F41" s="22">
        <v>45065</v>
      </c>
      <c r="G41" s="31">
        <v>2567</v>
      </c>
      <c r="H41" s="19">
        <f t="shared" si="0"/>
        <v>0</v>
      </c>
    </row>
    <row r="42" spans="1:8" ht="39" customHeight="1" x14ac:dyDescent="0.3">
      <c r="A42" s="13">
        <v>45063</v>
      </c>
      <c r="B42" s="14">
        <f t="shared" si="1"/>
        <v>1344</v>
      </c>
      <c r="C42" s="25"/>
      <c r="D42" s="73" t="s">
        <v>14</v>
      </c>
      <c r="E42" s="21">
        <v>3994</v>
      </c>
      <c r="F42" s="22" t="s">
        <v>105</v>
      </c>
      <c r="G42" s="31">
        <f>3600+394</f>
        <v>3994</v>
      </c>
      <c r="H42" s="19">
        <f t="shared" si="0"/>
        <v>0</v>
      </c>
    </row>
    <row r="43" spans="1:8" ht="26.25" customHeight="1" x14ac:dyDescent="0.25">
      <c r="A43" s="13">
        <v>45064</v>
      </c>
      <c r="B43" s="14">
        <f t="shared" si="1"/>
        <v>1345</v>
      </c>
      <c r="C43" s="25"/>
      <c r="D43" s="20" t="s">
        <v>13</v>
      </c>
      <c r="E43" s="21">
        <v>2291</v>
      </c>
      <c r="F43" s="22">
        <v>45065</v>
      </c>
      <c r="G43" s="31">
        <v>2291</v>
      </c>
      <c r="H43" s="19">
        <f t="shared" si="0"/>
        <v>0</v>
      </c>
    </row>
    <row r="44" spans="1:8" ht="31.5" x14ac:dyDescent="0.25">
      <c r="A44" s="13">
        <v>45064</v>
      </c>
      <c r="B44" s="14">
        <f t="shared" si="1"/>
        <v>1346</v>
      </c>
      <c r="C44" s="25"/>
      <c r="D44" s="20" t="s">
        <v>15</v>
      </c>
      <c r="E44" s="21">
        <v>1937</v>
      </c>
      <c r="F44" s="66" t="s">
        <v>106</v>
      </c>
      <c r="G44" s="67">
        <f>1000+937</f>
        <v>1937</v>
      </c>
      <c r="H44" s="19">
        <f t="shared" si="0"/>
        <v>0</v>
      </c>
    </row>
    <row r="45" spans="1:8" ht="26.25" customHeight="1" x14ac:dyDescent="0.25">
      <c r="A45" s="13">
        <v>45064</v>
      </c>
      <c r="B45" s="14">
        <f t="shared" si="1"/>
        <v>1347</v>
      </c>
      <c r="C45" s="25"/>
      <c r="D45" s="20" t="s">
        <v>13</v>
      </c>
      <c r="E45" s="21">
        <v>486</v>
      </c>
      <c r="F45" s="22">
        <v>45065</v>
      </c>
      <c r="G45" s="31">
        <v>486</v>
      </c>
      <c r="H45" s="19">
        <f t="shared" si="0"/>
        <v>0</v>
      </c>
    </row>
    <row r="46" spans="1:8" ht="21.75" customHeight="1" x14ac:dyDescent="0.25">
      <c r="A46" s="13">
        <v>45065</v>
      </c>
      <c r="B46" s="14">
        <f t="shared" si="1"/>
        <v>1348</v>
      </c>
      <c r="C46" s="25"/>
      <c r="D46" s="20" t="s">
        <v>15</v>
      </c>
      <c r="E46" s="21">
        <v>1779</v>
      </c>
      <c r="F46" s="22">
        <v>45066</v>
      </c>
      <c r="G46" s="31">
        <v>1779</v>
      </c>
      <c r="H46" s="19">
        <f t="shared" si="0"/>
        <v>0</v>
      </c>
    </row>
    <row r="47" spans="1:8" ht="22.5" customHeight="1" x14ac:dyDescent="0.25">
      <c r="A47" s="13">
        <v>45065</v>
      </c>
      <c r="B47" s="14">
        <f t="shared" si="1"/>
        <v>1349</v>
      </c>
      <c r="C47" s="25"/>
      <c r="D47" s="20" t="s">
        <v>13</v>
      </c>
      <c r="E47" s="21">
        <v>4691</v>
      </c>
      <c r="F47" s="22">
        <v>45066</v>
      </c>
      <c r="G47" s="31">
        <v>4691</v>
      </c>
      <c r="H47" s="19">
        <f t="shared" si="0"/>
        <v>0</v>
      </c>
    </row>
    <row r="48" spans="1:8" ht="28.5" customHeight="1" x14ac:dyDescent="0.25">
      <c r="A48" s="13">
        <v>45065</v>
      </c>
      <c r="B48" s="14">
        <f t="shared" si="1"/>
        <v>1350</v>
      </c>
      <c r="C48" s="25"/>
      <c r="D48" s="20" t="s">
        <v>24</v>
      </c>
      <c r="E48" s="21">
        <v>13014</v>
      </c>
      <c r="F48" s="22">
        <v>45074</v>
      </c>
      <c r="G48" s="31">
        <v>13014</v>
      </c>
      <c r="H48" s="19">
        <f t="shared" si="0"/>
        <v>0</v>
      </c>
    </row>
    <row r="49" spans="1:8" ht="28.5" customHeight="1" x14ac:dyDescent="0.25">
      <c r="A49" s="13">
        <v>45065</v>
      </c>
      <c r="B49" s="14">
        <f t="shared" si="1"/>
        <v>1351</v>
      </c>
      <c r="C49" s="25"/>
      <c r="D49" s="20" t="s">
        <v>25</v>
      </c>
      <c r="E49" s="21">
        <v>12000</v>
      </c>
      <c r="F49" s="22">
        <v>45069</v>
      </c>
      <c r="G49" s="31">
        <v>12000</v>
      </c>
      <c r="H49" s="19">
        <f t="shared" si="0"/>
        <v>0</v>
      </c>
    </row>
    <row r="50" spans="1:8" ht="28.5" customHeight="1" x14ac:dyDescent="0.25">
      <c r="A50" s="13">
        <v>45066</v>
      </c>
      <c r="B50" s="14">
        <f t="shared" si="1"/>
        <v>1352</v>
      </c>
      <c r="C50" s="25"/>
      <c r="D50" s="20" t="s">
        <v>12</v>
      </c>
      <c r="E50" s="21">
        <v>3207</v>
      </c>
      <c r="F50" s="22">
        <v>45073</v>
      </c>
      <c r="G50" s="31">
        <v>3207</v>
      </c>
      <c r="H50" s="19">
        <f t="shared" si="0"/>
        <v>0</v>
      </c>
    </row>
    <row r="51" spans="1:8" ht="28.5" customHeight="1" x14ac:dyDescent="0.25">
      <c r="A51" s="13">
        <v>45066</v>
      </c>
      <c r="B51" s="14">
        <f t="shared" si="1"/>
        <v>1353</v>
      </c>
      <c r="C51" s="25"/>
      <c r="D51" s="20" t="s">
        <v>14</v>
      </c>
      <c r="E51" s="21">
        <v>3891</v>
      </c>
      <c r="F51" s="22" t="s">
        <v>108</v>
      </c>
      <c r="G51" s="31">
        <f>2132+1759</f>
        <v>3891</v>
      </c>
      <c r="H51" s="19">
        <f t="shared" si="0"/>
        <v>0</v>
      </c>
    </row>
    <row r="52" spans="1:8" ht="28.5" customHeight="1" x14ac:dyDescent="0.25">
      <c r="A52" s="13">
        <v>45066</v>
      </c>
      <c r="B52" s="14">
        <f t="shared" si="1"/>
        <v>1354</v>
      </c>
      <c r="C52" s="25"/>
      <c r="D52" s="20" t="s">
        <v>15</v>
      </c>
      <c r="E52" s="21">
        <v>2504</v>
      </c>
      <c r="F52" s="22">
        <v>45068</v>
      </c>
      <c r="G52" s="31">
        <v>2504</v>
      </c>
      <c r="H52" s="19">
        <f t="shared" si="0"/>
        <v>0</v>
      </c>
    </row>
    <row r="53" spans="1:8" ht="28.5" customHeight="1" x14ac:dyDescent="0.25">
      <c r="A53" s="13">
        <v>45066</v>
      </c>
      <c r="B53" s="14">
        <f t="shared" si="1"/>
        <v>1355</v>
      </c>
      <c r="C53" s="25"/>
      <c r="D53" s="20" t="s">
        <v>13</v>
      </c>
      <c r="E53" s="21">
        <v>3091</v>
      </c>
      <c r="F53" s="22">
        <v>45067</v>
      </c>
      <c r="G53" s="31">
        <v>3091</v>
      </c>
      <c r="H53" s="19">
        <f t="shared" si="0"/>
        <v>0</v>
      </c>
    </row>
    <row r="54" spans="1:8" ht="28.5" customHeight="1" x14ac:dyDescent="0.3">
      <c r="A54" s="13">
        <v>45067</v>
      </c>
      <c r="B54" s="14">
        <f t="shared" si="1"/>
        <v>1356</v>
      </c>
      <c r="C54" s="25"/>
      <c r="D54" s="70" t="s">
        <v>18</v>
      </c>
      <c r="E54" s="21">
        <v>0</v>
      </c>
      <c r="F54" s="22"/>
      <c r="G54" s="31"/>
      <c r="H54" s="19">
        <f t="shared" si="0"/>
        <v>0</v>
      </c>
    </row>
    <row r="55" spans="1:8" s="33" customFormat="1" ht="28.5" customHeight="1" x14ac:dyDescent="0.25">
      <c r="A55" s="29">
        <v>45067</v>
      </c>
      <c r="B55" s="14">
        <f t="shared" si="1"/>
        <v>1357</v>
      </c>
      <c r="C55" s="25"/>
      <c r="D55" s="24" t="s">
        <v>13</v>
      </c>
      <c r="E55" s="30">
        <v>4407</v>
      </c>
      <c r="F55" s="22">
        <v>45068</v>
      </c>
      <c r="G55" s="31">
        <v>4407</v>
      </c>
      <c r="H55" s="32">
        <f t="shared" si="0"/>
        <v>0</v>
      </c>
    </row>
    <row r="56" spans="1:8" ht="28.5" customHeight="1" x14ac:dyDescent="0.25">
      <c r="A56" s="13">
        <v>45067</v>
      </c>
      <c r="B56" s="14">
        <f t="shared" si="1"/>
        <v>1358</v>
      </c>
      <c r="C56" s="25"/>
      <c r="D56" s="20" t="s">
        <v>93</v>
      </c>
      <c r="E56" s="21">
        <v>5437</v>
      </c>
      <c r="F56" s="22">
        <v>45069</v>
      </c>
      <c r="G56" s="31">
        <v>5437</v>
      </c>
      <c r="H56" s="19">
        <f t="shared" si="0"/>
        <v>0</v>
      </c>
    </row>
    <row r="57" spans="1:8" ht="28.5" customHeight="1" x14ac:dyDescent="0.25">
      <c r="A57" s="13">
        <v>45067</v>
      </c>
      <c r="B57" s="14">
        <f t="shared" si="1"/>
        <v>1359</v>
      </c>
      <c r="C57" s="25"/>
      <c r="D57" s="20" t="s">
        <v>19</v>
      </c>
      <c r="E57" s="21">
        <v>16401</v>
      </c>
      <c r="F57" s="22">
        <v>45068</v>
      </c>
      <c r="G57" s="31">
        <v>16401</v>
      </c>
      <c r="H57" s="19">
        <f t="shared" si="0"/>
        <v>0</v>
      </c>
    </row>
    <row r="58" spans="1:8" ht="39.75" customHeight="1" x14ac:dyDescent="0.25">
      <c r="A58" s="13">
        <v>45068</v>
      </c>
      <c r="B58" s="14">
        <f t="shared" si="1"/>
        <v>1360</v>
      </c>
      <c r="C58" s="25"/>
      <c r="D58" s="20" t="s">
        <v>15</v>
      </c>
      <c r="E58" s="21">
        <v>1054</v>
      </c>
      <c r="F58" s="22" t="s">
        <v>110</v>
      </c>
      <c r="G58" s="31">
        <f>1000+54</f>
        <v>1054</v>
      </c>
      <c r="H58" s="19">
        <f t="shared" si="0"/>
        <v>0</v>
      </c>
    </row>
    <row r="59" spans="1:8" ht="28.5" customHeight="1" x14ac:dyDescent="0.25">
      <c r="A59" s="13">
        <v>45068</v>
      </c>
      <c r="B59" s="14">
        <f t="shared" si="1"/>
        <v>1361</v>
      </c>
      <c r="C59" s="25"/>
      <c r="D59" s="20" t="s">
        <v>13</v>
      </c>
      <c r="E59" s="21">
        <v>3772</v>
      </c>
      <c r="F59" s="22">
        <v>45069</v>
      </c>
      <c r="G59" s="31">
        <v>3772</v>
      </c>
      <c r="H59" s="19">
        <f t="shared" si="0"/>
        <v>0</v>
      </c>
    </row>
    <row r="60" spans="1:8" ht="38.25" customHeight="1" x14ac:dyDescent="0.25">
      <c r="A60" s="13">
        <v>45068</v>
      </c>
      <c r="B60" s="14">
        <f t="shared" si="1"/>
        <v>1362</v>
      </c>
      <c r="C60" s="25"/>
      <c r="D60" s="20" t="s">
        <v>14</v>
      </c>
      <c r="E60" s="21">
        <v>1773</v>
      </c>
      <c r="F60" s="22" t="s">
        <v>111</v>
      </c>
      <c r="G60" s="31">
        <f>1573+200</f>
        <v>1773</v>
      </c>
      <c r="H60" s="19">
        <f t="shared" si="0"/>
        <v>0</v>
      </c>
    </row>
    <row r="61" spans="1:8" ht="28.5" customHeight="1" x14ac:dyDescent="0.25">
      <c r="A61" s="13">
        <v>45068</v>
      </c>
      <c r="B61" s="14">
        <f t="shared" si="1"/>
        <v>1363</v>
      </c>
      <c r="C61" s="25"/>
      <c r="D61" s="20" t="s">
        <v>109</v>
      </c>
      <c r="E61" s="21">
        <v>390</v>
      </c>
      <c r="F61" s="22">
        <v>45069</v>
      </c>
      <c r="G61" s="31">
        <v>390</v>
      </c>
      <c r="H61" s="19">
        <f t="shared" si="0"/>
        <v>0</v>
      </c>
    </row>
    <row r="62" spans="1:8" ht="28.5" customHeight="1" x14ac:dyDescent="0.25">
      <c r="A62" s="13">
        <v>45069</v>
      </c>
      <c r="B62" s="14">
        <f t="shared" si="1"/>
        <v>1364</v>
      </c>
      <c r="C62" s="25"/>
      <c r="D62" s="20" t="s">
        <v>12</v>
      </c>
      <c r="E62" s="21">
        <v>446</v>
      </c>
      <c r="F62" s="22">
        <v>45073</v>
      </c>
      <c r="G62" s="31">
        <v>446</v>
      </c>
      <c r="H62" s="19">
        <f t="shared" si="0"/>
        <v>0</v>
      </c>
    </row>
    <row r="63" spans="1:8" ht="28.5" customHeight="1" x14ac:dyDescent="0.25">
      <c r="A63" s="13">
        <v>45069</v>
      </c>
      <c r="B63" s="14">
        <f t="shared" si="1"/>
        <v>1365</v>
      </c>
      <c r="C63" s="25"/>
      <c r="D63" s="20" t="s">
        <v>15</v>
      </c>
      <c r="E63" s="21">
        <v>1550</v>
      </c>
      <c r="F63" s="22">
        <v>45071</v>
      </c>
      <c r="G63" s="31">
        <v>1550</v>
      </c>
      <c r="H63" s="19">
        <f t="shared" si="0"/>
        <v>0</v>
      </c>
    </row>
    <row r="64" spans="1:8" ht="28.5" customHeight="1" x14ac:dyDescent="0.25">
      <c r="A64" s="13">
        <v>45069</v>
      </c>
      <c r="B64" s="14">
        <f t="shared" si="1"/>
        <v>1366</v>
      </c>
      <c r="C64" s="25"/>
      <c r="D64" s="20" t="s">
        <v>13</v>
      </c>
      <c r="E64" s="21">
        <v>3420</v>
      </c>
      <c r="F64" s="22">
        <v>45070</v>
      </c>
      <c r="G64" s="31">
        <v>3420</v>
      </c>
      <c r="H64" s="19">
        <f t="shared" si="0"/>
        <v>0</v>
      </c>
    </row>
    <row r="65" spans="1:8" ht="30.75" customHeight="1" x14ac:dyDescent="0.25">
      <c r="A65" s="23">
        <v>45069</v>
      </c>
      <c r="B65" s="14">
        <f t="shared" si="1"/>
        <v>1367</v>
      </c>
      <c r="C65" s="25"/>
      <c r="D65" s="34" t="s">
        <v>25</v>
      </c>
      <c r="E65" s="21">
        <v>1486</v>
      </c>
      <c r="F65" s="22">
        <v>45071</v>
      </c>
      <c r="G65" s="31">
        <v>1486</v>
      </c>
      <c r="H65" s="19">
        <f t="shared" si="0"/>
        <v>0</v>
      </c>
    </row>
    <row r="66" spans="1:8" ht="28.5" customHeight="1" x14ac:dyDescent="0.25">
      <c r="A66" s="23">
        <v>45070</v>
      </c>
      <c r="B66" s="14">
        <f t="shared" si="1"/>
        <v>1368</v>
      </c>
      <c r="C66" s="25"/>
      <c r="D66" s="34" t="s">
        <v>13</v>
      </c>
      <c r="E66" s="21">
        <v>2174</v>
      </c>
      <c r="F66" s="22">
        <v>45071</v>
      </c>
      <c r="G66" s="31">
        <v>2174</v>
      </c>
      <c r="H66" s="19">
        <f t="shared" si="0"/>
        <v>0</v>
      </c>
    </row>
    <row r="67" spans="1:8" ht="28.5" customHeight="1" x14ac:dyDescent="0.25">
      <c r="A67" s="23">
        <v>45070</v>
      </c>
      <c r="B67" s="14">
        <f t="shared" si="1"/>
        <v>1369</v>
      </c>
      <c r="C67" s="25"/>
      <c r="D67" s="34" t="s">
        <v>14</v>
      </c>
      <c r="E67" s="21">
        <v>1356</v>
      </c>
      <c r="F67" s="22">
        <v>45070</v>
      </c>
      <c r="G67" s="31">
        <v>1356</v>
      </c>
      <c r="H67" s="19">
        <f t="shared" si="0"/>
        <v>0</v>
      </c>
    </row>
    <row r="68" spans="1:8" ht="28.5" customHeight="1" x14ac:dyDescent="0.3">
      <c r="A68" s="23">
        <v>45070</v>
      </c>
      <c r="B68" s="14">
        <f t="shared" si="1"/>
        <v>1370</v>
      </c>
      <c r="C68" s="25"/>
      <c r="D68" s="74" t="s">
        <v>18</v>
      </c>
      <c r="E68" s="21">
        <v>0</v>
      </c>
      <c r="F68" s="22"/>
      <c r="G68" s="31"/>
      <c r="H68" s="19">
        <f t="shared" si="0"/>
        <v>0</v>
      </c>
    </row>
    <row r="69" spans="1:8" ht="28.5" customHeight="1" x14ac:dyDescent="0.3">
      <c r="A69" s="23">
        <v>45070</v>
      </c>
      <c r="B69" s="14">
        <f t="shared" si="1"/>
        <v>1371</v>
      </c>
      <c r="C69" s="25"/>
      <c r="D69" s="74" t="s">
        <v>18</v>
      </c>
      <c r="E69" s="21">
        <v>0</v>
      </c>
      <c r="F69" s="22"/>
      <c r="G69" s="31"/>
      <c r="H69" s="19">
        <f t="shared" si="0"/>
        <v>0</v>
      </c>
    </row>
    <row r="70" spans="1:8" ht="28.5" customHeight="1" x14ac:dyDescent="0.3">
      <c r="A70" s="23">
        <v>45070</v>
      </c>
      <c r="B70" s="14">
        <f t="shared" ref="B70:B120" si="2">B69+1</f>
        <v>1372</v>
      </c>
      <c r="C70" s="25"/>
      <c r="D70" s="74" t="s">
        <v>18</v>
      </c>
      <c r="E70" s="21">
        <v>0</v>
      </c>
      <c r="F70" s="22"/>
      <c r="G70" s="31"/>
      <c r="H70" s="19">
        <f t="shared" si="0"/>
        <v>0</v>
      </c>
    </row>
    <row r="71" spans="1:8" ht="28.5" customHeight="1" x14ac:dyDescent="0.3">
      <c r="A71" s="23">
        <v>45070</v>
      </c>
      <c r="B71" s="14">
        <f t="shared" si="2"/>
        <v>1373</v>
      </c>
      <c r="C71" s="25"/>
      <c r="D71" s="74" t="s">
        <v>18</v>
      </c>
      <c r="E71" s="21">
        <v>0</v>
      </c>
      <c r="F71" s="22"/>
      <c r="G71" s="31"/>
      <c r="H71" s="19">
        <f t="shared" si="0"/>
        <v>0</v>
      </c>
    </row>
    <row r="72" spans="1:8" ht="28.5" customHeight="1" x14ac:dyDescent="0.3">
      <c r="A72" s="23">
        <v>45070</v>
      </c>
      <c r="B72" s="14">
        <f t="shared" si="2"/>
        <v>1374</v>
      </c>
      <c r="C72" s="25"/>
      <c r="D72" s="74" t="s">
        <v>18</v>
      </c>
      <c r="E72" s="21">
        <v>0</v>
      </c>
      <c r="F72" s="22"/>
      <c r="G72" s="31"/>
      <c r="H72" s="19">
        <f t="shared" si="0"/>
        <v>0</v>
      </c>
    </row>
    <row r="73" spans="1:8" ht="28.5" customHeight="1" x14ac:dyDescent="0.3">
      <c r="A73" s="23">
        <v>45070</v>
      </c>
      <c r="B73" s="14">
        <f t="shared" si="2"/>
        <v>1375</v>
      </c>
      <c r="C73" s="25"/>
      <c r="D73" s="74" t="s">
        <v>18</v>
      </c>
      <c r="E73" s="21">
        <v>0</v>
      </c>
      <c r="F73" s="22"/>
      <c r="G73" s="31"/>
      <c r="H73" s="19">
        <f t="shared" si="0"/>
        <v>0</v>
      </c>
    </row>
    <row r="74" spans="1:8" ht="24" customHeight="1" x14ac:dyDescent="0.3">
      <c r="A74" s="23">
        <v>45070</v>
      </c>
      <c r="B74" s="14">
        <f t="shared" si="2"/>
        <v>1376</v>
      </c>
      <c r="C74" s="25"/>
      <c r="D74" s="74" t="s">
        <v>18</v>
      </c>
      <c r="E74" s="21">
        <v>0</v>
      </c>
      <c r="F74" s="22"/>
      <c r="G74" s="31"/>
      <c r="H74" s="19">
        <f t="shared" si="0"/>
        <v>0</v>
      </c>
    </row>
    <row r="75" spans="1:8" ht="30" customHeight="1" x14ac:dyDescent="0.25">
      <c r="A75" s="23">
        <v>45071</v>
      </c>
      <c r="B75" s="14">
        <f t="shared" si="2"/>
        <v>1377</v>
      </c>
      <c r="C75" s="25"/>
      <c r="D75" s="34" t="s">
        <v>15</v>
      </c>
      <c r="E75" s="21">
        <v>1740</v>
      </c>
      <c r="F75" s="22">
        <v>45072</v>
      </c>
      <c r="G75" s="31">
        <v>1740</v>
      </c>
      <c r="H75" s="19">
        <f t="shared" si="0"/>
        <v>0</v>
      </c>
    </row>
    <row r="76" spans="1:8" ht="18.75" customHeight="1" x14ac:dyDescent="0.25">
      <c r="A76" s="23">
        <v>45071</v>
      </c>
      <c r="B76" s="14">
        <f t="shared" si="2"/>
        <v>1378</v>
      </c>
      <c r="C76" s="25"/>
      <c r="D76" s="34" t="s">
        <v>14</v>
      </c>
      <c r="E76" s="21">
        <v>870</v>
      </c>
      <c r="F76" s="22">
        <v>45072</v>
      </c>
      <c r="G76" s="31">
        <v>870</v>
      </c>
      <c r="H76" s="19">
        <f t="shared" si="0"/>
        <v>0</v>
      </c>
    </row>
    <row r="77" spans="1:8" ht="18.75" customHeight="1" x14ac:dyDescent="0.25">
      <c r="A77" s="23">
        <v>45071</v>
      </c>
      <c r="B77" s="14">
        <f t="shared" si="2"/>
        <v>1379</v>
      </c>
      <c r="C77" s="25"/>
      <c r="D77" s="34" t="s">
        <v>14</v>
      </c>
      <c r="E77" s="21">
        <v>545</v>
      </c>
      <c r="F77" s="22">
        <v>45072</v>
      </c>
      <c r="G77" s="31">
        <v>545</v>
      </c>
      <c r="H77" s="19">
        <f t="shared" si="0"/>
        <v>0</v>
      </c>
    </row>
    <row r="78" spans="1:8" ht="18.75" customHeight="1" x14ac:dyDescent="0.25">
      <c r="A78" s="23">
        <v>45071</v>
      </c>
      <c r="B78" s="14">
        <f t="shared" si="2"/>
        <v>1380</v>
      </c>
      <c r="C78" s="25"/>
      <c r="D78" s="34" t="s">
        <v>13</v>
      </c>
      <c r="E78" s="21">
        <v>4128</v>
      </c>
      <c r="F78" s="22">
        <v>45072</v>
      </c>
      <c r="G78" s="31">
        <v>4128</v>
      </c>
      <c r="H78" s="19">
        <f t="shared" si="0"/>
        <v>0</v>
      </c>
    </row>
    <row r="79" spans="1:8" ht="18.75" customHeight="1" x14ac:dyDescent="0.25">
      <c r="A79" s="23">
        <v>45072</v>
      </c>
      <c r="B79" s="14">
        <f t="shared" si="2"/>
        <v>1381</v>
      </c>
      <c r="C79" s="25"/>
      <c r="D79" s="34" t="s">
        <v>15</v>
      </c>
      <c r="E79" s="21">
        <v>1332</v>
      </c>
      <c r="F79" s="22">
        <v>45073</v>
      </c>
      <c r="G79" s="31">
        <v>1332</v>
      </c>
      <c r="H79" s="19">
        <f t="shared" si="0"/>
        <v>0</v>
      </c>
    </row>
    <row r="80" spans="1:8" ht="18.75" customHeight="1" x14ac:dyDescent="0.25">
      <c r="A80" s="23">
        <v>45072</v>
      </c>
      <c r="B80" s="14">
        <f t="shared" si="2"/>
        <v>1382</v>
      </c>
      <c r="C80" s="25"/>
      <c r="D80" s="34" t="s">
        <v>13</v>
      </c>
      <c r="E80" s="21">
        <v>3784</v>
      </c>
      <c r="F80" s="22">
        <v>45073</v>
      </c>
      <c r="G80" s="31">
        <v>3784</v>
      </c>
      <c r="H80" s="19">
        <f t="shared" si="0"/>
        <v>0</v>
      </c>
    </row>
    <row r="81" spans="1:8" x14ac:dyDescent="0.25">
      <c r="A81" s="23">
        <v>45072</v>
      </c>
      <c r="B81" s="14">
        <f t="shared" si="2"/>
        <v>1383</v>
      </c>
      <c r="C81" s="25"/>
      <c r="D81" s="34" t="s">
        <v>24</v>
      </c>
      <c r="E81" s="21">
        <v>12160</v>
      </c>
      <c r="F81" s="22">
        <v>45081</v>
      </c>
      <c r="G81" s="31">
        <v>12160</v>
      </c>
      <c r="H81" s="19">
        <f t="shared" si="0"/>
        <v>0</v>
      </c>
    </row>
    <row r="82" spans="1:8" ht="18.75" customHeight="1" x14ac:dyDescent="0.25">
      <c r="A82" s="23">
        <v>45072</v>
      </c>
      <c r="B82" s="14">
        <f t="shared" si="2"/>
        <v>1384</v>
      </c>
      <c r="C82" s="25"/>
      <c r="D82" s="34" t="s">
        <v>25</v>
      </c>
      <c r="E82" s="21">
        <v>9520</v>
      </c>
      <c r="F82" s="22">
        <v>45075</v>
      </c>
      <c r="G82" s="31">
        <v>9520</v>
      </c>
      <c r="H82" s="19">
        <f t="shared" si="0"/>
        <v>0</v>
      </c>
    </row>
    <row r="83" spans="1:8" ht="18.75" customHeight="1" x14ac:dyDescent="0.25">
      <c r="A83" s="23">
        <v>45073</v>
      </c>
      <c r="B83" s="14">
        <f t="shared" si="2"/>
        <v>1385</v>
      </c>
      <c r="C83" s="25"/>
      <c r="D83" s="34" t="s">
        <v>12</v>
      </c>
      <c r="E83" s="21">
        <v>435</v>
      </c>
      <c r="F83" s="22">
        <v>45080</v>
      </c>
      <c r="G83" s="31">
        <v>435</v>
      </c>
      <c r="H83" s="19">
        <f t="shared" si="0"/>
        <v>0</v>
      </c>
    </row>
    <row r="84" spans="1:8" ht="18.75" customHeight="1" x14ac:dyDescent="0.25">
      <c r="A84" s="23">
        <v>45073</v>
      </c>
      <c r="B84" s="14">
        <f t="shared" si="2"/>
        <v>1386</v>
      </c>
      <c r="C84" s="25"/>
      <c r="D84" s="34" t="s">
        <v>15</v>
      </c>
      <c r="E84" s="21">
        <v>3096</v>
      </c>
      <c r="F84" s="22">
        <v>45074</v>
      </c>
      <c r="G84" s="31">
        <v>3096</v>
      </c>
      <c r="H84" s="19">
        <f t="shared" si="0"/>
        <v>0</v>
      </c>
    </row>
    <row r="85" spans="1:8" ht="18.75" customHeight="1" x14ac:dyDescent="0.25">
      <c r="A85" s="23">
        <v>45073</v>
      </c>
      <c r="B85" s="14">
        <f t="shared" si="2"/>
        <v>1387</v>
      </c>
      <c r="C85" s="25"/>
      <c r="D85" s="34" t="s">
        <v>13</v>
      </c>
      <c r="E85" s="21">
        <v>4494</v>
      </c>
      <c r="F85" s="22">
        <v>45074</v>
      </c>
      <c r="G85" s="31">
        <v>4494</v>
      </c>
      <c r="H85" s="19">
        <f t="shared" si="0"/>
        <v>0</v>
      </c>
    </row>
    <row r="86" spans="1:8" ht="18.75" customHeight="1" x14ac:dyDescent="0.25">
      <c r="A86" s="23">
        <v>45074</v>
      </c>
      <c r="B86" s="14">
        <f t="shared" si="2"/>
        <v>1388</v>
      </c>
      <c r="C86" s="25"/>
      <c r="D86" s="34" t="s">
        <v>19</v>
      </c>
      <c r="E86" s="21">
        <v>9296</v>
      </c>
      <c r="F86" s="22">
        <v>45074</v>
      </c>
      <c r="G86" s="31">
        <v>9296</v>
      </c>
      <c r="H86" s="19">
        <f t="shared" si="0"/>
        <v>0</v>
      </c>
    </row>
    <row r="87" spans="1:8" ht="18.75" customHeight="1" x14ac:dyDescent="0.25">
      <c r="A87" s="23">
        <v>45074</v>
      </c>
      <c r="B87" s="14">
        <f t="shared" si="2"/>
        <v>1389</v>
      </c>
      <c r="C87" s="25"/>
      <c r="D87" s="34" t="s">
        <v>15</v>
      </c>
      <c r="E87" s="21">
        <v>252</v>
      </c>
      <c r="F87" s="22">
        <v>45075</v>
      </c>
      <c r="G87" s="31">
        <v>252</v>
      </c>
      <c r="H87" s="19">
        <f t="shared" si="0"/>
        <v>0</v>
      </c>
    </row>
    <row r="88" spans="1:8" ht="18.75" customHeight="1" x14ac:dyDescent="0.25">
      <c r="A88" s="23">
        <v>45074</v>
      </c>
      <c r="B88" s="14">
        <f t="shared" si="2"/>
        <v>1390</v>
      </c>
      <c r="C88" s="25"/>
      <c r="D88" s="34" t="s">
        <v>13</v>
      </c>
      <c r="E88" s="21">
        <v>4715</v>
      </c>
      <c r="F88" s="22">
        <v>45075</v>
      </c>
      <c r="G88" s="31">
        <v>4715</v>
      </c>
      <c r="H88" s="19">
        <f t="shared" si="0"/>
        <v>0</v>
      </c>
    </row>
    <row r="89" spans="1:8" ht="18.75" customHeight="1" x14ac:dyDescent="0.25">
      <c r="A89" s="23">
        <v>45075</v>
      </c>
      <c r="B89" s="14">
        <f t="shared" si="2"/>
        <v>1391</v>
      </c>
      <c r="C89" s="25"/>
      <c r="D89" s="34" t="s">
        <v>19</v>
      </c>
      <c r="E89" s="21">
        <v>8640</v>
      </c>
      <c r="F89" s="22">
        <v>45076</v>
      </c>
      <c r="G89" s="31">
        <v>8640</v>
      </c>
      <c r="H89" s="19">
        <f t="shared" si="0"/>
        <v>0</v>
      </c>
    </row>
    <row r="90" spans="1:8" ht="18.75" customHeight="1" x14ac:dyDescent="0.25">
      <c r="A90" s="23">
        <v>45075</v>
      </c>
      <c r="B90" s="14">
        <f t="shared" si="2"/>
        <v>1392</v>
      </c>
      <c r="C90" s="25"/>
      <c r="D90" s="34" t="s">
        <v>15</v>
      </c>
      <c r="E90" s="21">
        <v>1157</v>
      </c>
      <c r="F90" s="22">
        <v>45076</v>
      </c>
      <c r="G90" s="31">
        <v>1157</v>
      </c>
      <c r="H90" s="19">
        <f t="shared" si="0"/>
        <v>0</v>
      </c>
    </row>
    <row r="91" spans="1:8" ht="18.75" customHeight="1" x14ac:dyDescent="0.25">
      <c r="A91" s="23">
        <v>45075</v>
      </c>
      <c r="B91" s="14">
        <f t="shared" si="2"/>
        <v>1393</v>
      </c>
      <c r="C91" s="25"/>
      <c r="D91" s="34" t="s">
        <v>13</v>
      </c>
      <c r="E91" s="21">
        <v>3600</v>
      </c>
      <c r="F91" s="22">
        <v>45076</v>
      </c>
      <c r="G91" s="31">
        <v>3600</v>
      </c>
      <c r="H91" s="19">
        <f t="shared" si="0"/>
        <v>0</v>
      </c>
    </row>
    <row r="92" spans="1:8" ht="18.75" customHeight="1" x14ac:dyDescent="0.25">
      <c r="A92" s="23">
        <v>45075</v>
      </c>
      <c r="B92" s="14">
        <f t="shared" si="2"/>
        <v>1394</v>
      </c>
      <c r="C92" s="25"/>
      <c r="D92" s="34" t="s">
        <v>15</v>
      </c>
      <c r="E92" s="21">
        <v>1254</v>
      </c>
      <c r="F92" s="22">
        <v>45076</v>
      </c>
      <c r="G92" s="31">
        <v>1254</v>
      </c>
      <c r="H92" s="19">
        <f t="shared" si="0"/>
        <v>0</v>
      </c>
    </row>
    <row r="93" spans="1:8" ht="18.75" customHeight="1" x14ac:dyDescent="0.25">
      <c r="A93" s="23">
        <v>45076</v>
      </c>
      <c r="B93" s="14">
        <f t="shared" si="2"/>
        <v>1395</v>
      </c>
      <c r="C93" s="25"/>
      <c r="D93" s="34" t="s">
        <v>12</v>
      </c>
      <c r="E93" s="21">
        <v>292</v>
      </c>
      <c r="F93" s="22">
        <v>45078</v>
      </c>
      <c r="G93" s="31">
        <v>292</v>
      </c>
      <c r="H93" s="19">
        <f t="shared" si="0"/>
        <v>0</v>
      </c>
    </row>
    <row r="94" spans="1:8" ht="18.75" customHeight="1" x14ac:dyDescent="0.25">
      <c r="A94" s="23">
        <v>45076</v>
      </c>
      <c r="B94" s="14">
        <f t="shared" si="2"/>
        <v>1396</v>
      </c>
      <c r="C94" s="25"/>
      <c r="D94" s="34" t="s">
        <v>14</v>
      </c>
      <c r="E94" s="21">
        <v>4135</v>
      </c>
      <c r="F94" s="22">
        <v>45078</v>
      </c>
      <c r="G94" s="31">
        <v>4135</v>
      </c>
      <c r="H94" s="19">
        <f t="shared" si="0"/>
        <v>0</v>
      </c>
    </row>
    <row r="95" spans="1:8" ht="31.5" x14ac:dyDescent="0.25">
      <c r="A95" s="23">
        <v>45076</v>
      </c>
      <c r="B95" s="14">
        <f t="shared" si="2"/>
        <v>1397</v>
      </c>
      <c r="C95" s="25"/>
      <c r="D95" s="34" t="s">
        <v>15</v>
      </c>
      <c r="E95" s="21">
        <v>1680</v>
      </c>
      <c r="F95" s="22" t="s">
        <v>115</v>
      </c>
      <c r="G95" s="31">
        <f>1300+380</f>
        <v>1680</v>
      </c>
      <c r="H95" s="19">
        <f t="shared" si="0"/>
        <v>0</v>
      </c>
    </row>
    <row r="96" spans="1:8" ht="18.75" customHeight="1" x14ac:dyDescent="0.25">
      <c r="A96" s="23">
        <v>45076</v>
      </c>
      <c r="B96" s="14">
        <f t="shared" si="2"/>
        <v>1398</v>
      </c>
      <c r="C96" s="25"/>
      <c r="D96" s="34" t="s">
        <v>13</v>
      </c>
      <c r="E96" s="21">
        <v>2624</v>
      </c>
      <c r="F96" s="22">
        <v>45077</v>
      </c>
      <c r="G96" s="31">
        <v>2624</v>
      </c>
      <c r="H96" s="19">
        <f t="shared" si="0"/>
        <v>0</v>
      </c>
    </row>
    <row r="97" spans="1:8" ht="18.75" customHeight="1" x14ac:dyDescent="0.25">
      <c r="A97" s="23">
        <v>45077</v>
      </c>
      <c r="B97" s="14">
        <f t="shared" si="2"/>
        <v>1399</v>
      </c>
      <c r="C97" s="25"/>
      <c r="D97" s="34" t="s">
        <v>19</v>
      </c>
      <c r="E97" s="21">
        <v>7976</v>
      </c>
      <c r="F97" s="22">
        <v>45080</v>
      </c>
      <c r="G97" s="31">
        <v>7976</v>
      </c>
      <c r="H97" s="19">
        <f t="shared" si="0"/>
        <v>0</v>
      </c>
    </row>
    <row r="98" spans="1:8" ht="18.75" customHeight="1" x14ac:dyDescent="0.25">
      <c r="A98" s="23">
        <v>45077</v>
      </c>
      <c r="B98" s="14">
        <f t="shared" si="2"/>
        <v>1400</v>
      </c>
      <c r="C98" s="25"/>
      <c r="D98" s="34" t="s">
        <v>13</v>
      </c>
      <c r="E98" s="21">
        <v>2772</v>
      </c>
      <c r="F98" s="22">
        <v>45078</v>
      </c>
      <c r="G98" s="31">
        <v>2772</v>
      </c>
      <c r="H98" s="19">
        <f t="shared" si="0"/>
        <v>0</v>
      </c>
    </row>
    <row r="99" spans="1:8" ht="31.5" x14ac:dyDescent="0.25">
      <c r="A99" s="23">
        <v>45078</v>
      </c>
      <c r="B99" s="14">
        <f t="shared" si="2"/>
        <v>1401</v>
      </c>
      <c r="C99" s="25"/>
      <c r="D99" s="34" t="s">
        <v>14</v>
      </c>
      <c r="E99" s="21">
        <v>1552</v>
      </c>
      <c r="F99" s="22" t="s">
        <v>115</v>
      </c>
      <c r="G99" s="31">
        <f>520+1032</f>
        <v>1552</v>
      </c>
      <c r="H99" s="19">
        <f t="shared" si="0"/>
        <v>0</v>
      </c>
    </row>
    <row r="100" spans="1:8" ht="18.75" customHeight="1" x14ac:dyDescent="0.25">
      <c r="A100" s="23">
        <v>45078</v>
      </c>
      <c r="B100" s="14">
        <f t="shared" si="2"/>
        <v>1402</v>
      </c>
      <c r="C100" s="25"/>
      <c r="D100" s="34" t="s">
        <v>15</v>
      </c>
      <c r="E100" s="21">
        <v>1403</v>
      </c>
      <c r="F100" s="22">
        <v>45079</v>
      </c>
      <c r="G100" s="31">
        <v>1403</v>
      </c>
      <c r="H100" s="19">
        <f t="shared" si="0"/>
        <v>0</v>
      </c>
    </row>
    <row r="101" spans="1:8" ht="18.75" customHeight="1" x14ac:dyDescent="0.25">
      <c r="A101" s="23">
        <v>45078</v>
      </c>
      <c r="B101" s="14">
        <f t="shared" si="2"/>
        <v>1403</v>
      </c>
      <c r="C101" s="25"/>
      <c r="D101" s="34" t="s">
        <v>15</v>
      </c>
      <c r="E101" s="21">
        <v>300</v>
      </c>
      <c r="F101" s="22">
        <v>45080</v>
      </c>
      <c r="G101" s="31">
        <v>300</v>
      </c>
      <c r="H101" s="19">
        <f t="shared" si="0"/>
        <v>0</v>
      </c>
    </row>
    <row r="102" spans="1:8" ht="18.75" customHeight="1" x14ac:dyDescent="0.25">
      <c r="A102" s="23">
        <v>45078</v>
      </c>
      <c r="B102" s="14">
        <f t="shared" si="2"/>
        <v>1404</v>
      </c>
      <c r="C102" s="25"/>
      <c r="D102" s="34" t="s">
        <v>13</v>
      </c>
      <c r="E102" s="21">
        <v>2584</v>
      </c>
      <c r="F102" s="22">
        <v>45079</v>
      </c>
      <c r="G102" s="31">
        <v>2584</v>
      </c>
      <c r="H102" s="19">
        <f t="shared" si="0"/>
        <v>0</v>
      </c>
    </row>
    <row r="103" spans="1:8" ht="18.75" customHeight="1" x14ac:dyDescent="0.25">
      <c r="A103" s="23">
        <v>45078</v>
      </c>
      <c r="B103" s="14">
        <f t="shared" si="2"/>
        <v>1405</v>
      </c>
      <c r="C103" s="25"/>
      <c r="D103" s="34" t="s">
        <v>113</v>
      </c>
      <c r="E103" s="21">
        <v>426</v>
      </c>
      <c r="F103" s="22">
        <v>45080</v>
      </c>
      <c r="G103" s="31">
        <v>426</v>
      </c>
      <c r="H103" s="19">
        <f t="shared" si="0"/>
        <v>0</v>
      </c>
    </row>
    <row r="104" spans="1:8" ht="18.75" customHeight="1" x14ac:dyDescent="0.25">
      <c r="A104" s="23">
        <v>45078</v>
      </c>
      <c r="B104" s="14">
        <f t="shared" si="2"/>
        <v>1406</v>
      </c>
      <c r="C104" s="25"/>
      <c r="D104" s="34" t="s">
        <v>114</v>
      </c>
      <c r="E104" s="21">
        <v>7843</v>
      </c>
      <c r="F104" s="22">
        <v>45079</v>
      </c>
      <c r="G104" s="31">
        <v>7843</v>
      </c>
      <c r="H104" s="19">
        <f t="shared" si="0"/>
        <v>0</v>
      </c>
    </row>
    <row r="105" spans="1:8" ht="18.75" customHeight="1" x14ac:dyDescent="0.25">
      <c r="A105" s="23">
        <v>45079</v>
      </c>
      <c r="B105" s="14">
        <f t="shared" si="2"/>
        <v>1407</v>
      </c>
      <c r="C105" s="25"/>
      <c r="D105" s="34" t="s">
        <v>12</v>
      </c>
      <c r="E105" s="21">
        <v>3303</v>
      </c>
      <c r="F105" s="64">
        <v>45084</v>
      </c>
      <c r="G105" s="65">
        <v>3303</v>
      </c>
      <c r="H105" s="19">
        <f t="shared" si="0"/>
        <v>0</v>
      </c>
    </row>
    <row r="106" spans="1:8" ht="31.5" x14ac:dyDescent="0.25">
      <c r="A106" s="23">
        <v>45079</v>
      </c>
      <c r="B106" s="14">
        <f t="shared" si="2"/>
        <v>1408</v>
      </c>
      <c r="C106" s="25"/>
      <c r="D106" s="34" t="s">
        <v>109</v>
      </c>
      <c r="E106" s="21">
        <v>12036</v>
      </c>
      <c r="F106" s="22" t="s">
        <v>116</v>
      </c>
      <c r="G106" s="31">
        <f>11000+1036</f>
        <v>12036</v>
      </c>
      <c r="H106" s="19">
        <f t="shared" si="0"/>
        <v>0</v>
      </c>
    </row>
    <row r="107" spans="1:8" ht="18.75" customHeight="1" x14ac:dyDescent="0.25">
      <c r="A107" s="23">
        <v>45079</v>
      </c>
      <c r="B107" s="14">
        <f t="shared" si="2"/>
        <v>1409</v>
      </c>
      <c r="C107" s="25"/>
      <c r="D107" s="34" t="s">
        <v>14</v>
      </c>
      <c r="E107" s="21">
        <v>4102</v>
      </c>
      <c r="F107" s="22">
        <v>45080</v>
      </c>
      <c r="G107" s="31">
        <v>4102</v>
      </c>
      <c r="H107" s="19">
        <f t="shared" si="0"/>
        <v>0</v>
      </c>
    </row>
    <row r="108" spans="1:8" ht="18.75" customHeight="1" x14ac:dyDescent="0.25">
      <c r="A108" s="23">
        <v>45079</v>
      </c>
      <c r="B108" s="14">
        <f t="shared" si="2"/>
        <v>1410</v>
      </c>
      <c r="C108" s="25"/>
      <c r="D108" s="34" t="s">
        <v>15</v>
      </c>
      <c r="E108" s="21">
        <v>1375</v>
      </c>
      <c r="F108" s="22">
        <v>45080</v>
      </c>
      <c r="G108" s="31">
        <v>1375</v>
      </c>
      <c r="H108" s="19">
        <f t="shared" si="0"/>
        <v>0</v>
      </c>
    </row>
    <row r="109" spans="1:8" ht="18.75" customHeight="1" x14ac:dyDescent="0.25">
      <c r="A109" s="23">
        <v>45079</v>
      </c>
      <c r="B109" s="14">
        <f t="shared" si="2"/>
        <v>1411</v>
      </c>
      <c r="C109" s="25"/>
      <c r="D109" s="34" t="s">
        <v>16</v>
      </c>
      <c r="E109" s="21">
        <v>4416</v>
      </c>
      <c r="F109" s="22">
        <v>45080</v>
      </c>
      <c r="G109" s="31">
        <v>4416</v>
      </c>
      <c r="H109" s="19">
        <f t="shared" si="0"/>
        <v>0</v>
      </c>
    </row>
    <row r="110" spans="1:8" ht="18.75" customHeight="1" x14ac:dyDescent="0.25">
      <c r="A110" s="23">
        <v>45079</v>
      </c>
      <c r="B110" s="14">
        <f t="shared" si="2"/>
        <v>1412</v>
      </c>
      <c r="C110" s="25"/>
      <c r="D110" s="34" t="s">
        <v>13</v>
      </c>
      <c r="E110" s="21">
        <v>4616</v>
      </c>
      <c r="F110" s="22">
        <v>45080</v>
      </c>
      <c r="G110" s="31">
        <v>4616</v>
      </c>
      <c r="H110" s="19">
        <f t="shared" si="0"/>
        <v>0</v>
      </c>
    </row>
    <row r="111" spans="1:8" ht="24.75" customHeight="1" x14ac:dyDescent="0.25">
      <c r="A111" s="23">
        <v>45079</v>
      </c>
      <c r="B111" s="14">
        <f t="shared" si="2"/>
        <v>1413</v>
      </c>
      <c r="C111" s="25"/>
      <c r="D111" s="34" t="s">
        <v>24</v>
      </c>
      <c r="E111" s="21">
        <v>10600</v>
      </c>
      <c r="F111" s="64">
        <v>45088</v>
      </c>
      <c r="G111" s="65">
        <v>10600</v>
      </c>
      <c r="H111" s="19">
        <f t="shared" si="0"/>
        <v>0</v>
      </c>
    </row>
    <row r="112" spans="1:8" ht="24.75" customHeight="1" x14ac:dyDescent="0.25">
      <c r="A112" s="23">
        <v>45079</v>
      </c>
      <c r="B112" s="14">
        <f t="shared" si="2"/>
        <v>1414</v>
      </c>
      <c r="C112" s="25"/>
      <c r="D112" s="34" t="s">
        <v>25</v>
      </c>
      <c r="E112" s="21">
        <v>9720</v>
      </c>
      <c r="F112" s="64">
        <v>45082</v>
      </c>
      <c r="G112" s="65">
        <v>9720</v>
      </c>
      <c r="H112" s="19">
        <f t="shared" si="0"/>
        <v>0</v>
      </c>
    </row>
    <row r="113" spans="1:9" ht="24.75" customHeight="1" x14ac:dyDescent="0.25">
      <c r="A113" s="23">
        <v>45079</v>
      </c>
      <c r="B113" s="14">
        <f t="shared" si="2"/>
        <v>1415</v>
      </c>
      <c r="C113" s="25"/>
      <c r="D113" s="34" t="s">
        <v>15</v>
      </c>
      <c r="E113" s="21">
        <v>368</v>
      </c>
      <c r="F113" s="22">
        <v>45080</v>
      </c>
      <c r="G113" s="31">
        <v>368</v>
      </c>
      <c r="H113" s="19">
        <f t="shared" si="0"/>
        <v>0</v>
      </c>
    </row>
    <row r="114" spans="1:9" ht="31.5" x14ac:dyDescent="0.25">
      <c r="A114" s="23">
        <v>45080</v>
      </c>
      <c r="B114" s="14">
        <f t="shared" si="2"/>
        <v>1416</v>
      </c>
      <c r="C114" s="25"/>
      <c r="D114" s="34" t="s">
        <v>14</v>
      </c>
      <c r="E114" s="21">
        <v>2636</v>
      </c>
      <c r="F114" s="22" t="s">
        <v>117</v>
      </c>
      <c r="G114" s="31">
        <f>2436+200</f>
        <v>2636</v>
      </c>
      <c r="H114" s="19">
        <f t="shared" si="0"/>
        <v>0</v>
      </c>
    </row>
    <row r="115" spans="1:9" ht="24.75" customHeight="1" x14ac:dyDescent="0.25">
      <c r="A115" s="23">
        <v>45080</v>
      </c>
      <c r="B115" s="14">
        <f t="shared" si="2"/>
        <v>1417</v>
      </c>
      <c r="C115" s="25"/>
      <c r="D115" s="34" t="s">
        <v>15</v>
      </c>
      <c r="E115" s="21">
        <v>1895</v>
      </c>
      <c r="F115" s="22">
        <v>45081</v>
      </c>
      <c r="G115" s="31">
        <v>1895</v>
      </c>
      <c r="H115" s="19">
        <f t="shared" si="0"/>
        <v>0</v>
      </c>
    </row>
    <row r="116" spans="1:9" ht="24.75" customHeight="1" x14ac:dyDescent="0.25">
      <c r="A116" s="23">
        <v>45080</v>
      </c>
      <c r="B116" s="14">
        <f t="shared" si="2"/>
        <v>1418</v>
      </c>
      <c r="C116" s="25"/>
      <c r="D116" s="34" t="s">
        <v>13</v>
      </c>
      <c r="E116" s="21">
        <v>2936</v>
      </c>
      <c r="F116" s="22">
        <v>45081</v>
      </c>
      <c r="G116" s="31">
        <v>2936</v>
      </c>
      <c r="H116" s="19">
        <f t="shared" si="0"/>
        <v>0</v>
      </c>
    </row>
    <row r="117" spans="1:9" ht="31.5" x14ac:dyDescent="0.25">
      <c r="A117" s="23">
        <v>45081</v>
      </c>
      <c r="B117" s="14">
        <f t="shared" si="2"/>
        <v>1419</v>
      </c>
      <c r="C117" s="25"/>
      <c r="D117" s="34" t="s">
        <v>15</v>
      </c>
      <c r="E117" s="21">
        <v>711</v>
      </c>
      <c r="F117" s="64" t="s">
        <v>120</v>
      </c>
      <c r="G117" s="65">
        <f>500+211</f>
        <v>711</v>
      </c>
      <c r="H117" s="19">
        <f t="shared" si="0"/>
        <v>0</v>
      </c>
    </row>
    <row r="118" spans="1:9" ht="24.75" customHeight="1" x14ac:dyDescent="0.25">
      <c r="A118" s="23">
        <v>45081</v>
      </c>
      <c r="B118" s="14">
        <f t="shared" si="2"/>
        <v>1420</v>
      </c>
      <c r="C118" s="25"/>
      <c r="D118" s="34" t="s">
        <v>19</v>
      </c>
      <c r="E118" s="21">
        <v>10624</v>
      </c>
      <c r="F118" s="64">
        <v>45082</v>
      </c>
      <c r="G118" s="65">
        <v>10624</v>
      </c>
      <c r="H118" s="19">
        <f t="shared" si="0"/>
        <v>0</v>
      </c>
    </row>
    <row r="119" spans="1:9" ht="24.75" customHeight="1" x14ac:dyDescent="0.25">
      <c r="A119" s="23">
        <v>45081</v>
      </c>
      <c r="B119" s="14">
        <f t="shared" si="2"/>
        <v>1421</v>
      </c>
      <c r="C119" s="25"/>
      <c r="D119" s="34" t="s">
        <v>13</v>
      </c>
      <c r="E119" s="21">
        <v>2816</v>
      </c>
      <c r="F119" s="64">
        <v>45082</v>
      </c>
      <c r="G119" s="65">
        <v>2816</v>
      </c>
      <c r="H119" s="19">
        <f t="shared" si="0"/>
        <v>0</v>
      </c>
    </row>
    <row r="120" spans="1:9" ht="24.75" customHeight="1" x14ac:dyDescent="0.25">
      <c r="A120" s="23">
        <v>45081</v>
      </c>
      <c r="B120" s="14">
        <f t="shared" si="2"/>
        <v>1422</v>
      </c>
      <c r="C120" s="25"/>
      <c r="D120" s="34" t="s">
        <v>17</v>
      </c>
      <c r="E120" s="21">
        <v>3650</v>
      </c>
      <c r="F120" s="64">
        <v>45087</v>
      </c>
      <c r="G120" s="65">
        <v>3650</v>
      </c>
      <c r="H120" s="19">
        <f t="shared" si="0"/>
        <v>0</v>
      </c>
    </row>
    <row r="121" spans="1:9" ht="24.75" customHeight="1" x14ac:dyDescent="0.25">
      <c r="A121" s="23"/>
      <c r="B121" s="14"/>
      <c r="C121" s="25"/>
      <c r="D121" s="34"/>
      <c r="E121" s="21"/>
      <c r="F121" s="22"/>
      <c r="G121" s="31"/>
      <c r="H121" s="19">
        <f t="shared" si="0"/>
        <v>0</v>
      </c>
    </row>
    <row r="122" spans="1:9" ht="24.75" customHeight="1" x14ac:dyDescent="0.25">
      <c r="A122" s="23"/>
      <c r="B122" s="14"/>
      <c r="C122" s="25"/>
      <c r="D122" s="34"/>
      <c r="E122" s="21"/>
      <c r="F122" s="22"/>
      <c r="G122" s="31"/>
      <c r="H122" s="19">
        <f t="shared" si="0"/>
        <v>0</v>
      </c>
    </row>
    <row r="123" spans="1:9" ht="18.75" customHeight="1" x14ac:dyDescent="0.25">
      <c r="A123" s="23"/>
      <c r="B123" s="14"/>
      <c r="C123" s="25"/>
      <c r="D123" s="34"/>
      <c r="E123" s="21"/>
      <c r="F123" s="22"/>
      <c r="G123" s="31"/>
      <c r="H123" s="19">
        <f t="shared" si="0"/>
        <v>0</v>
      </c>
    </row>
    <row r="124" spans="1:9" x14ac:dyDescent="0.25">
      <c r="B124" s="41"/>
      <c r="C124" s="42"/>
      <c r="D124" s="2"/>
      <c r="E124" s="43">
        <f>SUM(E4:E123)</f>
        <v>446991</v>
      </c>
      <c r="F124" s="44"/>
      <c r="G124" s="44">
        <f>SUM(G4:G123)</f>
        <v>446991</v>
      </c>
      <c r="H124" s="45">
        <f>SUM(H4:H123)</f>
        <v>0</v>
      </c>
      <c r="I124" s="2"/>
    </row>
    <row r="125" spans="1:9" x14ac:dyDescent="0.25">
      <c r="B125" s="41"/>
      <c r="C125" s="42"/>
      <c r="D125" s="2"/>
      <c r="E125" s="46"/>
      <c r="F125" s="47"/>
      <c r="G125" s="61"/>
      <c r="H125" s="48"/>
      <c r="I125" s="2"/>
    </row>
    <row r="126" spans="1:9" ht="31.5" x14ac:dyDescent="0.25">
      <c r="B126" s="41"/>
      <c r="C126" s="42"/>
      <c r="D126" s="2"/>
      <c r="E126" s="49" t="s">
        <v>8</v>
      </c>
      <c r="F126" s="47"/>
      <c r="G126" s="50" t="s">
        <v>9</v>
      </c>
      <c r="H126" s="48"/>
      <c r="I126" s="2"/>
    </row>
    <row r="127" spans="1:9" ht="16.5" thickBot="1" x14ac:dyDescent="0.3">
      <c r="B127" s="41"/>
      <c r="C127" s="42"/>
      <c r="D127" s="2"/>
      <c r="E127" s="49"/>
      <c r="F127" s="47"/>
      <c r="G127" s="50"/>
      <c r="H127" s="48"/>
      <c r="I127" s="2"/>
    </row>
    <row r="128" spans="1:9" ht="21.75" thickBot="1" x14ac:dyDescent="0.4">
      <c r="B128" s="41"/>
      <c r="C128" s="42"/>
      <c r="D128" s="2"/>
      <c r="E128" s="93">
        <f>E124-G124</f>
        <v>0</v>
      </c>
      <c r="F128" s="94"/>
      <c r="G128" s="95"/>
      <c r="I128" s="2"/>
    </row>
    <row r="129" spans="1:9" x14ac:dyDescent="0.25">
      <c r="B129" s="41"/>
      <c r="C129" s="42"/>
      <c r="D129" s="2"/>
      <c r="E129" s="46"/>
      <c r="F129" s="47"/>
      <c r="G129" s="61"/>
      <c r="I129" s="2"/>
    </row>
    <row r="130" spans="1:9" ht="18.75" x14ac:dyDescent="0.3">
      <c r="B130" s="41"/>
      <c r="C130" s="42"/>
      <c r="D130" s="2"/>
      <c r="E130" s="96" t="s">
        <v>10</v>
      </c>
      <c r="F130" s="96"/>
      <c r="G130" s="96"/>
      <c r="I130" s="2"/>
    </row>
    <row r="131" spans="1:9" x14ac:dyDescent="0.25">
      <c r="B131" s="41"/>
      <c r="C131" s="42"/>
      <c r="D131" s="2"/>
      <c r="E131" s="46"/>
      <c r="F131" s="47"/>
      <c r="G131" s="61"/>
      <c r="I131" s="2"/>
    </row>
    <row r="132" spans="1:9" ht="18.75" x14ac:dyDescent="0.3">
      <c r="A132" s="23"/>
      <c r="B132" s="14"/>
      <c r="C132" s="25"/>
      <c r="D132" s="51"/>
      <c r="E132" s="52"/>
      <c r="F132" s="53"/>
      <c r="G132" s="62"/>
      <c r="I132" s="2"/>
    </row>
    <row r="133" spans="1:9" x14ac:dyDescent="0.25">
      <c r="B133" s="41"/>
      <c r="C133" s="42"/>
      <c r="D133" s="2"/>
      <c r="E133" s="46"/>
      <c r="F133" s="47"/>
      <c r="G133" s="61"/>
      <c r="I133" s="2"/>
    </row>
    <row r="134" spans="1:9" x14ac:dyDescent="0.25">
      <c r="B134" s="41"/>
      <c r="C134" s="42"/>
      <c r="D134" s="2"/>
      <c r="E134" s="46"/>
      <c r="F134" s="47"/>
      <c r="G134" s="61"/>
      <c r="I134" s="2"/>
    </row>
    <row r="135" spans="1:9" x14ac:dyDescent="0.25">
      <c r="B135" s="41"/>
      <c r="C135" s="42"/>
      <c r="D135" s="2"/>
      <c r="E135" s="46"/>
      <c r="F135" s="47"/>
      <c r="G135" s="61"/>
      <c r="I135" s="2"/>
    </row>
    <row r="136" spans="1:9" x14ac:dyDescent="0.25">
      <c r="B136" s="41"/>
      <c r="C136" s="42"/>
      <c r="D136" s="2"/>
      <c r="E136" s="46"/>
      <c r="F136" s="47"/>
      <c r="G136" s="61"/>
      <c r="I136" s="2"/>
    </row>
    <row r="137" spans="1:9" x14ac:dyDescent="0.25">
      <c r="B137" s="41"/>
      <c r="C137" s="42"/>
      <c r="D137" s="2"/>
      <c r="E137" s="46"/>
      <c r="F137" s="47"/>
      <c r="G137" s="61"/>
      <c r="I137" s="2"/>
    </row>
    <row r="138" spans="1:9" x14ac:dyDescent="0.25">
      <c r="B138" s="41"/>
      <c r="C138" s="42"/>
      <c r="D138" s="2"/>
      <c r="E138" s="46"/>
      <c r="F138" s="47"/>
      <c r="G138" s="61"/>
      <c r="I138" s="2"/>
    </row>
    <row r="139" spans="1:9" x14ac:dyDescent="0.25">
      <c r="B139" s="41"/>
      <c r="C139" s="42"/>
      <c r="D139" s="2"/>
      <c r="E139" s="46"/>
      <c r="F139" s="47"/>
      <c r="G139" s="61"/>
      <c r="I139" s="2"/>
    </row>
    <row r="140" spans="1:9" x14ac:dyDescent="0.25">
      <c r="B140" s="41"/>
      <c r="C140" s="42"/>
      <c r="D140" s="2"/>
      <c r="E140" s="46"/>
      <c r="F140" s="47"/>
      <c r="G140" s="61"/>
      <c r="I140" s="2"/>
    </row>
    <row r="141" spans="1:9" x14ac:dyDescent="0.25">
      <c r="B141" s="41"/>
      <c r="C141" s="42"/>
      <c r="D141" s="2"/>
      <c r="E141" s="46"/>
      <c r="F141" s="47"/>
      <c r="G141" s="61"/>
      <c r="I141" s="2"/>
    </row>
  </sheetData>
  <mergeCells count="4">
    <mergeCell ref="B1:G1"/>
    <mergeCell ref="B2:F2"/>
    <mergeCell ref="E128:G128"/>
    <mergeCell ref="E130:G130"/>
  </mergeCells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</sheetPr>
  <dimension ref="A1:I128"/>
  <sheetViews>
    <sheetView topLeftCell="A98" zoomScaleNormal="100" workbookViewId="0">
      <selection activeCell="F108" sqref="F108"/>
    </sheetView>
  </sheetViews>
  <sheetFormatPr baseColWidth="10" defaultRowHeight="15.75" x14ac:dyDescent="0.25"/>
  <cols>
    <col min="1" max="1" width="11.42578125" style="1"/>
    <col min="2" max="2" width="13.140625" style="54" customWidth="1"/>
    <col min="3" max="3" width="9.85546875" style="55" hidden="1" customWidth="1"/>
    <col min="4" max="4" width="34.28515625" customWidth="1"/>
    <col min="5" max="5" width="15.85546875" style="56" bestFit="1" customWidth="1"/>
    <col min="6" max="6" width="13.28515625" style="57" customWidth="1"/>
    <col min="7" max="7" width="18" style="63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19.5" thickBot="1" x14ac:dyDescent="0.35">
      <c r="B1" s="89" t="s">
        <v>118</v>
      </c>
      <c r="C1" s="90"/>
      <c r="D1" s="90"/>
      <c r="E1" s="90"/>
      <c r="F1" s="90"/>
      <c r="G1" s="91"/>
      <c r="I1" s="2"/>
    </row>
    <row r="2" spans="1:9" ht="21" x14ac:dyDescent="0.35">
      <c r="A2" s="3"/>
      <c r="B2" s="92" t="s">
        <v>0</v>
      </c>
      <c r="C2" s="92"/>
      <c r="D2" s="92"/>
      <c r="E2" s="92"/>
      <c r="F2" s="92"/>
      <c r="G2" s="58"/>
      <c r="H2" s="4"/>
      <c r="I2" s="2"/>
    </row>
    <row r="3" spans="1:9" ht="46.5" thickBot="1" x14ac:dyDescent="0.35">
      <c r="A3" s="5"/>
      <c r="B3" s="6" t="s">
        <v>1</v>
      </c>
      <c r="C3" s="7" t="s">
        <v>2</v>
      </c>
      <c r="D3" s="8" t="s">
        <v>3</v>
      </c>
      <c r="E3" s="9" t="s">
        <v>4</v>
      </c>
      <c r="F3" s="10" t="s">
        <v>5</v>
      </c>
      <c r="G3" s="11" t="s">
        <v>6</v>
      </c>
      <c r="H3" s="12" t="s">
        <v>7</v>
      </c>
      <c r="I3" s="2"/>
    </row>
    <row r="4" spans="1:9" ht="24.75" customHeight="1" thickTop="1" x14ac:dyDescent="0.25">
      <c r="A4" s="13">
        <v>45082</v>
      </c>
      <c r="B4" s="14">
        <v>1423</v>
      </c>
      <c r="C4" s="15"/>
      <c r="D4" s="16" t="s">
        <v>109</v>
      </c>
      <c r="E4" s="17">
        <v>15138</v>
      </c>
      <c r="F4" s="18" t="s">
        <v>119</v>
      </c>
      <c r="G4" s="59">
        <f>15138</f>
        <v>15138</v>
      </c>
      <c r="H4" s="19">
        <f t="shared" ref="H4:H110" si="0">E4-G4</f>
        <v>0</v>
      </c>
      <c r="I4" s="2"/>
    </row>
    <row r="5" spans="1:9" ht="31.5" x14ac:dyDescent="0.25">
      <c r="A5" s="13">
        <v>45082</v>
      </c>
      <c r="B5" s="14">
        <v>1424</v>
      </c>
      <c r="C5" s="15"/>
      <c r="D5" s="20" t="s">
        <v>14</v>
      </c>
      <c r="E5" s="21">
        <v>5072</v>
      </c>
      <c r="F5" s="22" t="s">
        <v>120</v>
      </c>
      <c r="G5" s="31">
        <f>4572+500</f>
        <v>5072</v>
      </c>
      <c r="H5" s="19">
        <f t="shared" si="0"/>
        <v>0</v>
      </c>
    </row>
    <row r="6" spans="1:9" ht="18.75" customHeight="1" x14ac:dyDescent="0.25">
      <c r="A6" s="13">
        <v>45082</v>
      </c>
      <c r="B6" s="14">
        <f t="shared" ref="B6:B69" si="1">B5+1</f>
        <v>1425</v>
      </c>
      <c r="C6" s="15"/>
      <c r="D6" s="20" t="s">
        <v>15</v>
      </c>
      <c r="E6" s="21">
        <v>1288</v>
      </c>
      <c r="F6" s="22">
        <v>45083</v>
      </c>
      <c r="G6" s="31">
        <v>1288</v>
      </c>
      <c r="H6" s="19">
        <f t="shared" si="0"/>
        <v>0</v>
      </c>
    </row>
    <row r="7" spans="1:9" ht="18.75" customHeight="1" x14ac:dyDescent="0.25">
      <c r="A7" s="23">
        <v>45082</v>
      </c>
      <c r="B7" s="14">
        <f t="shared" si="1"/>
        <v>1426</v>
      </c>
      <c r="C7" s="15"/>
      <c r="D7" s="20" t="s">
        <v>13</v>
      </c>
      <c r="E7" s="21">
        <v>3608</v>
      </c>
      <c r="F7" s="22">
        <v>45083</v>
      </c>
      <c r="G7" s="31">
        <v>3608</v>
      </c>
      <c r="H7" s="19">
        <f t="shared" si="0"/>
        <v>0</v>
      </c>
    </row>
    <row r="8" spans="1:9" ht="24.75" customHeight="1" x14ac:dyDescent="0.25">
      <c r="A8" s="13">
        <v>45082</v>
      </c>
      <c r="B8" s="14">
        <f t="shared" si="1"/>
        <v>1427</v>
      </c>
      <c r="C8" s="15"/>
      <c r="D8" s="24" t="s">
        <v>25</v>
      </c>
      <c r="E8" s="21">
        <v>3326</v>
      </c>
      <c r="F8" s="22">
        <v>45085</v>
      </c>
      <c r="G8" s="31">
        <v>3326</v>
      </c>
      <c r="H8" s="19">
        <f t="shared" si="0"/>
        <v>0</v>
      </c>
    </row>
    <row r="9" spans="1:9" ht="24.75" customHeight="1" x14ac:dyDescent="0.25">
      <c r="A9" s="13">
        <v>45083</v>
      </c>
      <c r="B9" s="14">
        <f t="shared" si="1"/>
        <v>1428</v>
      </c>
      <c r="C9" s="15"/>
      <c r="D9" s="20" t="s">
        <v>12</v>
      </c>
      <c r="E9" s="21">
        <v>218</v>
      </c>
      <c r="F9" s="22">
        <v>45084</v>
      </c>
      <c r="G9" s="31">
        <v>218</v>
      </c>
      <c r="H9" s="19">
        <f t="shared" si="0"/>
        <v>0</v>
      </c>
    </row>
    <row r="10" spans="1:9" ht="24.75" customHeight="1" x14ac:dyDescent="0.25">
      <c r="A10" s="13">
        <v>45083</v>
      </c>
      <c r="B10" s="14">
        <f t="shared" si="1"/>
        <v>1429</v>
      </c>
      <c r="C10" s="15"/>
      <c r="D10" s="20" t="s">
        <v>109</v>
      </c>
      <c r="E10" s="21">
        <v>13770</v>
      </c>
      <c r="F10" s="22">
        <v>45083</v>
      </c>
      <c r="G10" s="31">
        <v>13770</v>
      </c>
      <c r="H10" s="19">
        <f t="shared" si="0"/>
        <v>0</v>
      </c>
    </row>
    <row r="11" spans="1:9" ht="31.5" x14ac:dyDescent="0.25">
      <c r="A11" s="13">
        <v>45083</v>
      </c>
      <c r="B11" s="14">
        <f t="shared" si="1"/>
        <v>1430</v>
      </c>
      <c r="C11" s="15"/>
      <c r="D11" s="20" t="s">
        <v>15</v>
      </c>
      <c r="E11" s="21">
        <v>3072</v>
      </c>
      <c r="F11" s="22" t="s">
        <v>121</v>
      </c>
      <c r="G11" s="31">
        <f>2000+1072</f>
        <v>3072</v>
      </c>
      <c r="H11" s="19">
        <f t="shared" si="0"/>
        <v>0</v>
      </c>
    </row>
    <row r="12" spans="1:9" ht="24.75" customHeight="1" x14ac:dyDescent="0.25">
      <c r="A12" s="13">
        <v>45083</v>
      </c>
      <c r="B12" s="14">
        <f t="shared" si="1"/>
        <v>1431</v>
      </c>
      <c r="C12" s="25"/>
      <c r="D12" s="20" t="s">
        <v>13</v>
      </c>
      <c r="E12" s="21">
        <v>4488</v>
      </c>
      <c r="F12" s="22">
        <v>45085</v>
      </c>
      <c r="G12" s="31">
        <v>4488</v>
      </c>
      <c r="H12" s="19">
        <f t="shared" si="0"/>
        <v>0</v>
      </c>
    </row>
    <row r="13" spans="1:9" ht="22.5" customHeight="1" x14ac:dyDescent="0.25">
      <c r="A13" s="13">
        <v>45083</v>
      </c>
      <c r="B13" s="14">
        <f t="shared" si="1"/>
        <v>1432</v>
      </c>
      <c r="C13" s="26"/>
      <c r="D13" s="20" t="s">
        <v>14</v>
      </c>
      <c r="E13" s="21">
        <v>4803</v>
      </c>
      <c r="F13" s="22">
        <v>45085</v>
      </c>
      <c r="G13" s="31">
        <v>4803</v>
      </c>
      <c r="H13" s="19">
        <f t="shared" si="0"/>
        <v>0</v>
      </c>
    </row>
    <row r="14" spans="1:9" ht="31.5" x14ac:dyDescent="0.25">
      <c r="A14" s="13">
        <v>45085</v>
      </c>
      <c r="B14" s="14">
        <f t="shared" si="1"/>
        <v>1433</v>
      </c>
      <c r="C14" s="25"/>
      <c r="D14" s="20" t="s">
        <v>14</v>
      </c>
      <c r="E14" s="21">
        <v>3213</v>
      </c>
      <c r="F14" s="22" t="s">
        <v>123</v>
      </c>
      <c r="G14" s="31">
        <f>1213+2000</f>
        <v>3213</v>
      </c>
      <c r="H14" s="19">
        <f t="shared" si="0"/>
        <v>0</v>
      </c>
    </row>
    <row r="15" spans="1:9" ht="27.75" customHeight="1" x14ac:dyDescent="0.25">
      <c r="A15" s="13">
        <v>45085</v>
      </c>
      <c r="B15" s="14">
        <f t="shared" si="1"/>
        <v>1434</v>
      </c>
      <c r="C15" s="26"/>
      <c r="D15" s="20" t="s">
        <v>109</v>
      </c>
      <c r="E15" s="21">
        <v>14730</v>
      </c>
      <c r="F15" s="22">
        <v>45085</v>
      </c>
      <c r="G15" s="31">
        <v>14730</v>
      </c>
      <c r="H15" s="19">
        <f t="shared" si="0"/>
        <v>0</v>
      </c>
    </row>
    <row r="16" spans="1:9" ht="31.5" x14ac:dyDescent="0.25">
      <c r="A16" s="13">
        <v>45085</v>
      </c>
      <c r="B16" s="14">
        <f t="shared" si="1"/>
        <v>1435</v>
      </c>
      <c r="C16" s="25"/>
      <c r="D16" s="20" t="s">
        <v>15</v>
      </c>
      <c r="E16" s="21">
        <v>2940</v>
      </c>
      <c r="F16" s="22" t="s">
        <v>124</v>
      </c>
      <c r="G16" s="31">
        <f>2500+440</f>
        <v>2940</v>
      </c>
      <c r="H16" s="19">
        <f t="shared" si="0"/>
        <v>0</v>
      </c>
    </row>
    <row r="17" spans="1:8" ht="22.5" customHeight="1" x14ac:dyDescent="0.25">
      <c r="A17" s="13">
        <v>45085</v>
      </c>
      <c r="B17" s="14">
        <f t="shared" si="1"/>
        <v>1436</v>
      </c>
      <c r="C17" s="26"/>
      <c r="D17" s="20" t="s">
        <v>13</v>
      </c>
      <c r="E17" s="21">
        <v>3344</v>
      </c>
      <c r="F17" s="22" t="s">
        <v>122</v>
      </c>
      <c r="G17" s="31">
        <v>3344</v>
      </c>
      <c r="H17" s="19">
        <f t="shared" si="0"/>
        <v>0</v>
      </c>
    </row>
    <row r="18" spans="1:8" ht="22.5" customHeight="1" x14ac:dyDescent="0.25">
      <c r="A18" s="13">
        <v>45085</v>
      </c>
      <c r="B18" s="14">
        <f t="shared" si="1"/>
        <v>1437</v>
      </c>
      <c r="C18" s="25"/>
      <c r="D18" s="20" t="s">
        <v>114</v>
      </c>
      <c r="E18" s="21">
        <v>8008</v>
      </c>
      <c r="F18" s="22">
        <v>45086</v>
      </c>
      <c r="G18" s="31">
        <v>8008</v>
      </c>
      <c r="H18" s="19">
        <f t="shared" si="0"/>
        <v>0</v>
      </c>
    </row>
    <row r="19" spans="1:8" ht="22.5" customHeight="1" x14ac:dyDescent="0.25">
      <c r="A19" s="13">
        <v>45086</v>
      </c>
      <c r="B19" s="14">
        <f t="shared" si="1"/>
        <v>1438</v>
      </c>
      <c r="C19" s="26"/>
      <c r="D19" s="20" t="s">
        <v>109</v>
      </c>
      <c r="E19" s="21">
        <v>12288</v>
      </c>
      <c r="F19" s="22">
        <v>45086</v>
      </c>
      <c r="G19" s="31">
        <v>12288</v>
      </c>
      <c r="H19" s="19">
        <f t="shared" si="0"/>
        <v>0</v>
      </c>
    </row>
    <row r="20" spans="1:8" ht="22.5" customHeight="1" x14ac:dyDescent="0.25">
      <c r="A20" s="13">
        <v>45086</v>
      </c>
      <c r="B20" s="14">
        <f t="shared" si="1"/>
        <v>1439</v>
      </c>
      <c r="C20" s="25"/>
      <c r="D20" s="20" t="s">
        <v>13</v>
      </c>
      <c r="E20" s="21">
        <v>3284</v>
      </c>
      <c r="F20" s="22">
        <v>45087</v>
      </c>
      <c r="G20" s="31">
        <v>3284</v>
      </c>
      <c r="H20" s="19">
        <f t="shared" si="0"/>
        <v>0</v>
      </c>
    </row>
    <row r="21" spans="1:8" ht="25.5" customHeight="1" x14ac:dyDescent="0.25">
      <c r="A21" s="13">
        <v>45086</v>
      </c>
      <c r="B21" s="14">
        <f t="shared" si="1"/>
        <v>1440</v>
      </c>
      <c r="C21" s="25"/>
      <c r="D21" s="20" t="s">
        <v>15</v>
      </c>
      <c r="E21" s="21">
        <v>3283</v>
      </c>
      <c r="F21" s="22" t="s">
        <v>125</v>
      </c>
      <c r="G21" s="31">
        <f>2200+1083</f>
        <v>3283</v>
      </c>
      <c r="H21" s="19">
        <f t="shared" si="0"/>
        <v>0</v>
      </c>
    </row>
    <row r="22" spans="1:8" ht="22.5" customHeight="1" x14ac:dyDescent="0.25">
      <c r="A22" s="13">
        <v>45086</v>
      </c>
      <c r="B22" s="14">
        <f t="shared" si="1"/>
        <v>1441</v>
      </c>
      <c r="C22" s="25"/>
      <c r="D22" s="20" t="s">
        <v>24</v>
      </c>
      <c r="E22" s="21">
        <v>10390</v>
      </c>
      <c r="F22" s="22">
        <v>45097</v>
      </c>
      <c r="G22" s="31">
        <v>10390</v>
      </c>
      <c r="H22" s="19">
        <f t="shared" si="0"/>
        <v>0</v>
      </c>
    </row>
    <row r="23" spans="1:8" ht="22.5" customHeight="1" x14ac:dyDescent="0.25">
      <c r="A23" s="13">
        <v>45086</v>
      </c>
      <c r="B23" s="14">
        <f t="shared" si="1"/>
        <v>1442</v>
      </c>
      <c r="C23" s="25"/>
      <c r="D23" s="20" t="s">
        <v>25</v>
      </c>
      <c r="E23" s="21">
        <v>10400</v>
      </c>
      <c r="F23" s="22">
        <v>45090</v>
      </c>
      <c r="G23" s="31">
        <v>10400</v>
      </c>
      <c r="H23" s="19">
        <f t="shared" si="0"/>
        <v>0</v>
      </c>
    </row>
    <row r="24" spans="1:8" ht="29.25" customHeight="1" x14ac:dyDescent="0.25">
      <c r="A24" s="13">
        <v>45086</v>
      </c>
      <c r="B24" s="14">
        <f t="shared" si="1"/>
        <v>1443</v>
      </c>
      <c r="C24" s="25"/>
      <c r="D24" s="20" t="s">
        <v>114</v>
      </c>
      <c r="E24" s="21">
        <v>8109</v>
      </c>
      <c r="F24" s="22">
        <v>45087</v>
      </c>
      <c r="G24" s="31">
        <v>8109</v>
      </c>
      <c r="H24" s="19">
        <f t="shared" si="0"/>
        <v>0</v>
      </c>
    </row>
    <row r="25" spans="1:8" ht="27.75" customHeight="1" x14ac:dyDescent="0.25">
      <c r="A25" s="13">
        <v>45087</v>
      </c>
      <c r="B25" s="14">
        <f t="shared" si="1"/>
        <v>1444</v>
      </c>
      <c r="C25" s="25"/>
      <c r="D25" s="20" t="s">
        <v>12</v>
      </c>
      <c r="E25" s="21">
        <v>201</v>
      </c>
      <c r="F25" s="22">
        <v>45090</v>
      </c>
      <c r="G25" s="31">
        <v>201</v>
      </c>
      <c r="H25" s="19">
        <f t="shared" si="0"/>
        <v>0</v>
      </c>
    </row>
    <row r="26" spans="1:8" ht="31.5" x14ac:dyDescent="0.25">
      <c r="A26" s="13">
        <v>45087</v>
      </c>
      <c r="B26" s="14">
        <f t="shared" si="1"/>
        <v>1445</v>
      </c>
      <c r="C26" s="25"/>
      <c r="D26" s="20" t="s">
        <v>14</v>
      </c>
      <c r="E26" s="21">
        <v>3860</v>
      </c>
      <c r="F26" s="22" t="s">
        <v>126</v>
      </c>
      <c r="G26" s="31">
        <f>2060+1800</f>
        <v>3860</v>
      </c>
      <c r="H26" s="19">
        <f t="shared" si="0"/>
        <v>0</v>
      </c>
    </row>
    <row r="27" spans="1:8" ht="30.75" customHeight="1" x14ac:dyDescent="0.25">
      <c r="A27" s="13">
        <v>45087</v>
      </c>
      <c r="B27" s="14">
        <f t="shared" si="1"/>
        <v>1446</v>
      </c>
      <c r="C27" s="25"/>
      <c r="D27" s="20" t="s">
        <v>15</v>
      </c>
      <c r="E27" s="21">
        <v>3683</v>
      </c>
      <c r="F27" s="22">
        <v>45088</v>
      </c>
      <c r="G27" s="31">
        <v>3683</v>
      </c>
      <c r="H27" s="19">
        <f t="shared" si="0"/>
        <v>0</v>
      </c>
    </row>
    <row r="28" spans="1:8" ht="24" customHeight="1" x14ac:dyDescent="0.25">
      <c r="A28" s="13">
        <v>45087</v>
      </c>
      <c r="B28" s="14">
        <f t="shared" si="1"/>
        <v>1447</v>
      </c>
      <c r="C28" s="25"/>
      <c r="D28" s="20" t="s">
        <v>15</v>
      </c>
      <c r="E28" s="21">
        <v>437</v>
      </c>
      <c r="F28" s="22">
        <v>45088</v>
      </c>
      <c r="G28" s="31">
        <v>437</v>
      </c>
      <c r="H28" s="19">
        <f t="shared" si="0"/>
        <v>0</v>
      </c>
    </row>
    <row r="29" spans="1:8" ht="24.75" customHeight="1" x14ac:dyDescent="0.25">
      <c r="A29" s="13">
        <v>45087</v>
      </c>
      <c r="B29" s="14">
        <f t="shared" si="1"/>
        <v>1448</v>
      </c>
      <c r="C29" s="25"/>
      <c r="D29" s="20" t="s">
        <v>19</v>
      </c>
      <c r="E29" s="21">
        <v>9356</v>
      </c>
      <c r="F29" s="22">
        <v>45087</v>
      </c>
      <c r="G29" s="31">
        <v>9356</v>
      </c>
      <c r="H29" s="19">
        <f t="shared" si="0"/>
        <v>0</v>
      </c>
    </row>
    <row r="30" spans="1:8" ht="27" customHeight="1" x14ac:dyDescent="0.25">
      <c r="A30" s="13">
        <v>45087</v>
      </c>
      <c r="B30" s="14">
        <f t="shared" si="1"/>
        <v>1449</v>
      </c>
      <c r="C30" s="25"/>
      <c r="D30" s="20" t="s">
        <v>19</v>
      </c>
      <c r="E30" s="21">
        <v>3526</v>
      </c>
      <c r="F30" s="22">
        <v>45087</v>
      </c>
      <c r="G30" s="31">
        <v>3526</v>
      </c>
      <c r="H30" s="19">
        <f t="shared" si="0"/>
        <v>0</v>
      </c>
    </row>
    <row r="31" spans="1:8" ht="24.75" customHeight="1" x14ac:dyDescent="0.25">
      <c r="A31" s="13">
        <v>45087</v>
      </c>
      <c r="B31" s="14">
        <f t="shared" si="1"/>
        <v>1450</v>
      </c>
      <c r="C31" s="25"/>
      <c r="D31" s="20" t="s">
        <v>19</v>
      </c>
      <c r="E31" s="21">
        <v>3859</v>
      </c>
      <c r="F31" s="22">
        <v>45087</v>
      </c>
      <c r="G31" s="31">
        <v>3859</v>
      </c>
      <c r="H31" s="19">
        <f t="shared" si="0"/>
        <v>0</v>
      </c>
    </row>
    <row r="32" spans="1:8" ht="24.75" customHeight="1" x14ac:dyDescent="0.25">
      <c r="A32" s="13">
        <v>45087</v>
      </c>
      <c r="B32" s="14">
        <f t="shared" si="1"/>
        <v>1451</v>
      </c>
      <c r="C32" s="25"/>
      <c r="D32" s="20" t="s">
        <v>13</v>
      </c>
      <c r="E32" s="21">
        <v>2780</v>
      </c>
      <c r="F32" s="22">
        <v>45088</v>
      </c>
      <c r="G32" s="31">
        <v>2780</v>
      </c>
      <c r="H32" s="19">
        <f t="shared" si="0"/>
        <v>0</v>
      </c>
    </row>
    <row r="33" spans="1:8" ht="26.25" customHeight="1" x14ac:dyDescent="0.25">
      <c r="A33" s="13">
        <v>45088</v>
      </c>
      <c r="B33" s="14">
        <f t="shared" si="1"/>
        <v>1452</v>
      </c>
      <c r="C33" s="25"/>
      <c r="D33" s="20" t="s">
        <v>109</v>
      </c>
      <c r="E33" s="21">
        <v>15060</v>
      </c>
      <c r="F33" s="22">
        <v>45088</v>
      </c>
      <c r="G33" s="31">
        <v>15060</v>
      </c>
      <c r="H33" s="19">
        <f t="shared" si="0"/>
        <v>0</v>
      </c>
    </row>
    <row r="34" spans="1:8" ht="41.25" customHeight="1" x14ac:dyDescent="0.25">
      <c r="A34" s="13">
        <v>45088</v>
      </c>
      <c r="B34" s="14">
        <f t="shared" si="1"/>
        <v>1453</v>
      </c>
      <c r="C34" s="25"/>
      <c r="D34" s="20" t="s">
        <v>15</v>
      </c>
      <c r="E34" s="21">
        <v>2276</v>
      </c>
      <c r="F34" s="22" t="s">
        <v>128</v>
      </c>
      <c r="G34" s="31">
        <f>1600+676</f>
        <v>2276</v>
      </c>
      <c r="H34" s="19">
        <f t="shared" si="0"/>
        <v>0</v>
      </c>
    </row>
    <row r="35" spans="1:8" ht="36.75" customHeight="1" x14ac:dyDescent="0.25">
      <c r="A35" s="13">
        <v>45088</v>
      </c>
      <c r="B35" s="14">
        <f t="shared" si="1"/>
        <v>1454</v>
      </c>
      <c r="C35" s="25"/>
      <c r="D35" s="20" t="s">
        <v>13</v>
      </c>
      <c r="E35" s="21">
        <v>2788</v>
      </c>
      <c r="F35" s="22">
        <v>45089</v>
      </c>
      <c r="G35" s="31">
        <v>2788</v>
      </c>
      <c r="H35" s="19">
        <f t="shared" si="0"/>
        <v>0</v>
      </c>
    </row>
    <row r="36" spans="1:8" ht="26.25" customHeight="1" x14ac:dyDescent="0.25">
      <c r="A36" s="13">
        <v>45089</v>
      </c>
      <c r="B36" s="14">
        <f t="shared" si="1"/>
        <v>1455</v>
      </c>
      <c r="C36" s="25"/>
      <c r="D36" s="20" t="s">
        <v>109</v>
      </c>
      <c r="E36" s="21">
        <v>14934</v>
      </c>
      <c r="F36" s="22">
        <v>45089</v>
      </c>
      <c r="G36" s="31">
        <v>14934</v>
      </c>
      <c r="H36" s="19">
        <f t="shared" si="0"/>
        <v>0</v>
      </c>
    </row>
    <row r="37" spans="1:8" ht="33" customHeight="1" x14ac:dyDescent="0.25">
      <c r="A37" s="13">
        <v>45089</v>
      </c>
      <c r="B37" s="14">
        <f t="shared" si="1"/>
        <v>1456</v>
      </c>
      <c r="C37" s="25"/>
      <c r="D37" s="20" t="s">
        <v>14</v>
      </c>
      <c r="E37" s="21">
        <v>4378</v>
      </c>
      <c r="F37" s="22" t="s">
        <v>127</v>
      </c>
      <c r="G37" s="31">
        <f>3500+878</f>
        <v>4378</v>
      </c>
      <c r="H37" s="19">
        <f t="shared" si="0"/>
        <v>0</v>
      </c>
    </row>
    <row r="38" spans="1:8" ht="26.25" customHeight="1" x14ac:dyDescent="0.25">
      <c r="A38" s="13">
        <v>45089</v>
      </c>
      <c r="B38" s="14">
        <f t="shared" si="1"/>
        <v>1457</v>
      </c>
      <c r="C38" s="25"/>
      <c r="D38" s="20" t="s">
        <v>19</v>
      </c>
      <c r="E38" s="21">
        <v>7166</v>
      </c>
      <c r="F38" s="22">
        <v>45090</v>
      </c>
      <c r="G38" s="31">
        <v>7166</v>
      </c>
      <c r="H38" s="19">
        <f t="shared" si="0"/>
        <v>0</v>
      </c>
    </row>
    <row r="39" spans="1:8" ht="26.25" customHeight="1" x14ac:dyDescent="0.25">
      <c r="A39" s="13">
        <v>45089</v>
      </c>
      <c r="B39" s="14">
        <f t="shared" si="1"/>
        <v>1458</v>
      </c>
      <c r="C39" s="25"/>
      <c r="D39" s="20" t="s">
        <v>13</v>
      </c>
      <c r="E39" s="21">
        <v>4403</v>
      </c>
      <c r="F39" s="22">
        <v>45090</v>
      </c>
      <c r="G39" s="31">
        <v>4403</v>
      </c>
      <c r="H39" s="19">
        <f t="shared" si="0"/>
        <v>0</v>
      </c>
    </row>
    <row r="40" spans="1:8" ht="29.25" customHeight="1" x14ac:dyDescent="0.25">
      <c r="A40" s="13">
        <v>45090</v>
      </c>
      <c r="B40" s="14">
        <f t="shared" si="1"/>
        <v>1459</v>
      </c>
      <c r="C40" s="25"/>
      <c r="D40" s="20" t="s">
        <v>12</v>
      </c>
      <c r="E40" s="21">
        <v>2892</v>
      </c>
      <c r="F40" s="22">
        <v>45090</v>
      </c>
      <c r="G40" s="31">
        <v>2892</v>
      </c>
      <c r="H40" s="19">
        <f t="shared" si="0"/>
        <v>0</v>
      </c>
    </row>
    <row r="41" spans="1:8" ht="26.25" customHeight="1" x14ac:dyDescent="0.25">
      <c r="A41" s="13">
        <v>45090</v>
      </c>
      <c r="B41" s="14">
        <f t="shared" si="1"/>
        <v>1460</v>
      </c>
      <c r="C41" s="25"/>
      <c r="D41" s="20" t="s">
        <v>13</v>
      </c>
      <c r="E41" s="21">
        <v>4330</v>
      </c>
      <c r="F41" s="22">
        <v>45091</v>
      </c>
      <c r="G41" s="31">
        <v>4330</v>
      </c>
      <c r="H41" s="19">
        <f t="shared" si="0"/>
        <v>0</v>
      </c>
    </row>
    <row r="42" spans="1:8" ht="39" customHeight="1" x14ac:dyDescent="0.3">
      <c r="A42" s="13">
        <v>45090</v>
      </c>
      <c r="B42" s="14">
        <f t="shared" si="1"/>
        <v>1461</v>
      </c>
      <c r="C42" s="25"/>
      <c r="D42" s="73" t="s">
        <v>15</v>
      </c>
      <c r="E42" s="21">
        <v>3781</v>
      </c>
      <c r="F42" s="22" t="s">
        <v>129</v>
      </c>
      <c r="G42" s="31">
        <f>2000+1781</f>
        <v>3781</v>
      </c>
      <c r="H42" s="19">
        <f t="shared" si="0"/>
        <v>0</v>
      </c>
    </row>
    <row r="43" spans="1:8" ht="34.5" customHeight="1" x14ac:dyDescent="0.25">
      <c r="A43" s="13">
        <v>45090</v>
      </c>
      <c r="B43" s="14">
        <f t="shared" si="1"/>
        <v>1462</v>
      </c>
      <c r="C43" s="25"/>
      <c r="D43" s="20" t="s">
        <v>17</v>
      </c>
      <c r="E43" s="21">
        <v>10400</v>
      </c>
      <c r="F43" s="22" t="s">
        <v>137</v>
      </c>
      <c r="G43" s="31">
        <f>8600+1800</f>
        <v>10400</v>
      </c>
      <c r="H43" s="19">
        <f t="shared" si="0"/>
        <v>0</v>
      </c>
    </row>
    <row r="44" spans="1:8" ht="26.25" customHeight="1" x14ac:dyDescent="0.25">
      <c r="A44" s="13">
        <v>45090</v>
      </c>
      <c r="B44" s="14">
        <f t="shared" si="1"/>
        <v>1463</v>
      </c>
      <c r="C44" s="25"/>
      <c r="D44" s="20" t="s">
        <v>114</v>
      </c>
      <c r="E44" s="21">
        <v>7898</v>
      </c>
      <c r="F44" s="22">
        <v>45091</v>
      </c>
      <c r="G44" s="31">
        <v>7898</v>
      </c>
      <c r="H44" s="19">
        <f t="shared" si="0"/>
        <v>0</v>
      </c>
    </row>
    <row r="45" spans="1:8" ht="26.25" customHeight="1" x14ac:dyDescent="0.25">
      <c r="A45" s="13">
        <v>45091</v>
      </c>
      <c r="B45" s="14">
        <f t="shared" si="1"/>
        <v>1464</v>
      </c>
      <c r="C45" s="25"/>
      <c r="D45" s="20" t="s">
        <v>109</v>
      </c>
      <c r="E45" s="21">
        <v>15033</v>
      </c>
      <c r="F45" s="22">
        <v>45091</v>
      </c>
      <c r="G45" s="31">
        <v>15033</v>
      </c>
      <c r="H45" s="19">
        <f t="shared" si="0"/>
        <v>0</v>
      </c>
    </row>
    <row r="46" spans="1:8" ht="21.75" customHeight="1" x14ac:dyDescent="0.25">
      <c r="A46" s="13">
        <v>45091</v>
      </c>
      <c r="B46" s="14">
        <f t="shared" si="1"/>
        <v>1465</v>
      </c>
      <c r="C46" s="25"/>
      <c r="D46" s="20" t="s">
        <v>13</v>
      </c>
      <c r="E46" s="21">
        <v>4462</v>
      </c>
      <c r="F46" s="22">
        <v>45092</v>
      </c>
      <c r="G46" s="31">
        <v>4462</v>
      </c>
      <c r="H46" s="19">
        <f t="shared" si="0"/>
        <v>0</v>
      </c>
    </row>
    <row r="47" spans="1:8" ht="22.5" customHeight="1" x14ac:dyDescent="0.25">
      <c r="A47" s="13">
        <v>45092</v>
      </c>
      <c r="B47" s="14">
        <f t="shared" si="1"/>
        <v>1466</v>
      </c>
      <c r="C47" s="25"/>
      <c r="D47" s="20" t="s">
        <v>109</v>
      </c>
      <c r="E47" s="21">
        <v>12216</v>
      </c>
      <c r="F47" s="22">
        <v>45092</v>
      </c>
      <c r="G47" s="31">
        <v>12216</v>
      </c>
      <c r="H47" s="19">
        <f t="shared" si="0"/>
        <v>0</v>
      </c>
    </row>
    <row r="48" spans="1:8" ht="51" customHeight="1" x14ac:dyDescent="0.25">
      <c r="A48" s="13">
        <v>45092</v>
      </c>
      <c r="B48" s="14">
        <f t="shared" si="1"/>
        <v>1467</v>
      </c>
      <c r="C48" s="25"/>
      <c r="D48" s="20" t="s">
        <v>15</v>
      </c>
      <c r="E48" s="21">
        <v>3437</v>
      </c>
      <c r="F48" s="22" t="s">
        <v>130</v>
      </c>
      <c r="G48" s="31">
        <f>2400+1037</f>
        <v>3437</v>
      </c>
      <c r="H48" s="19">
        <f t="shared" si="0"/>
        <v>0</v>
      </c>
    </row>
    <row r="49" spans="1:8" ht="33.75" customHeight="1" x14ac:dyDescent="0.25">
      <c r="A49" s="13">
        <v>45093</v>
      </c>
      <c r="B49" s="14">
        <f t="shared" si="1"/>
        <v>1468</v>
      </c>
      <c r="C49" s="25"/>
      <c r="D49" s="20" t="s">
        <v>15</v>
      </c>
      <c r="E49" s="21">
        <v>3427</v>
      </c>
      <c r="F49" s="22" t="s">
        <v>131</v>
      </c>
      <c r="G49" s="31">
        <f>3200+227</f>
        <v>3427</v>
      </c>
      <c r="H49" s="19">
        <f t="shared" si="0"/>
        <v>0</v>
      </c>
    </row>
    <row r="50" spans="1:8" ht="28.5" customHeight="1" x14ac:dyDescent="0.25">
      <c r="A50" s="13">
        <v>45093</v>
      </c>
      <c r="B50" s="14">
        <f t="shared" si="1"/>
        <v>1469</v>
      </c>
      <c r="C50" s="25"/>
      <c r="D50" s="20" t="s">
        <v>24</v>
      </c>
      <c r="E50" s="21">
        <v>11190</v>
      </c>
      <c r="F50" s="22">
        <v>45102</v>
      </c>
      <c r="G50" s="31">
        <v>11190</v>
      </c>
      <c r="H50" s="19">
        <f t="shared" si="0"/>
        <v>0</v>
      </c>
    </row>
    <row r="51" spans="1:8" ht="28.5" customHeight="1" x14ac:dyDescent="0.25">
      <c r="A51" s="13">
        <v>45093</v>
      </c>
      <c r="B51" s="14">
        <f t="shared" si="1"/>
        <v>1470</v>
      </c>
      <c r="C51" s="25"/>
      <c r="D51" s="20" t="s">
        <v>25</v>
      </c>
      <c r="E51" s="21">
        <v>12100</v>
      </c>
      <c r="F51" s="22">
        <v>45096</v>
      </c>
      <c r="G51" s="31">
        <v>12100</v>
      </c>
      <c r="H51" s="19">
        <f t="shared" si="0"/>
        <v>0</v>
      </c>
    </row>
    <row r="52" spans="1:8" ht="28.5" customHeight="1" x14ac:dyDescent="0.25">
      <c r="A52" s="13">
        <v>45093</v>
      </c>
      <c r="B52" s="14">
        <f t="shared" si="1"/>
        <v>1471</v>
      </c>
      <c r="C52" s="25"/>
      <c r="D52" s="20" t="s">
        <v>109</v>
      </c>
      <c r="E52" s="21">
        <v>15894</v>
      </c>
      <c r="F52" s="22">
        <v>45093</v>
      </c>
      <c r="G52" s="31">
        <v>15894</v>
      </c>
      <c r="H52" s="19">
        <f t="shared" si="0"/>
        <v>0</v>
      </c>
    </row>
    <row r="53" spans="1:8" ht="28.5" customHeight="1" x14ac:dyDescent="0.25">
      <c r="A53" s="13">
        <v>45093</v>
      </c>
      <c r="B53" s="14">
        <f t="shared" si="1"/>
        <v>1472</v>
      </c>
      <c r="C53" s="25"/>
      <c r="D53" s="20" t="s">
        <v>114</v>
      </c>
      <c r="E53" s="21">
        <v>7930</v>
      </c>
      <c r="F53" s="22">
        <v>45093</v>
      </c>
      <c r="G53" s="31">
        <v>7930</v>
      </c>
      <c r="H53" s="19">
        <f t="shared" si="0"/>
        <v>0</v>
      </c>
    </row>
    <row r="54" spans="1:8" ht="40.5" customHeight="1" x14ac:dyDescent="0.3">
      <c r="A54" s="13">
        <v>45094</v>
      </c>
      <c r="B54" s="14">
        <f t="shared" si="1"/>
        <v>1473</v>
      </c>
      <c r="C54" s="25"/>
      <c r="D54" s="75" t="s">
        <v>14</v>
      </c>
      <c r="E54" s="21">
        <v>3421</v>
      </c>
      <c r="F54" s="22" t="s">
        <v>131</v>
      </c>
      <c r="G54" s="31">
        <f>2421+1000</f>
        <v>3421</v>
      </c>
      <c r="H54" s="19">
        <f t="shared" si="0"/>
        <v>0</v>
      </c>
    </row>
    <row r="55" spans="1:8" s="33" customFormat="1" ht="33.75" customHeight="1" x14ac:dyDescent="0.25">
      <c r="A55" s="29">
        <v>45094</v>
      </c>
      <c r="B55" s="14">
        <f t="shared" si="1"/>
        <v>1474</v>
      </c>
      <c r="C55" s="25"/>
      <c r="D55" s="24" t="s">
        <v>15</v>
      </c>
      <c r="E55" s="30">
        <v>3091</v>
      </c>
      <c r="F55" s="22" t="s">
        <v>132</v>
      </c>
      <c r="G55" s="31">
        <f>1400+1691</f>
        <v>3091</v>
      </c>
      <c r="H55" s="32">
        <f t="shared" si="0"/>
        <v>0</v>
      </c>
    </row>
    <row r="56" spans="1:8" ht="28.5" customHeight="1" x14ac:dyDescent="0.25">
      <c r="A56" s="13">
        <v>45094</v>
      </c>
      <c r="B56" s="14">
        <f t="shared" si="1"/>
        <v>1475</v>
      </c>
      <c r="C56" s="25"/>
      <c r="D56" s="20" t="s">
        <v>15</v>
      </c>
      <c r="E56" s="21">
        <v>430</v>
      </c>
      <c r="F56" s="22">
        <v>45095</v>
      </c>
      <c r="G56" s="31">
        <v>430</v>
      </c>
      <c r="H56" s="19">
        <f t="shared" si="0"/>
        <v>0</v>
      </c>
    </row>
    <row r="57" spans="1:8" ht="28.5" customHeight="1" x14ac:dyDescent="0.25">
      <c r="A57" s="13">
        <v>45094</v>
      </c>
      <c r="B57" s="14">
        <f t="shared" si="1"/>
        <v>1476</v>
      </c>
      <c r="C57" s="25"/>
      <c r="D57" s="20" t="s">
        <v>13</v>
      </c>
      <c r="E57" s="21">
        <v>4294</v>
      </c>
      <c r="F57" s="22">
        <v>45095</v>
      </c>
      <c r="G57" s="31">
        <v>4294</v>
      </c>
      <c r="H57" s="19">
        <f t="shared" si="0"/>
        <v>0</v>
      </c>
    </row>
    <row r="58" spans="1:8" ht="30" customHeight="1" x14ac:dyDescent="0.25">
      <c r="A58" s="13">
        <v>45095</v>
      </c>
      <c r="B58" s="14">
        <f t="shared" si="1"/>
        <v>1477</v>
      </c>
      <c r="C58" s="25"/>
      <c r="D58" s="20" t="s">
        <v>15</v>
      </c>
      <c r="E58" s="21">
        <v>1872</v>
      </c>
      <c r="F58" s="22">
        <v>45097</v>
      </c>
      <c r="G58" s="31">
        <v>1872</v>
      </c>
      <c r="H58" s="19">
        <f t="shared" si="0"/>
        <v>0</v>
      </c>
    </row>
    <row r="59" spans="1:8" ht="28.5" customHeight="1" x14ac:dyDescent="0.25">
      <c r="A59" s="13">
        <v>45095</v>
      </c>
      <c r="B59" s="14">
        <f t="shared" si="1"/>
        <v>1478</v>
      </c>
      <c r="C59" s="25"/>
      <c r="D59" s="20" t="s">
        <v>19</v>
      </c>
      <c r="E59" s="21">
        <v>9727</v>
      </c>
      <c r="F59" s="22">
        <v>45096</v>
      </c>
      <c r="G59" s="31">
        <v>9727</v>
      </c>
      <c r="H59" s="19">
        <f t="shared" si="0"/>
        <v>0</v>
      </c>
    </row>
    <row r="60" spans="1:8" ht="38.25" customHeight="1" x14ac:dyDescent="0.25">
      <c r="A60" s="13">
        <v>45095</v>
      </c>
      <c r="B60" s="14">
        <f t="shared" si="1"/>
        <v>1479</v>
      </c>
      <c r="C60" s="25"/>
      <c r="D60" s="20" t="s">
        <v>19</v>
      </c>
      <c r="E60" s="21">
        <v>5022</v>
      </c>
      <c r="F60" s="22">
        <v>45096</v>
      </c>
      <c r="G60" s="31">
        <v>5022</v>
      </c>
      <c r="H60" s="19">
        <f t="shared" si="0"/>
        <v>0</v>
      </c>
    </row>
    <row r="61" spans="1:8" ht="28.5" customHeight="1" x14ac:dyDescent="0.25">
      <c r="A61" s="13">
        <v>45096</v>
      </c>
      <c r="B61" s="14">
        <f t="shared" si="1"/>
        <v>1480</v>
      </c>
      <c r="C61" s="25"/>
      <c r="D61" s="20" t="s">
        <v>12</v>
      </c>
      <c r="E61" s="21">
        <v>261</v>
      </c>
      <c r="F61" s="22">
        <v>45099</v>
      </c>
      <c r="G61" s="31">
        <v>261</v>
      </c>
      <c r="H61" s="19">
        <f t="shared" si="0"/>
        <v>0</v>
      </c>
    </row>
    <row r="62" spans="1:8" ht="28.5" customHeight="1" x14ac:dyDescent="0.25">
      <c r="A62" s="13">
        <v>45096</v>
      </c>
      <c r="B62" s="14">
        <f t="shared" si="1"/>
        <v>1481</v>
      </c>
      <c r="C62" s="25"/>
      <c r="D62" s="20" t="s">
        <v>109</v>
      </c>
      <c r="E62" s="21">
        <v>13620</v>
      </c>
      <c r="F62" s="22">
        <v>45096</v>
      </c>
      <c r="G62" s="31">
        <v>13620</v>
      </c>
      <c r="H62" s="19">
        <f t="shared" si="0"/>
        <v>0</v>
      </c>
    </row>
    <row r="63" spans="1:8" ht="28.5" customHeight="1" x14ac:dyDescent="0.25">
      <c r="A63" s="13">
        <v>45096</v>
      </c>
      <c r="B63" s="14">
        <f t="shared" si="1"/>
        <v>1482</v>
      </c>
      <c r="C63" s="25"/>
      <c r="D63" s="20" t="s">
        <v>14</v>
      </c>
      <c r="E63" s="21">
        <v>2320</v>
      </c>
      <c r="F63" s="22">
        <v>45097</v>
      </c>
      <c r="G63" s="31">
        <v>2320</v>
      </c>
      <c r="H63" s="19">
        <f t="shared" si="0"/>
        <v>0</v>
      </c>
    </row>
    <row r="64" spans="1:8" ht="28.5" customHeight="1" x14ac:dyDescent="0.25">
      <c r="A64" s="13">
        <v>45096</v>
      </c>
      <c r="B64" s="14">
        <f t="shared" si="1"/>
        <v>1483</v>
      </c>
      <c r="C64" s="25"/>
      <c r="D64" s="20" t="s">
        <v>13</v>
      </c>
      <c r="E64" s="21">
        <v>502</v>
      </c>
      <c r="F64" s="22">
        <v>45097</v>
      </c>
      <c r="G64" s="31">
        <v>502</v>
      </c>
      <c r="H64" s="19">
        <f t="shared" si="0"/>
        <v>0</v>
      </c>
    </row>
    <row r="65" spans="1:8" ht="30.75" customHeight="1" x14ac:dyDescent="0.25">
      <c r="A65" s="23">
        <v>45096</v>
      </c>
      <c r="B65" s="14">
        <f t="shared" si="1"/>
        <v>1484</v>
      </c>
      <c r="C65" s="25"/>
      <c r="D65" s="34" t="s">
        <v>114</v>
      </c>
      <c r="E65" s="21">
        <v>7594</v>
      </c>
      <c r="F65" s="22">
        <v>45097</v>
      </c>
      <c r="G65" s="31">
        <v>7594</v>
      </c>
      <c r="H65" s="19">
        <f t="shared" si="0"/>
        <v>0</v>
      </c>
    </row>
    <row r="66" spans="1:8" ht="35.25" customHeight="1" x14ac:dyDescent="0.25">
      <c r="A66" s="23">
        <v>45097</v>
      </c>
      <c r="B66" s="14">
        <f t="shared" si="1"/>
        <v>1485</v>
      </c>
      <c r="C66" s="25"/>
      <c r="D66" s="34" t="s">
        <v>24</v>
      </c>
      <c r="E66" s="21">
        <v>5600</v>
      </c>
      <c r="F66" s="22" t="s">
        <v>138</v>
      </c>
      <c r="G66" s="31">
        <f>1800+3800</f>
        <v>5600</v>
      </c>
      <c r="H66" s="19">
        <f t="shared" si="0"/>
        <v>0</v>
      </c>
    </row>
    <row r="67" spans="1:8" ht="28.5" customHeight="1" x14ac:dyDescent="0.25">
      <c r="A67" s="23">
        <v>45097</v>
      </c>
      <c r="B67" s="14">
        <f t="shared" si="1"/>
        <v>1486</v>
      </c>
      <c r="C67" s="25"/>
      <c r="D67" s="34" t="s">
        <v>19</v>
      </c>
      <c r="E67" s="21">
        <v>10584</v>
      </c>
      <c r="F67" s="22">
        <v>45099</v>
      </c>
      <c r="G67" s="31">
        <v>10584</v>
      </c>
      <c r="H67" s="19">
        <f t="shared" si="0"/>
        <v>0</v>
      </c>
    </row>
    <row r="68" spans="1:8" ht="28.5" customHeight="1" x14ac:dyDescent="0.3">
      <c r="A68" s="23">
        <v>45097</v>
      </c>
      <c r="B68" s="14">
        <f t="shared" si="1"/>
        <v>1487</v>
      </c>
      <c r="C68" s="25"/>
      <c r="D68" s="75" t="s">
        <v>14</v>
      </c>
      <c r="E68" s="21">
        <v>496</v>
      </c>
      <c r="F68" s="22">
        <v>45099</v>
      </c>
      <c r="G68" s="31">
        <v>496</v>
      </c>
      <c r="H68" s="19">
        <f t="shared" si="0"/>
        <v>0</v>
      </c>
    </row>
    <row r="69" spans="1:8" ht="28.5" customHeight="1" x14ac:dyDescent="0.3">
      <c r="A69" s="23">
        <v>45097</v>
      </c>
      <c r="B69" s="14">
        <f t="shared" si="1"/>
        <v>1488</v>
      </c>
      <c r="C69" s="25"/>
      <c r="D69" s="75" t="s">
        <v>15</v>
      </c>
      <c r="E69" s="21">
        <v>3464</v>
      </c>
      <c r="F69" s="22">
        <v>45099</v>
      </c>
      <c r="G69" s="31">
        <v>3464</v>
      </c>
      <c r="H69" s="19">
        <f t="shared" si="0"/>
        <v>0</v>
      </c>
    </row>
    <row r="70" spans="1:8" ht="28.5" customHeight="1" x14ac:dyDescent="0.3">
      <c r="A70" s="23">
        <v>45097</v>
      </c>
      <c r="B70" s="14">
        <f t="shared" ref="B70:B107" si="2">B69+1</f>
        <v>1489</v>
      </c>
      <c r="C70" s="25"/>
      <c r="D70" s="75" t="s">
        <v>14</v>
      </c>
      <c r="E70" s="21">
        <v>4029</v>
      </c>
      <c r="F70" s="22">
        <v>45099</v>
      </c>
      <c r="G70" s="31">
        <v>4029</v>
      </c>
      <c r="H70" s="19">
        <f t="shared" si="0"/>
        <v>0</v>
      </c>
    </row>
    <row r="71" spans="1:8" ht="28.5" customHeight="1" x14ac:dyDescent="0.25">
      <c r="A71" s="23">
        <v>45098</v>
      </c>
      <c r="B71" s="14">
        <f t="shared" si="2"/>
        <v>1490</v>
      </c>
      <c r="C71" s="25"/>
      <c r="D71" s="20" t="s">
        <v>114</v>
      </c>
      <c r="E71" s="21">
        <v>5176</v>
      </c>
      <c r="F71" s="22">
        <v>45099</v>
      </c>
      <c r="G71" s="31">
        <v>5176</v>
      </c>
      <c r="H71" s="19">
        <f t="shared" si="0"/>
        <v>0</v>
      </c>
    </row>
    <row r="72" spans="1:8" ht="28.5" customHeight="1" x14ac:dyDescent="0.25">
      <c r="A72" s="23">
        <v>45099</v>
      </c>
      <c r="B72" s="14">
        <f t="shared" si="2"/>
        <v>1491</v>
      </c>
      <c r="C72" s="25"/>
      <c r="D72" s="20" t="s">
        <v>12</v>
      </c>
      <c r="E72" s="21">
        <v>354</v>
      </c>
      <c r="F72" s="22">
        <v>45100</v>
      </c>
      <c r="G72" s="31">
        <v>354</v>
      </c>
      <c r="H72" s="19">
        <f t="shared" si="0"/>
        <v>0</v>
      </c>
    </row>
    <row r="73" spans="1:8" ht="35.25" customHeight="1" x14ac:dyDescent="0.25">
      <c r="A73" s="23">
        <v>45099</v>
      </c>
      <c r="B73" s="14">
        <f t="shared" si="2"/>
        <v>1492</v>
      </c>
      <c r="C73" s="25"/>
      <c r="D73" s="20" t="s">
        <v>14</v>
      </c>
      <c r="E73" s="21">
        <v>4421</v>
      </c>
      <c r="F73" s="22" t="s">
        <v>134</v>
      </c>
      <c r="G73" s="31">
        <f>1975+2446</f>
        <v>4421</v>
      </c>
      <c r="H73" s="19">
        <f t="shared" si="0"/>
        <v>0</v>
      </c>
    </row>
    <row r="74" spans="1:8" ht="36" customHeight="1" x14ac:dyDescent="0.25">
      <c r="A74" s="23">
        <v>45099</v>
      </c>
      <c r="B74" s="14">
        <f t="shared" si="2"/>
        <v>1493</v>
      </c>
      <c r="C74" s="25"/>
      <c r="D74" s="20" t="s">
        <v>114</v>
      </c>
      <c r="E74" s="21">
        <v>11446</v>
      </c>
      <c r="F74" s="22" t="s">
        <v>133</v>
      </c>
      <c r="G74" s="31">
        <f>5000+6446</f>
        <v>11446</v>
      </c>
      <c r="H74" s="19">
        <f t="shared" si="0"/>
        <v>0</v>
      </c>
    </row>
    <row r="75" spans="1:8" ht="30" customHeight="1" x14ac:dyDescent="0.25">
      <c r="A75" s="23">
        <v>45099</v>
      </c>
      <c r="B75" s="14">
        <f t="shared" si="2"/>
        <v>1494</v>
      </c>
      <c r="C75" s="25"/>
      <c r="D75" s="20" t="s">
        <v>15</v>
      </c>
      <c r="E75" s="21">
        <v>825</v>
      </c>
      <c r="F75" s="22">
        <v>45101</v>
      </c>
      <c r="G75" s="31">
        <v>825</v>
      </c>
      <c r="H75" s="19">
        <f t="shared" si="0"/>
        <v>0</v>
      </c>
    </row>
    <row r="76" spans="1:8" ht="26.25" customHeight="1" x14ac:dyDescent="0.25">
      <c r="A76" s="23">
        <v>45099</v>
      </c>
      <c r="B76" s="14">
        <f t="shared" si="2"/>
        <v>1495</v>
      </c>
      <c r="C76" s="25"/>
      <c r="D76" s="20" t="s">
        <v>19</v>
      </c>
      <c r="E76" s="21">
        <v>13385</v>
      </c>
      <c r="F76" s="22">
        <v>45103</v>
      </c>
      <c r="G76" s="31">
        <v>13385</v>
      </c>
      <c r="H76" s="19">
        <f t="shared" si="0"/>
        <v>0</v>
      </c>
    </row>
    <row r="77" spans="1:8" ht="26.25" customHeight="1" x14ac:dyDescent="0.25">
      <c r="A77" s="23">
        <v>45100</v>
      </c>
      <c r="B77" s="14">
        <f t="shared" si="2"/>
        <v>1496</v>
      </c>
      <c r="C77" s="25"/>
      <c r="D77" s="20" t="s">
        <v>12</v>
      </c>
      <c r="E77" s="21">
        <v>4826</v>
      </c>
      <c r="F77" s="22">
        <v>45106</v>
      </c>
      <c r="G77" s="31">
        <v>4826</v>
      </c>
      <c r="H77" s="19">
        <f t="shared" si="0"/>
        <v>0</v>
      </c>
    </row>
    <row r="78" spans="1:8" ht="36" customHeight="1" x14ac:dyDescent="0.25">
      <c r="A78" s="23">
        <v>45100</v>
      </c>
      <c r="B78" s="14">
        <f t="shared" si="2"/>
        <v>1497</v>
      </c>
      <c r="C78" s="25"/>
      <c r="D78" s="20" t="s">
        <v>15</v>
      </c>
      <c r="E78" s="21">
        <v>3480</v>
      </c>
      <c r="F78" s="22" t="s">
        <v>135</v>
      </c>
      <c r="G78" s="31">
        <f>2400+1080</f>
        <v>3480</v>
      </c>
      <c r="H78" s="19">
        <f t="shared" si="0"/>
        <v>0</v>
      </c>
    </row>
    <row r="79" spans="1:8" ht="26.25" customHeight="1" x14ac:dyDescent="0.25">
      <c r="A79" s="23">
        <v>45100</v>
      </c>
      <c r="B79" s="14">
        <f t="shared" si="2"/>
        <v>1498</v>
      </c>
      <c r="C79" s="25"/>
      <c r="D79" s="20" t="s">
        <v>24</v>
      </c>
      <c r="E79" s="21">
        <v>10290</v>
      </c>
      <c r="F79" s="22">
        <v>45109</v>
      </c>
      <c r="G79" s="31">
        <v>10290</v>
      </c>
      <c r="H79" s="19">
        <f t="shared" si="0"/>
        <v>0</v>
      </c>
    </row>
    <row r="80" spans="1:8" ht="25.5" customHeight="1" x14ac:dyDescent="0.25">
      <c r="A80" s="23">
        <v>45100</v>
      </c>
      <c r="B80" s="14">
        <f t="shared" si="2"/>
        <v>1499</v>
      </c>
      <c r="C80" s="25"/>
      <c r="D80" s="20" t="s">
        <v>25</v>
      </c>
      <c r="E80" s="21">
        <v>11062</v>
      </c>
      <c r="F80" s="22">
        <v>45103</v>
      </c>
      <c r="G80" s="31">
        <v>11062</v>
      </c>
      <c r="H80" s="19">
        <f t="shared" si="0"/>
        <v>0</v>
      </c>
    </row>
    <row r="81" spans="1:8" ht="35.25" customHeight="1" x14ac:dyDescent="0.25">
      <c r="A81" s="23">
        <v>45101</v>
      </c>
      <c r="B81" s="14">
        <f t="shared" si="2"/>
        <v>1500</v>
      </c>
      <c r="C81" s="25"/>
      <c r="D81" s="20" t="s">
        <v>14</v>
      </c>
      <c r="E81" s="21">
        <v>3036</v>
      </c>
      <c r="F81" s="22" t="s">
        <v>135</v>
      </c>
      <c r="G81" s="31">
        <f>2554+482</f>
        <v>3036</v>
      </c>
      <c r="H81" s="19">
        <f t="shared" si="0"/>
        <v>0</v>
      </c>
    </row>
    <row r="82" spans="1:8" ht="28.5" customHeight="1" x14ac:dyDescent="0.25">
      <c r="A82" s="23">
        <v>45101</v>
      </c>
      <c r="B82" s="14">
        <f t="shared" si="2"/>
        <v>1501</v>
      </c>
      <c r="C82" s="25"/>
      <c r="D82" s="20" t="s">
        <v>15</v>
      </c>
      <c r="E82" s="21">
        <v>2902</v>
      </c>
      <c r="F82" s="22" t="s">
        <v>136</v>
      </c>
      <c r="G82" s="31">
        <f>2600+302</f>
        <v>2902</v>
      </c>
      <c r="H82" s="19">
        <f t="shared" si="0"/>
        <v>0</v>
      </c>
    </row>
    <row r="83" spans="1:8" ht="25.5" customHeight="1" x14ac:dyDescent="0.25">
      <c r="A83" s="23">
        <v>45101</v>
      </c>
      <c r="B83" s="14">
        <f t="shared" si="2"/>
        <v>1502</v>
      </c>
      <c r="C83" s="25"/>
      <c r="D83" s="20" t="s">
        <v>19</v>
      </c>
      <c r="E83" s="21">
        <v>6824</v>
      </c>
      <c r="F83" s="22">
        <v>45103</v>
      </c>
      <c r="G83" s="31">
        <v>6824</v>
      </c>
      <c r="H83" s="19">
        <f t="shared" si="0"/>
        <v>0</v>
      </c>
    </row>
    <row r="84" spans="1:8" ht="25.5" customHeight="1" x14ac:dyDescent="0.25">
      <c r="A84" s="23">
        <v>45101</v>
      </c>
      <c r="B84" s="14">
        <f t="shared" si="2"/>
        <v>1503</v>
      </c>
      <c r="C84" s="25"/>
      <c r="D84" s="20" t="s">
        <v>114</v>
      </c>
      <c r="E84" s="21">
        <v>3016</v>
      </c>
      <c r="F84" s="22">
        <v>45103</v>
      </c>
      <c r="G84" s="31">
        <v>3016</v>
      </c>
      <c r="H84" s="19">
        <f t="shared" si="0"/>
        <v>0</v>
      </c>
    </row>
    <row r="85" spans="1:8" ht="25.5" customHeight="1" x14ac:dyDescent="0.25">
      <c r="A85" s="23">
        <v>45102</v>
      </c>
      <c r="B85" s="14">
        <f t="shared" si="2"/>
        <v>1504</v>
      </c>
      <c r="C85" s="25"/>
      <c r="D85" s="20" t="s">
        <v>15</v>
      </c>
      <c r="E85" s="21">
        <v>2258</v>
      </c>
      <c r="F85" s="22">
        <v>45103</v>
      </c>
      <c r="G85" s="31">
        <v>2258</v>
      </c>
      <c r="H85" s="19">
        <f t="shared" si="0"/>
        <v>0</v>
      </c>
    </row>
    <row r="86" spans="1:8" ht="31.5" x14ac:dyDescent="0.25">
      <c r="A86" s="23">
        <v>45103</v>
      </c>
      <c r="B86" s="14">
        <f t="shared" si="2"/>
        <v>1505</v>
      </c>
      <c r="C86" s="25"/>
      <c r="D86" s="20" t="s">
        <v>15</v>
      </c>
      <c r="E86" s="21">
        <v>2391</v>
      </c>
      <c r="F86" s="22" t="s">
        <v>139</v>
      </c>
      <c r="G86" s="31">
        <f>1000+1391</f>
        <v>2391</v>
      </c>
      <c r="H86" s="19">
        <f t="shared" si="0"/>
        <v>0</v>
      </c>
    </row>
    <row r="87" spans="1:8" ht="25.5" customHeight="1" x14ac:dyDescent="0.25">
      <c r="A87" s="23">
        <v>45103</v>
      </c>
      <c r="B87" s="14">
        <f t="shared" si="2"/>
        <v>1506</v>
      </c>
      <c r="C87" s="25"/>
      <c r="D87" s="20" t="s">
        <v>19</v>
      </c>
      <c r="E87" s="21">
        <v>8910</v>
      </c>
      <c r="F87" s="22">
        <v>45104</v>
      </c>
      <c r="G87" s="31">
        <v>8910</v>
      </c>
      <c r="H87" s="19">
        <f t="shared" si="0"/>
        <v>0</v>
      </c>
    </row>
    <row r="88" spans="1:8" ht="25.5" customHeight="1" x14ac:dyDescent="0.25">
      <c r="A88" s="23">
        <v>45103</v>
      </c>
      <c r="B88" s="14">
        <f t="shared" si="2"/>
        <v>1507</v>
      </c>
      <c r="C88" s="25"/>
      <c r="D88" s="20" t="s">
        <v>14</v>
      </c>
      <c r="E88" s="21">
        <v>2453</v>
      </c>
      <c r="F88" s="22">
        <v>45104</v>
      </c>
      <c r="G88" s="31">
        <v>2453</v>
      </c>
      <c r="H88" s="19">
        <f t="shared" si="0"/>
        <v>0</v>
      </c>
    </row>
    <row r="89" spans="1:8" ht="25.5" customHeight="1" x14ac:dyDescent="0.25">
      <c r="A89" s="23">
        <v>45103</v>
      </c>
      <c r="B89" s="14">
        <f t="shared" si="2"/>
        <v>1508</v>
      </c>
      <c r="C89" s="25"/>
      <c r="D89" s="20" t="s">
        <v>14</v>
      </c>
      <c r="E89" s="21">
        <v>2785</v>
      </c>
      <c r="F89" s="22">
        <v>45104</v>
      </c>
      <c r="G89" s="31">
        <v>2785</v>
      </c>
      <c r="H89" s="19">
        <f t="shared" si="0"/>
        <v>0</v>
      </c>
    </row>
    <row r="90" spans="1:8" ht="33" customHeight="1" x14ac:dyDescent="0.25">
      <c r="A90" s="23">
        <v>45104</v>
      </c>
      <c r="B90" s="14">
        <f t="shared" si="2"/>
        <v>1509</v>
      </c>
      <c r="C90" s="25"/>
      <c r="D90" s="34" t="s">
        <v>14</v>
      </c>
      <c r="E90" s="21">
        <v>3172</v>
      </c>
      <c r="F90" s="66" t="s">
        <v>139</v>
      </c>
      <c r="G90" s="31">
        <f>2673+499</f>
        <v>3172</v>
      </c>
      <c r="H90" s="19">
        <f t="shared" si="0"/>
        <v>0</v>
      </c>
    </row>
    <row r="91" spans="1:8" ht="39.75" customHeight="1" x14ac:dyDescent="0.25">
      <c r="A91" s="23">
        <v>45104</v>
      </c>
      <c r="B91" s="14">
        <f t="shared" si="2"/>
        <v>1510</v>
      </c>
      <c r="C91" s="25"/>
      <c r="D91" s="34" t="s">
        <v>17</v>
      </c>
      <c r="E91" s="21">
        <v>6064</v>
      </c>
      <c r="F91" s="64" t="s">
        <v>148</v>
      </c>
      <c r="G91" s="65">
        <f>3710+2354</f>
        <v>6064</v>
      </c>
      <c r="H91" s="19">
        <f t="shared" si="0"/>
        <v>0</v>
      </c>
    </row>
    <row r="92" spans="1:8" ht="25.5" customHeight="1" x14ac:dyDescent="0.25">
      <c r="A92" s="23">
        <v>45104</v>
      </c>
      <c r="B92" s="14">
        <f t="shared" si="2"/>
        <v>1511</v>
      </c>
      <c r="C92" s="25"/>
      <c r="D92" s="34" t="s">
        <v>15</v>
      </c>
      <c r="E92" s="21">
        <v>3589</v>
      </c>
      <c r="F92" s="22" t="s">
        <v>141</v>
      </c>
      <c r="G92" s="31">
        <f>2000+1589</f>
        <v>3589</v>
      </c>
      <c r="H92" s="19">
        <f t="shared" si="0"/>
        <v>0</v>
      </c>
    </row>
    <row r="93" spans="1:8" ht="25.5" customHeight="1" x14ac:dyDescent="0.25">
      <c r="A93" s="23">
        <v>45104</v>
      </c>
      <c r="B93" s="14">
        <f t="shared" si="2"/>
        <v>1512</v>
      </c>
      <c r="C93" s="25"/>
      <c r="D93" s="34" t="s">
        <v>12</v>
      </c>
      <c r="E93" s="21">
        <v>440</v>
      </c>
      <c r="F93" s="22" t="s">
        <v>140</v>
      </c>
      <c r="G93" s="31">
        <v>440</v>
      </c>
      <c r="H93" s="19">
        <f t="shared" si="0"/>
        <v>0</v>
      </c>
    </row>
    <row r="94" spans="1:8" ht="25.5" customHeight="1" x14ac:dyDescent="0.25">
      <c r="A94" s="23">
        <v>45104</v>
      </c>
      <c r="B94" s="14">
        <f t="shared" si="2"/>
        <v>1513</v>
      </c>
      <c r="C94" s="25"/>
      <c r="D94" s="34" t="s">
        <v>14</v>
      </c>
      <c r="E94" s="21">
        <v>4240</v>
      </c>
      <c r="F94" s="22">
        <v>45106</v>
      </c>
      <c r="G94" s="31">
        <v>4240</v>
      </c>
      <c r="H94" s="19">
        <f t="shared" si="0"/>
        <v>0</v>
      </c>
    </row>
    <row r="95" spans="1:8" ht="47.25" x14ac:dyDescent="0.25">
      <c r="A95" s="23">
        <v>45106</v>
      </c>
      <c r="B95" s="14">
        <f t="shared" si="2"/>
        <v>1514</v>
      </c>
      <c r="C95" s="25"/>
      <c r="D95" s="34" t="s">
        <v>14</v>
      </c>
      <c r="E95" s="21">
        <v>1856</v>
      </c>
      <c r="F95" s="22" t="s">
        <v>143</v>
      </c>
      <c r="G95" s="31">
        <f>1056+600+200</f>
        <v>1856</v>
      </c>
      <c r="H95" s="19">
        <f t="shared" si="0"/>
        <v>0</v>
      </c>
    </row>
    <row r="96" spans="1:8" ht="31.5" x14ac:dyDescent="0.25">
      <c r="A96" s="23">
        <v>45106</v>
      </c>
      <c r="B96" s="14">
        <f t="shared" si="2"/>
        <v>1515</v>
      </c>
      <c r="C96" s="25"/>
      <c r="D96" s="34" t="s">
        <v>15</v>
      </c>
      <c r="E96" s="21">
        <v>2953</v>
      </c>
      <c r="F96" s="22" t="s">
        <v>142</v>
      </c>
      <c r="G96" s="31">
        <f>2500+453</f>
        <v>2953</v>
      </c>
      <c r="H96" s="19">
        <f t="shared" si="0"/>
        <v>0</v>
      </c>
    </row>
    <row r="97" spans="1:9" ht="44.25" customHeight="1" x14ac:dyDescent="0.25">
      <c r="A97" s="23">
        <v>45107</v>
      </c>
      <c r="B97" s="14">
        <f t="shared" si="2"/>
        <v>1516</v>
      </c>
      <c r="C97" s="25"/>
      <c r="D97" s="34" t="s">
        <v>15</v>
      </c>
      <c r="E97" s="21">
        <v>3814</v>
      </c>
      <c r="F97" s="22" t="s">
        <v>144</v>
      </c>
      <c r="G97" s="31">
        <f>2500+1314</f>
        <v>3814</v>
      </c>
      <c r="H97" s="19">
        <f t="shared" si="0"/>
        <v>0</v>
      </c>
    </row>
    <row r="98" spans="1:9" ht="25.5" customHeight="1" x14ac:dyDescent="0.25">
      <c r="A98" s="23">
        <v>45107</v>
      </c>
      <c r="B98" s="14">
        <f t="shared" si="2"/>
        <v>1517</v>
      </c>
      <c r="C98" s="25"/>
      <c r="D98" s="34" t="s">
        <v>24</v>
      </c>
      <c r="E98" s="21">
        <v>11020</v>
      </c>
      <c r="F98" s="64">
        <v>45116</v>
      </c>
      <c r="G98" s="65">
        <v>11020</v>
      </c>
      <c r="H98" s="19">
        <f t="shared" si="0"/>
        <v>0</v>
      </c>
    </row>
    <row r="99" spans="1:9" ht="25.5" customHeight="1" x14ac:dyDescent="0.25">
      <c r="A99" s="23">
        <v>45107</v>
      </c>
      <c r="B99" s="14">
        <f t="shared" si="2"/>
        <v>1518</v>
      </c>
      <c r="C99" s="25"/>
      <c r="D99" s="34" t="s">
        <v>25</v>
      </c>
      <c r="E99" s="21">
        <v>11507</v>
      </c>
      <c r="F99" s="64">
        <v>45110</v>
      </c>
      <c r="G99" s="65">
        <v>11507</v>
      </c>
      <c r="H99" s="19">
        <f t="shared" si="0"/>
        <v>0</v>
      </c>
    </row>
    <row r="100" spans="1:9" ht="25.5" customHeight="1" x14ac:dyDescent="0.25">
      <c r="A100" s="23">
        <v>45107</v>
      </c>
      <c r="B100" s="14">
        <f t="shared" si="2"/>
        <v>1519</v>
      </c>
      <c r="C100" s="25"/>
      <c r="D100" s="34" t="s">
        <v>114</v>
      </c>
      <c r="E100" s="21">
        <v>7776</v>
      </c>
      <c r="F100" s="22">
        <v>45108</v>
      </c>
      <c r="G100" s="31">
        <v>7776</v>
      </c>
      <c r="H100" s="19">
        <f t="shared" si="0"/>
        <v>0</v>
      </c>
    </row>
    <row r="101" spans="1:9" ht="31.5" x14ac:dyDescent="0.25">
      <c r="A101" s="23">
        <v>45108</v>
      </c>
      <c r="B101" s="14">
        <f t="shared" si="2"/>
        <v>1520</v>
      </c>
      <c r="C101" s="25"/>
      <c r="D101" s="34" t="s">
        <v>15</v>
      </c>
      <c r="E101" s="21">
        <v>3755</v>
      </c>
      <c r="F101" s="64" t="s">
        <v>145</v>
      </c>
      <c r="G101" s="65">
        <f>3000+755</f>
        <v>3755</v>
      </c>
      <c r="H101" s="19">
        <f t="shared" si="0"/>
        <v>0</v>
      </c>
    </row>
    <row r="102" spans="1:9" ht="25.5" customHeight="1" x14ac:dyDescent="0.25">
      <c r="A102" s="23">
        <v>45108</v>
      </c>
      <c r="B102" s="14">
        <f t="shared" si="2"/>
        <v>1521</v>
      </c>
      <c r="C102" s="25"/>
      <c r="D102" s="34" t="s">
        <v>12</v>
      </c>
      <c r="E102" s="21">
        <v>316</v>
      </c>
      <c r="F102" s="64">
        <v>45111</v>
      </c>
      <c r="G102" s="65">
        <v>316</v>
      </c>
      <c r="H102" s="19">
        <f t="shared" si="0"/>
        <v>0</v>
      </c>
    </row>
    <row r="103" spans="1:9" ht="25.5" customHeight="1" x14ac:dyDescent="0.25">
      <c r="A103" s="23">
        <v>45109</v>
      </c>
      <c r="B103" s="14">
        <f t="shared" si="2"/>
        <v>1522</v>
      </c>
      <c r="C103" s="25"/>
      <c r="D103" s="34" t="s">
        <v>15</v>
      </c>
      <c r="E103" s="21">
        <v>2858</v>
      </c>
      <c r="F103" s="64">
        <v>45111</v>
      </c>
      <c r="G103" s="65">
        <f>2000+858</f>
        <v>2858</v>
      </c>
      <c r="H103" s="19">
        <f t="shared" si="0"/>
        <v>0</v>
      </c>
    </row>
    <row r="104" spans="1:9" ht="25.5" customHeight="1" x14ac:dyDescent="0.25">
      <c r="A104" s="23">
        <v>45109</v>
      </c>
      <c r="B104" s="14">
        <f t="shared" si="2"/>
        <v>1523</v>
      </c>
      <c r="C104" s="25"/>
      <c r="D104" s="34" t="s">
        <v>19</v>
      </c>
      <c r="E104" s="21">
        <v>6854</v>
      </c>
      <c r="F104" s="64">
        <v>45110</v>
      </c>
      <c r="G104" s="65">
        <v>6854</v>
      </c>
      <c r="H104" s="19">
        <f t="shared" si="0"/>
        <v>0</v>
      </c>
    </row>
    <row r="105" spans="1:9" ht="25.5" customHeight="1" x14ac:dyDescent="0.25">
      <c r="A105" s="23">
        <v>45109</v>
      </c>
      <c r="B105" s="14">
        <f t="shared" si="2"/>
        <v>1524</v>
      </c>
      <c r="C105" s="25"/>
      <c r="D105" s="34" t="s">
        <v>13</v>
      </c>
      <c r="E105" s="21">
        <v>4239</v>
      </c>
      <c r="F105" s="64">
        <v>45110</v>
      </c>
      <c r="G105" s="65">
        <v>4239</v>
      </c>
      <c r="H105" s="19">
        <f t="shared" si="0"/>
        <v>0</v>
      </c>
    </row>
    <row r="106" spans="1:9" ht="31.5" x14ac:dyDescent="0.25">
      <c r="A106" s="23">
        <v>45109</v>
      </c>
      <c r="B106" s="14">
        <f t="shared" si="2"/>
        <v>1525</v>
      </c>
      <c r="C106" s="25"/>
      <c r="D106" s="34" t="s">
        <v>19</v>
      </c>
      <c r="E106" s="21">
        <v>10697</v>
      </c>
      <c r="F106" s="64" t="s">
        <v>146</v>
      </c>
      <c r="G106" s="65">
        <f>3300+7397</f>
        <v>10697</v>
      </c>
      <c r="H106" s="19">
        <f t="shared" si="0"/>
        <v>0</v>
      </c>
    </row>
    <row r="107" spans="1:9" ht="25.5" customHeight="1" x14ac:dyDescent="0.25">
      <c r="A107" s="23">
        <v>45109</v>
      </c>
      <c r="B107" s="14">
        <f t="shared" si="2"/>
        <v>1526</v>
      </c>
      <c r="C107" s="25"/>
      <c r="D107" s="34" t="s">
        <v>24</v>
      </c>
      <c r="E107" s="21">
        <v>290</v>
      </c>
      <c r="F107" s="64">
        <v>45116</v>
      </c>
      <c r="G107" s="65">
        <v>290</v>
      </c>
      <c r="H107" s="19">
        <f t="shared" si="0"/>
        <v>0</v>
      </c>
    </row>
    <row r="108" spans="1:9" ht="24.75" customHeight="1" x14ac:dyDescent="0.25">
      <c r="A108" s="23"/>
      <c r="B108" s="14"/>
      <c r="C108" s="25"/>
      <c r="D108" s="34"/>
      <c r="E108" s="21"/>
      <c r="F108" s="22"/>
      <c r="G108" s="31"/>
      <c r="H108" s="19">
        <f t="shared" si="0"/>
        <v>0</v>
      </c>
    </row>
    <row r="109" spans="1:9" ht="24.75" customHeight="1" x14ac:dyDescent="0.25">
      <c r="A109" s="23"/>
      <c r="B109" s="14"/>
      <c r="C109" s="25"/>
      <c r="D109" s="34"/>
      <c r="E109" s="21"/>
      <c r="F109" s="22"/>
      <c r="G109" s="31"/>
      <c r="H109" s="19">
        <f t="shared" si="0"/>
        <v>0</v>
      </c>
    </row>
    <row r="110" spans="1:9" ht="18.75" customHeight="1" x14ac:dyDescent="0.25">
      <c r="A110" s="23"/>
      <c r="B110" s="14"/>
      <c r="C110" s="25"/>
      <c r="D110" s="34"/>
      <c r="E110" s="21"/>
      <c r="F110" s="22"/>
      <c r="G110" s="31"/>
      <c r="H110" s="19">
        <f t="shared" si="0"/>
        <v>0</v>
      </c>
    </row>
    <row r="111" spans="1:9" x14ac:dyDescent="0.25">
      <c r="B111" s="41"/>
      <c r="C111" s="42"/>
      <c r="D111" s="2"/>
      <c r="E111" s="43">
        <f>SUM(E4:E110)</f>
        <v>590076</v>
      </c>
      <c r="F111" s="44"/>
      <c r="G111" s="44">
        <f>SUM(G4:G110)</f>
        <v>590076</v>
      </c>
      <c r="H111" s="45">
        <f>SUM(H4:H110)</f>
        <v>0</v>
      </c>
      <c r="I111" s="2"/>
    </row>
    <row r="112" spans="1:9" x14ac:dyDescent="0.25">
      <c r="B112" s="41"/>
      <c r="C112" s="42"/>
      <c r="D112" s="2"/>
      <c r="E112" s="46"/>
      <c r="F112" s="47"/>
      <c r="G112" s="61"/>
      <c r="H112" s="48"/>
      <c r="I112" s="2"/>
    </row>
    <row r="113" spans="1:9" ht="31.5" x14ac:dyDescent="0.25">
      <c r="B113" s="41"/>
      <c r="C113" s="42"/>
      <c r="D113" s="2"/>
      <c r="E113" s="49" t="s">
        <v>8</v>
      </c>
      <c r="F113" s="47"/>
      <c r="G113" s="50" t="s">
        <v>9</v>
      </c>
      <c r="H113" s="48"/>
      <c r="I113" s="2"/>
    </row>
    <row r="114" spans="1:9" ht="16.5" thickBot="1" x14ac:dyDescent="0.3">
      <c r="B114" s="41"/>
      <c r="C114" s="42"/>
      <c r="D114" s="2"/>
      <c r="E114" s="49"/>
      <c r="F114" s="47"/>
      <c r="G114" s="50"/>
      <c r="H114" s="48"/>
      <c r="I114" s="2"/>
    </row>
    <row r="115" spans="1:9" ht="21.75" thickBot="1" x14ac:dyDescent="0.4">
      <c r="B115" s="41"/>
      <c r="C115" s="42"/>
      <c r="D115" s="2"/>
      <c r="E115" s="93">
        <f>E111-G111</f>
        <v>0</v>
      </c>
      <c r="F115" s="94"/>
      <c r="G115" s="95"/>
      <c r="I115" s="2"/>
    </row>
    <row r="116" spans="1:9" x14ac:dyDescent="0.25">
      <c r="B116" s="41"/>
      <c r="C116" s="42"/>
      <c r="D116" s="2"/>
      <c r="E116" s="46"/>
      <c r="F116" s="47"/>
      <c r="G116" s="61"/>
      <c r="I116" s="2"/>
    </row>
    <row r="117" spans="1:9" ht="18.75" x14ac:dyDescent="0.3">
      <c r="B117" s="41"/>
      <c r="C117" s="42"/>
      <c r="D117" s="2"/>
      <c r="E117" s="96" t="s">
        <v>10</v>
      </c>
      <c r="F117" s="96"/>
      <c r="G117" s="96"/>
      <c r="I117" s="2"/>
    </row>
    <row r="118" spans="1:9" x14ac:dyDescent="0.25">
      <c r="B118" s="41"/>
      <c r="C118" s="42"/>
      <c r="D118" s="2"/>
      <c r="E118" s="46"/>
      <c r="F118" s="47"/>
      <c r="G118" s="61"/>
      <c r="I118" s="2"/>
    </row>
    <row r="119" spans="1:9" ht="18.75" x14ac:dyDescent="0.3">
      <c r="A119" s="23"/>
      <c r="B119" s="14"/>
      <c r="C119" s="25"/>
      <c r="D119" s="51"/>
      <c r="E119" s="52"/>
      <c r="F119" s="53"/>
      <c r="G119" s="62"/>
      <c r="I119" s="2"/>
    </row>
    <row r="120" spans="1:9" x14ac:dyDescent="0.25">
      <c r="B120" s="41"/>
      <c r="C120" s="42"/>
      <c r="D120" s="2"/>
      <c r="E120" s="46"/>
      <c r="F120" s="47"/>
      <c r="G120" s="61"/>
      <c r="I120" s="2"/>
    </row>
    <row r="121" spans="1:9" x14ac:dyDescent="0.25">
      <c r="B121" s="41"/>
      <c r="C121" s="42"/>
      <c r="D121" s="2"/>
      <c r="E121" s="46"/>
      <c r="F121" s="47"/>
      <c r="G121" s="61"/>
      <c r="I121" s="2"/>
    </row>
    <row r="122" spans="1:9" x14ac:dyDescent="0.25">
      <c r="B122" s="41"/>
      <c r="C122" s="42"/>
      <c r="D122" s="2"/>
      <c r="E122" s="46"/>
      <c r="F122" s="47"/>
      <c r="G122" s="61"/>
      <c r="I122" s="2"/>
    </row>
    <row r="123" spans="1:9" x14ac:dyDescent="0.25">
      <c r="B123" s="41"/>
      <c r="C123" s="42"/>
      <c r="D123" s="2"/>
      <c r="E123" s="46"/>
      <c r="F123" s="47"/>
      <c r="G123" s="61"/>
      <c r="I123" s="2"/>
    </row>
    <row r="124" spans="1:9" x14ac:dyDescent="0.25">
      <c r="B124" s="41"/>
      <c r="C124" s="42"/>
      <c r="D124" s="2"/>
      <c r="E124" s="46"/>
      <c r="F124" s="47"/>
      <c r="G124" s="61"/>
      <c r="I124" s="2"/>
    </row>
    <row r="125" spans="1:9" x14ac:dyDescent="0.25">
      <c r="B125" s="41"/>
      <c r="C125" s="42"/>
      <c r="D125" s="2"/>
      <c r="E125" s="46"/>
      <c r="F125" s="47"/>
      <c r="G125" s="61"/>
      <c r="I125" s="2"/>
    </row>
    <row r="126" spans="1:9" x14ac:dyDescent="0.25">
      <c r="B126" s="41"/>
      <c r="C126" s="42"/>
      <c r="D126" s="2"/>
      <c r="E126" s="46"/>
      <c r="F126" s="47"/>
      <c r="G126" s="61"/>
      <c r="I126" s="2"/>
    </row>
    <row r="127" spans="1:9" x14ac:dyDescent="0.25">
      <c r="B127" s="41"/>
      <c r="C127" s="42"/>
      <c r="D127" s="2"/>
      <c r="E127" s="46"/>
      <c r="F127" s="47"/>
      <c r="G127" s="61"/>
      <c r="I127" s="2"/>
    </row>
    <row r="128" spans="1:9" x14ac:dyDescent="0.25">
      <c r="B128" s="41"/>
      <c r="C128" s="42"/>
      <c r="D128" s="2"/>
      <c r="E128" s="46"/>
      <c r="F128" s="47"/>
      <c r="G128" s="61"/>
      <c r="I128" s="2"/>
    </row>
  </sheetData>
  <mergeCells count="4">
    <mergeCell ref="B1:G1"/>
    <mergeCell ref="B2:F2"/>
    <mergeCell ref="E115:G115"/>
    <mergeCell ref="E117:G117"/>
  </mergeCells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I167"/>
  <sheetViews>
    <sheetView zoomScale="85" zoomScaleNormal="85" workbookViewId="0">
      <pane ySplit="3" topLeftCell="A21" activePane="bottomLeft" state="frozen"/>
      <selection pane="bottomLeft" activeCell="G23" sqref="G23"/>
    </sheetView>
  </sheetViews>
  <sheetFormatPr baseColWidth="10" defaultRowHeight="15.75" x14ac:dyDescent="0.25"/>
  <cols>
    <col min="1" max="1" width="14.140625" style="1" customWidth="1"/>
    <col min="2" max="2" width="13.140625" style="54" customWidth="1"/>
    <col min="3" max="3" width="9.85546875" style="55" hidden="1" customWidth="1"/>
    <col min="4" max="4" width="34.28515625" customWidth="1"/>
    <col min="5" max="5" width="15.85546875" style="56" bestFit="1" customWidth="1"/>
    <col min="6" max="6" width="13.28515625" style="57" customWidth="1"/>
    <col min="7" max="7" width="18" style="63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19.5" thickBot="1" x14ac:dyDescent="0.35">
      <c r="B1" s="89" t="s">
        <v>185</v>
      </c>
      <c r="C1" s="90"/>
      <c r="D1" s="90"/>
      <c r="E1" s="90"/>
      <c r="F1" s="90"/>
      <c r="G1" s="91"/>
      <c r="I1" s="2"/>
    </row>
    <row r="2" spans="1:9" ht="21" x14ac:dyDescent="0.35">
      <c r="A2" s="3"/>
      <c r="B2" s="92" t="s">
        <v>0</v>
      </c>
      <c r="C2" s="92"/>
      <c r="D2" s="92"/>
      <c r="E2" s="92"/>
      <c r="F2" s="92"/>
      <c r="G2" s="58"/>
      <c r="H2" s="4"/>
      <c r="I2" s="2"/>
    </row>
    <row r="3" spans="1:9" ht="46.5" thickBot="1" x14ac:dyDescent="0.35">
      <c r="A3" s="5"/>
      <c r="B3" s="6" t="s">
        <v>1</v>
      </c>
      <c r="C3" s="7" t="s">
        <v>2</v>
      </c>
      <c r="D3" s="8" t="s">
        <v>3</v>
      </c>
      <c r="E3" s="9" t="s">
        <v>4</v>
      </c>
      <c r="F3" s="10" t="s">
        <v>5</v>
      </c>
      <c r="G3" s="11" t="s">
        <v>6</v>
      </c>
      <c r="H3" s="12" t="s">
        <v>7</v>
      </c>
      <c r="I3" s="2"/>
    </row>
    <row r="4" spans="1:9" ht="24.75" customHeight="1" thickTop="1" x14ac:dyDescent="0.25">
      <c r="A4" s="13">
        <v>45110</v>
      </c>
      <c r="B4" s="14">
        <v>1527</v>
      </c>
      <c r="C4" s="15"/>
      <c r="D4" s="16" t="s">
        <v>13</v>
      </c>
      <c r="E4" s="17">
        <v>4042</v>
      </c>
      <c r="F4" s="18">
        <v>45111</v>
      </c>
      <c r="G4" s="59">
        <v>4042</v>
      </c>
      <c r="H4" s="19">
        <f t="shared" ref="H4:H149" si="0">E4-G4</f>
        <v>0</v>
      </c>
      <c r="I4" s="2"/>
    </row>
    <row r="5" spans="1:9" ht="24.75" customHeight="1" x14ac:dyDescent="0.25">
      <c r="A5" s="13">
        <v>45111</v>
      </c>
      <c r="B5" s="14">
        <v>1528</v>
      </c>
      <c r="C5" s="15"/>
      <c r="D5" s="20" t="s">
        <v>12</v>
      </c>
      <c r="E5" s="21">
        <v>186</v>
      </c>
      <c r="F5" s="22">
        <v>45112</v>
      </c>
      <c r="G5" s="31">
        <v>186</v>
      </c>
      <c r="H5" s="19">
        <f t="shared" si="0"/>
        <v>0</v>
      </c>
    </row>
    <row r="6" spans="1:9" ht="34.5" customHeight="1" x14ac:dyDescent="0.25">
      <c r="A6" s="13">
        <v>45111</v>
      </c>
      <c r="B6" s="14">
        <f t="shared" ref="B6:B69" si="1">B5+1</f>
        <v>1529</v>
      </c>
      <c r="C6" s="15"/>
      <c r="D6" s="20" t="s">
        <v>15</v>
      </c>
      <c r="E6" s="21">
        <v>3330</v>
      </c>
      <c r="F6" s="22" t="s">
        <v>147</v>
      </c>
      <c r="G6" s="31">
        <f>2200+1130</f>
        <v>3330</v>
      </c>
      <c r="H6" s="19">
        <f t="shared" si="0"/>
        <v>0</v>
      </c>
    </row>
    <row r="7" spans="1:9" ht="31.5" customHeight="1" x14ac:dyDescent="0.25">
      <c r="A7" s="23">
        <v>45111</v>
      </c>
      <c r="B7" s="14">
        <f t="shared" si="1"/>
        <v>1530</v>
      </c>
      <c r="C7" s="15"/>
      <c r="D7" s="20" t="s">
        <v>13</v>
      </c>
      <c r="E7" s="21">
        <v>2914</v>
      </c>
      <c r="F7" s="22">
        <v>45113</v>
      </c>
      <c r="G7" s="31">
        <v>2914</v>
      </c>
      <c r="H7" s="19">
        <f t="shared" si="0"/>
        <v>0</v>
      </c>
    </row>
    <row r="8" spans="1:9" ht="24.75" customHeight="1" x14ac:dyDescent="0.25">
      <c r="A8" s="13">
        <v>45111</v>
      </c>
      <c r="B8" s="14">
        <f t="shared" si="1"/>
        <v>1531</v>
      </c>
      <c r="C8" s="15"/>
      <c r="D8" s="24" t="s">
        <v>15</v>
      </c>
      <c r="E8" s="21">
        <v>190</v>
      </c>
      <c r="F8" s="22">
        <v>45115</v>
      </c>
      <c r="G8" s="31">
        <v>190</v>
      </c>
      <c r="H8" s="19">
        <f t="shared" si="0"/>
        <v>0</v>
      </c>
    </row>
    <row r="9" spans="1:9" ht="31.5" x14ac:dyDescent="0.25">
      <c r="A9" s="13">
        <v>45111</v>
      </c>
      <c r="B9" s="14">
        <f t="shared" si="1"/>
        <v>1532</v>
      </c>
      <c r="C9" s="15"/>
      <c r="D9" s="20" t="s">
        <v>17</v>
      </c>
      <c r="E9" s="21">
        <v>11293</v>
      </c>
      <c r="F9" s="22" t="s">
        <v>158</v>
      </c>
      <c r="G9" s="31">
        <f>2000+9293</f>
        <v>11293</v>
      </c>
      <c r="H9" s="19">
        <f t="shared" si="0"/>
        <v>0</v>
      </c>
    </row>
    <row r="10" spans="1:9" ht="24.75" customHeight="1" x14ac:dyDescent="0.25">
      <c r="A10" s="13">
        <v>45111</v>
      </c>
      <c r="B10" s="14">
        <f t="shared" si="1"/>
        <v>1533</v>
      </c>
      <c r="C10" s="15"/>
      <c r="D10" s="20" t="s">
        <v>14</v>
      </c>
      <c r="E10" s="21">
        <v>4755</v>
      </c>
      <c r="F10" s="22">
        <v>45113</v>
      </c>
      <c r="G10" s="31">
        <v>4755</v>
      </c>
      <c r="H10" s="19">
        <f t="shared" si="0"/>
        <v>0</v>
      </c>
    </row>
    <row r="11" spans="1:9" ht="31.5" x14ac:dyDescent="0.25">
      <c r="A11" s="13">
        <v>45113</v>
      </c>
      <c r="B11" s="14">
        <f t="shared" si="1"/>
        <v>1534</v>
      </c>
      <c r="C11" s="15"/>
      <c r="D11" s="20" t="s">
        <v>14</v>
      </c>
      <c r="E11" s="21">
        <v>2640</v>
      </c>
      <c r="F11" s="22" t="s">
        <v>147</v>
      </c>
      <c r="G11" s="31">
        <f>1245+1395</f>
        <v>2640</v>
      </c>
      <c r="H11" s="19">
        <f t="shared" si="0"/>
        <v>0</v>
      </c>
    </row>
    <row r="12" spans="1:9" ht="24.75" customHeight="1" x14ac:dyDescent="0.25">
      <c r="A12" s="13">
        <v>45113</v>
      </c>
      <c r="B12" s="14">
        <f t="shared" si="1"/>
        <v>1535</v>
      </c>
      <c r="C12" s="25"/>
      <c r="D12" s="20" t="s">
        <v>15</v>
      </c>
      <c r="E12" s="21">
        <v>3284</v>
      </c>
      <c r="F12" s="22">
        <v>45115</v>
      </c>
      <c r="G12" s="31">
        <v>3284</v>
      </c>
      <c r="H12" s="19">
        <f t="shared" si="0"/>
        <v>0</v>
      </c>
    </row>
    <row r="13" spans="1:9" ht="22.5" customHeight="1" x14ac:dyDescent="0.25">
      <c r="A13" s="13">
        <v>45113</v>
      </c>
      <c r="B13" s="14">
        <f t="shared" si="1"/>
        <v>1536</v>
      </c>
      <c r="C13" s="26"/>
      <c r="D13" s="20" t="s">
        <v>13</v>
      </c>
      <c r="E13" s="21">
        <v>3901</v>
      </c>
      <c r="F13" s="22">
        <v>45114</v>
      </c>
      <c r="G13" s="31">
        <v>3901</v>
      </c>
      <c r="H13" s="19">
        <f t="shared" si="0"/>
        <v>0</v>
      </c>
    </row>
    <row r="14" spans="1:9" ht="31.5" x14ac:dyDescent="0.25">
      <c r="A14" s="13">
        <v>45114</v>
      </c>
      <c r="B14" s="14">
        <f t="shared" si="1"/>
        <v>1537</v>
      </c>
      <c r="C14" s="25"/>
      <c r="D14" s="20" t="s">
        <v>15</v>
      </c>
      <c r="E14" s="21">
        <v>3442</v>
      </c>
      <c r="F14" s="66" t="s">
        <v>149</v>
      </c>
      <c r="G14" s="67">
        <f>2500+942</f>
        <v>3442</v>
      </c>
      <c r="H14" s="19">
        <f t="shared" si="0"/>
        <v>0</v>
      </c>
    </row>
    <row r="15" spans="1:9" ht="27.75" customHeight="1" x14ac:dyDescent="0.25">
      <c r="A15" s="13">
        <v>45114</v>
      </c>
      <c r="B15" s="14">
        <f t="shared" si="1"/>
        <v>1538</v>
      </c>
      <c r="C15" s="26"/>
      <c r="D15" s="20" t="s">
        <v>13</v>
      </c>
      <c r="E15" s="21">
        <v>3863</v>
      </c>
      <c r="F15" s="22">
        <v>45115</v>
      </c>
      <c r="G15" s="31">
        <v>3863</v>
      </c>
      <c r="H15" s="19">
        <f t="shared" si="0"/>
        <v>0</v>
      </c>
    </row>
    <row r="16" spans="1:9" ht="25.5" customHeight="1" x14ac:dyDescent="0.25">
      <c r="A16" s="13">
        <v>45114</v>
      </c>
      <c r="B16" s="14">
        <f t="shared" si="1"/>
        <v>1539</v>
      </c>
      <c r="C16" s="25"/>
      <c r="D16" s="20" t="s">
        <v>16</v>
      </c>
      <c r="E16" s="21">
        <v>12032</v>
      </c>
      <c r="F16" s="22">
        <v>45115</v>
      </c>
      <c r="G16" s="31">
        <f>11806+226</f>
        <v>12032</v>
      </c>
      <c r="H16" s="19">
        <f t="shared" si="0"/>
        <v>0</v>
      </c>
    </row>
    <row r="17" spans="1:8" ht="22.5" customHeight="1" x14ac:dyDescent="0.25">
      <c r="A17" s="13">
        <v>45114</v>
      </c>
      <c r="B17" s="14">
        <f t="shared" si="1"/>
        <v>1540</v>
      </c>
      <c r="C17" s="26"/>
      <c r="D17" s="20" t="s">
        <v>24</v>
      </c>
      <c r="E17" s="21">
        <v>10440</v>
      </c>
      <c r="F17" s="22">
        <v>45123</v>
      </c>
      <c r="G17" s="31">
        <v>10440</v>
      </c>
      <c r="H17" s="19">
        <f t="shared" si="0"/>
        <v>0</v>
      </c>
    </row>
    <row r="18" spans="1:8" ht="22.5" customHeight="1" x14ac:dyDescent="0.25">
      <c r="A18" s="13">
        <v>45114</v>
      </c>
      <c r="B18" s="14">
        <f t="shared" si="1"/>
        <v>1541</v>
      </c>
      <c r="C18" s="25"/>
      <c r="D18" s="20" t="s">
        <v>25</v>
      </c>
      <c r="E18" s="21">
        <v>11844</v>
      </c>
      <c r="F18" s="22">
        <v>45117</v>
      </c>
      <c r="G18" s="31">
        <v>11844</v>
      </c>
      <c r="H18" s="19">
        <f t="shared" si="0"/>
        <v>0</v>
      </c>
    </row>
    <row r="19" spans="1:8" ht="22.5" customHeight="1" x14ac:dyDescent="0.25">
      <c r="A19" s="13">
        <v>45114</v>
      </c>
      <c r="B19" s="14">
        <f t="shared" si="1"/>
        <v>1542</v>
      </c>
      <c r="C19" s="26"/>
      <c r="D19" s="20" t="s">
        <v>14</v>
      </c>
      <c r="E19" s="21">
        <v>463</v>
      </c>
      <c r="F19" s="22">
        <v>45115</v>
      </c>
      <c r="G19" s="31">
        <v>463</v>
      </c>
      <c r="H19" s="19">
        <f t="shared" si="0"/>
        <v>0</v>
      </c>
    </row>
    <row r="20" spans="1:8" ht="22.5" customHeight="1" x14ac:dyDescent="0.25">
      <c r="A20" s="13">
        <v>45114</v>
      </c>
      <c r="B20" s="14">
        <f t="shared" si="1"/>
        <v>1543</v>
      </c>
      <c r="C20" s="25"/>
      <c r="D20" s="20" t="s">
        <v>14</v>
      </c>
      <c r="E20" s="21">
        <v>113</v>
      </c>
      <c r="F20" s="22">
        <v>45115</v>
      </c>
      <c r="G20" s="31">
        <v>113</v>
      </c>
      <c r="H20" s="19">
        <f t="shared" si="0"/>
        <v>0</v>
      </c>
    </row>
    <row r="21" spans="1:8" ht="25.5" customHeight="1" x14ac:dyDescent="0.25">
      <c r="A21" s="13">
        <v>45114</v>
      </c>
      <c r="B21" s="14">
        <f t="shared" si="1"/>
        <v>1544</v>
      </c>
      <c r="C21" s="25"/>
      <c r="D21" s="20" t="s">
        <v>114</v>
      </c>
      <c r="E21" s="21">
        <v>8988</v>
      </c>
      <c r="F21" s="22">
        <v>45115</v>
      </c>
      <c r="G21" s="31">
        <v>8988</v>
      </c>
      <c r="H21" s="19">
        <f t="shared" si="0"/>
        <v>0</v>
      </c>
    </row>
    <row r="22" spans="1:8" ht="22.5" customHeight="1" x14ac:dyDescent="0.25">
      <c r="A22" s="13">
        <v>45114</v>
      </c>
      <c r="B22" s="14">
        <f t="shared" si="1"/>
        <v>1545</v>
      </c>
      <c r="C22" s="25"/>
      <c r="D22" s="20" t="s">
        <v>16</v>
      </c>
      <c r="E22" s="21">
        <v>1235</v>
      </c>
      <c r="F22" s="22">
        <v>45119</v>
      </c>
      <c r="G22" s="31">
        <v>1235</v>
      </c>
      <c r="H22" s="19">
        <f t="shared" si="0"/>
        <v>0</v>
      </c>
    </row>
    <row r="23" spans="1:8" ht="22.5" customHeight="1" x14ac:dyDescent="0.25">
      <c r="A23" s="13">
        <v>45115</v>
      </c>
      <c r="B23" s="14">
        <f t="shared" si="1"/>
        <v>1546</v>
      </c>
      <c r="C23" s="25"/>
      <c r="D23" s="20" t="s">
        <v>12</v>
      </c>
      <c r="E23" s="21">
        <v>223</v>
      </c>
      <c r="F23" s="22">
        <v>45117</v>
      </c>
      <c r="G23" s="77"/>
      <c r="H23" s="80">
        <f t="shared" si="0"/>
        <v>223</v>
      </c>
    </row>
    <row r="24" spans="1:8" ht="29.25" customHeight="1" x14ac:dyDescent="0.25">
      <c r="A24" s="13">
        <v>45115</v>
      </c>
      <c r="B24" s="14">
        <f t="shared" si="1"/>
        <v>1547</v>
      </c>
      <c r="C24" s="25"/>
      <c r="D24" s="20" t="s">
        <v>114</v>
      </c>
      <c r="E24" s="21">
        <v>10500</v>
      </c>
      <c r="F24" s="66" t="s">
        <v>151</v>
      </c>
      <c r="G24" s="67">
        <f>5000+5500</f>
        <v>10500</v>
      </c>
      <c r="H24" s="19">
        <f t="shared" si="0"/>
        <v>0</v>
      </c>
    </row>
    <row r="25" spans="1:8" ht="31.5" x14ac:dyDescent="0.25">
      <c r="A25" s="13">
        <v>45115</v>
      </c>
      <c r="B25" s="14">
        <f t="shared" si="1"/>
        <v>1548</v>
      </c>
      <c r="C25" s="25"/>
      <c r="D25" s="20" t="s">
        <v>14</v>
      </c>
      <c r="E25" s="21">
        <v>1450</v>
      </c>
      <c r="F25" s="66" t="s">
        <v>150</v>
      </c>
      <c r="G25" s="67">
        <f>652+798</f>
        <v>1450</v>
      </c>
      <c r="H25" s="19">
        <f t="shared" si="0"/>
        <v>0</v>
      </c>
    </row>
    <row r="26" spans="1:8" ht="28.5" customHeight="1" x14ac:dyDescent="0.25">
      <c r="A26" s="13">
        <v>45115</v>
      </c>
      <c r="B26" s="14">
        <f t="shared" si="1"/>
        <v>1549</v>
      </c>
      <c r="C26" s="25"/>
      <c r="D26" s="20" t="s">
        <v>15</v>
      </c>
      <c r="E26" s="21">
        <v>4093</v>
      </c>
      <c r="F26" s="66" t="s">
        <v>152</v>
      </c>
      <c r="G26" s="67">
        <f>2500+1593</f>
        <v>4093</v>
      </c>
      <c r="H26" s="19">
        <f t="shared" si="0"/>
        <v>0</v>
      </c>
    </row>
    <row r="27" spans="1:8" ht="30.75" customHeight="1" x14ac:dyDescent="0.25">
      <c r="A27" s="13">
        <v>45115</v>
      </c>
      <c r="B27" s="14">
        <f t="shared" si="1"/>
        <v>1550</v>
      </c>
      <c r="C27" s="25"/>
      <c r="D27" s="20" t="s">
        <v>13</v>
      </c>
      <c r="E27" s="21">
        <v>4368</v>
      </c>
      <c r="F27" s="22">
        <v>45116</v>
      </c>
      <c r="G27" s="31">
        <v>4368</v>
      </c>
      <c r="H27" s="19">
        <f t="shared" si="0"/>
        <v>0</v>
      </c>
    </row>
    <row r="28" spans="1:8" ht="31.5" x14ac:dyDescent="0.25">
      <c r="A28" s="13">
        <v>45116</v>
      </c>
      <c r="B28" s="14">
        <f t="shared" si="1"/>
        <v>1551</v>
      </c>
      <c r="C28" s="25"/>
      <c r="D28" s="20" t="s">
        <v>16</v>
      </c>
      <c r="E28" s="21">
        <v>11806</v>
      </c>
      <c r="F28" s="22" t="s">
        <v>155</v>
      </c>
      <c r="G28" s="31">
        <f>8000+3806</f>
        <v>11806</v>
      </c>
      <c r="H28" s="19">
        <f t="shared" si="0"/>
        <v>0</v>
      </c>
    </row>
    <row r="29" spans="1:8" ht="31.5" x14ac:dyDescent="0.25">
      <c r="A29" s="13">
        <v>45116</v>
      </c>
      <c r="B29" s="14">
        <f t="shared" si="1"/>
        <v>1552</v>
      </c>
      <c r="C29" s="25"/>
      <c r="D29" s="20" t="s">
        <v>15</v>
      </c>
      <c r="E29" s="21">
        <v>3070</v>
      </c>
      <c r="F29" s="22" t="s">
        <v>154</v>
      </c>
      <c r="G29" s="31">
        <f>2700+370</f>
        <v>3070</v>
      </c>
      <c r="H29" s="19">
        <f t="shared" si="0"/>
        <v>0</v>
      </c>
    </row>
    <row r="30" spans="1:8" ht="27" customHeight="1" x14ac:dyDescent="0.25">
      <c r="A30" s="13">
        <v>45116</v>
      </c>
      <c r="B30" s="14">
        <f t="shared" si="1"/>
        <v>1553</v>
      </c>
      <c r="C30" s="25"/>
      <c r="D30" s="20" t="s">
        <v>16</v>
      </c>
      <c r="E30" s="21">
        <v>14059</v>
      </c>
      <c r="F30" s="22">
        <v>45117</v>
      </c>
      <c r="G30" s="31">
        <v>14059</v>
      </c>
      <c r="H30" s="19">
        <f t="shared" si="0"/>
        <v>0</v>
      </c>
    </row>
    <row r="31" spans="1:8" ht="24.75" customHeight="1" x14ac:dyDescent="0.25">
      <c r="A31" s="13">
        <v>45116</v>
      </c>
      <c r="B31" s="14">
        <f t="shared" si="1"/>
        <v>1554</v>
      </c>
      <c r="C31" s="25"/>
      <c r="D31" s="20" t="s">
        <v>13</v>
      </c>
      <c r="E31" s="21">
        <v>4906</v>
      </c>
      <c r="F31" s="22">
        <v>45117</v>
      </c>
      <c r="G31" s="31">
        <v>4906</v>
      </c>
      <c r="H31" s="19">
        <f t="shared" si="0"/>
        <v>0</v>
      </c>
    </row>
    <row r="32" spans="1:8" ht="31.5" x14ac:dyDescent="0.25">
      <c r="A32" s="13">
        <v>45117</v>
      </c>
      <c r="B32" s="14">
        <f t="shared" si="1"/>
        <v>1555</v>
      </c>
      <c r="C32" s="25"/>
      <c r="D32" s="20" t="s">
        <v>153</v>
      </c>
      <c r="E32" s="21">
        <v>55949</v>
      </c>
      <c r="F32" s="22" t="s">
        <v>154</v>
      </c>
      <c r="G32" s="31">
        <f>55000+949</f>
        <v>55949</v>
      </c>
      <c r="H32" s="19">
        <f t="shared" si="0"/>
        <v>0</v>
      </c>
    </row>
    <row r="33" spans="1:8" ht="49.5" customHeight="1" x14ac:dyDescent="0.25">
      <c r="A33" s="13">
        <v>45117</v>
      </c>
      <c r="B33" s="14">
        <f t="shared" si="1"/>
        <v>1556</v>
      </c>
      <c r="C33" s="25"/>
      <c r="D33" s="20" t="s">
        <v>14</v>
      </c>
      <c r="E33" s="21">
        <v>5060</v>
      </c>
      <c r="F33" s="22" t="s">
        <v>156</v>
      </c>
      <c r="G33" s="31">
        <f>4560+300+200</f>
        <v>5060</v>
      </c>
      <c r="H33" s="19">
        <f t="shared" si="0"/>
        <v>0</v>
      </c>
    </row>
    <row r="34" spans="1:8" ht="41.25" customHeight="1" x14ac:dyDescent="0.25">
      <c r="A34" s="13">
        <v>45117</v>
      </c>
      <c r="B34" s="14">
        <f t="shared" si="1"/>
        <v>1557</v>
      </c>
      <c r="C34" s="25"/>
      <c r="D34" s="20" t="s">
        <v>13</v>
      </c>
      <c r="E34" s="21">
        <v>4378</v>
      </c>
      <c r="F34" s="22">
        <v>45118</v>
      </c>
      <c r="G34" s="31">
        <v>4378</v>
      </c>
      <c r="H34" s="19">
        <f t="shared" si="0"/>
        <v>0</v>
      </c>
    </row>
    <row r="35" spans="1:8" ht="36.75" customHeight="1" x14ac:dyDescent="0.25">
      <c r="A35" s="13">
        <v>45118</v>
      </c>
      <c r="B35" s="14">
        <f t="shared" si="1"/>
        <v>1558</v>
      </c>
      <c r="C35" s="25"/>
      <c r="D35" s="20" t="s">
        <v>12</v>
      </c>
      <c r="E35" s="21">
        <v>267</v>
      </c>
      <c r="F35" s="22">
        <v>45118</v>
      </c>
      <c r="G35" s="31">
        <v>267</v>
      </c>
      <c r="H35" s="19">
        <f t="shared" si="0"/>
        <v>0</v>
      </c>
    </row>
    <row r="36" spans="1:8" ht="42" customHeight="1" x14ac:dyDescent="0.25">
      <c r="A36" s="13">
        <v>45118</v>
      </c>
      <c r="B36" s="14">
        <f t="shared" si="1"/>
        <v>1559</v>
      </c>
      <c r="C36" s="25"/>
      <c r="D36" s="20" t="s">
        <v>15</v>
      </c>
      <c r="E36" s="21">
        <v>5231</v>
      </c>
      <c r="F36" s="22" t="s">
        <v>160</v>
      </c>
      <c r="G36" s="31">
        <f>4231+1000</f>
        <v>5231</v>
      </c>
      <c r="H36" s="19">
        <f t="shared" si="0"/>
        <v>0</v>
      </c>
    </row>
    <row r="37" spans="1:8" ht="33" customHeight="1" x14ac:dyDescent="0.25">
      <c r="A37" s="13">
        <v>45118</v>
      </c>
      <c r="B37" s="14">
        <f t="shared" si="1"/>
        <v>1560</v>
      </c>
      <c r="C37" s="25"/>
      <c r="D37" s="20" t="s">
        <v>13</v>
      </c>
      <c r="E37" s="21">
        <v>5827</v>
      </c>
      <c r="F37" s="22">
        <v>45120</v>
      </c>
      <c r="G37" s="31">
        <v>5827</v>
      </c>
      <c r="H37" s="19">
        <f t="shared" si="0"/>
        <v>0</v>
      </c>
    </row>
    <row r="38" spans="1:8" ht="26.25" customHeight="1" x14ac:dyDescent="0.25">
      <c r="A38" s="13">
        <v>45118</v>
      </c>
      <c r="B38" s="14">
        <f t="shared" si="1"/>
        <v>1561</v>
      </c>
      <c r="C38" s="25"/>
      <c r="D38" s="20" t="s">
        <v>16</v>
      </c>
      <c r="E38" s="21">
        <v>10042</v>
      </c>
      <c r="F38" s="22">
        <v>45120</v>
      </c>
      <c r="G38" s="31">
        <v>10042</v>
      </c>
      <c r="H38" s="19">
        <f t="shared" si="0"/>
        <v>0</v>
      </c>
    </row>
    <row r="39" spans="1:8" ht="26.25" customHeight="1" x14ac:dyDescent="0.25">
      <c r="A39" s="13">
        <v>45118</v>
      </c>
      <c r="B39" s="14">
        <f t="shared" si="1"/>
        <v>1562</v>
      </c>
      <c r="C39" s="25"/>
      <c r="D39" s="20" t="s">
        <v>14</v>
      </c>
      <c r="E39" s="21">
        <v>3341</v>
      </c>
      <c r="F39" s="22">
        <v>45120</v>
      </c>
      <c r="G39" s="31">
        <v>3341</v>
      </c>
      <c r="H39" s="19">
        <f t="shared" si="0"/>
        <v>0</v>
      </c>
    </row>
    <row r="40" spans="1:8" ht="75" x14ac:dyDescent="0.25">
      <c r="A40" s="13">
        <v>45118</v>
      </c>
      <c r="B40" s="14">
        <f t="shared" si="1"/>
        <v>1563</v>
      </c>
      <c r="C40" s="25"/>
      <c r="D40" s="20" t="s">
        <v>24</v>
      </c>
      <c r="E40" s="21">
        <v>11920</v>
      </c>
      <c r="F40" s="78" t="s">
        <v>192</v>
      </c>
      <c r="G40" s="31">
        <f>2000+4320+1600+1500+2500</f>
        <v>11920</v>
      </c>
      <c r="H40" s="19">
        <f t="shared" si="0"/>
        <v>0</v>
      </c>
    </row>
    <row r="41" spans="1:8" ht="46.5" customHeight="1" x14ac:dyDescent="0.25">
      <c r="A41" s="13">
        <v>45120</v>
      </c>
      <c r="B41" s="14">
        <f t="shared" si="1"/>
        <v>1564</v>
      </c>
      <c r="C41" s="25"/>
      <c r="D41" s="20" t="s">
        <v>157</v>
      </c>
      <c r="E41" s="21">
        <v>27000</v>
      </c>
      <c r="F41" s="22" t="s">
        <v>159</v>
      </c>
      <c r="G41" s="31">
        <f>20000+7000</f>
        <v>27000</v>
      </c>
      <c r="H41" s="19">
        <f t="shared" si="0"/>
        <v>0</v>
      </c>
    </row>
    <row r="42" spans="1:8" ht="55.5" customHeight="1" x14ac:dyDescent="0.3">
      <c r="A42" s="13">
        <v>45120</v>
      </c>
      <c r="B42" s="14">
        <f t="shared" si="1"/>
        <v>1565</v>
      </c>
      <c r="C42" s="25"/>
      <c r="D42" s="73" t="s">
        <v>14</v>
      </c>
      <c r="E42" s="21">
        <v>5386</v>
      </c>
      <c r="F42" s="76" t="s">
        <v>161</v>
      </c>
      <c r="G42" s="67">
        <f>3386+1000+700+300</f>
        <v>5386</v>
      </c>
      <c r="H42" s="19">
        <f t="shared" si="0"/>
        <v>0</v>
      </c>
    </row>
    <row r="43" spans="1:8" ht="34.5" customHeight="1" x14ac:dyDescent="0.25">
      <c r="A43" s="13">
        <v>45120</v>
      </c>
      <c r="B43" s="14">
        <f t="shared" si="1"/>
        <v>1566</v>
      </c>
      <c r="C43" s="25"/>
      <c r="D43" s="20" t="s">
        <v>15</v>
      </c>
      <c r="E43" s="21">
        <v>3606</v>
      </c>
      <c r="F43" s="22">
        <v>45122</v>
      </c>
      <c r="G43" s="31">
        <v>3606</v>
      </c>
      <c r="H43" s="19">
        <f t="shared" si="0"/>
        <v>0</v>
      </c>
    </row>
    <row r="44" spans="1:8" ht="26.25" customHeight="1" x14ac:dyDescent="0.25">
      <c r="A44" s="13">
        <v>45120</v>
      </c>
      <c r="B44" s="14">
        <f t="shared" si="1"/>
        <v>1567</v>
      </c>
      <c r="C44" s="25"/>
      <c r="D44" s="20" t="s">
        <v>13</v>
      </c>
      <c r="E44" s="21">
        <v>3998</v>
      </c>
      <c r="F44" s="22">
        <v>45121</v>
      </c>
      <c r="G44" s="31">
        <v>3998</v>
      </c>
      <c r="H44" s="19">
        <f t="shared" si="0"/>
        <v>0</v>
      </c>
    </row>
    <row r="45" spans="1:8" ht="42.75" customHeight="1" x14ac:dyDescent="0.25">
      <c r="A45" s="13">
        <v>45121</v>
      </c>
      <c r="B45" s="14">
        <f t="shared" si="1"/>
        <v>1568</v>
      </c>
      <c r="C45" s="25"/>
      <c r="D45" s="20" t="s">
        <v>15</v>
      </c>
      <c r="E45" s="21">
        <v>4300</v>
      </c>
      <c r="F45" s="22" t="s">
        <v>162</v>
      </c>
      <c r="G45" s="31">
        <f>2300+2000</f>
        <v>4300</v>
      </c>
      <c r="H45" s="19">
        <f t="shared" si="0"/>
        <v>0</v>
      </c>
    </row>
    <row r="46" spans="1:8" ht="21.75" customHeight="1" x14ac:dyDescent="0.25">
      <c r="A46" s="13">
        <v>45121</v>
      </c>
      <c r="B46" s="14">
        <f t="shared" si="1"/>
        <v>1569</v>
      </c>
      <c r="C46" s="25"/>
      <c r="D46" s="20" t="s">
        <v>13</v>
      </c>
      <c r="E46" s="21">
        <v>4720</v>
      </c>
      <c r="F46" s="22">
        <v>45122</v>
      </c>
      <c r="G46" s="31">
        <v>4720</v>
      </c>
      <c r="H46" s="19">
        <f t="shared" si="0"/>
        <v>0</v>
      </c>
    </row>
    <row r="47" spans="1:8" ht="45" customHeight="1" x14ac:dyDescent="0.25">
      <c r="A47" s="13">
        <v>45121</v>
      </c>
      <c r="B47" s="14">
        <f t="shared" si="1"/>
        <v>1570</v>
      </c>
      <c r="C47" s="25"/>
      <c r="D47" s="20" t="s">
        <v>16</v>
      </c>
      <c r="E47" s="21">
        <v>17293</v>
      </c>
      <c r="F47" s="22" t="s">
        <v>163</v>
      </c>
      <c r="G47" s="31">
        <f>13293+4000</f>
        <v>17293</v>
      </c>
      <c r="H47" s="19">
        <f t="shared" si="0"/>
        <v>0</v>
      </c>
    </row>
    <row r="48" spans="1:8" ht="51" customHeight="1" x14ac:dyDescent="0.25">
      <c r="A48" s="13">
        <v>45121</v>
      </c>
      <c r="B48" s="14">
        <f t="shared" si="1"/>
        <v>1571</v>
      </c>
      <c r="C48" s="25"/>
      <c r="D48" s="20" t="s">
        <v>17</v>
      </c>
      <c r="E48" s="21">
        <v>19272</v>
      </c>
      <c r="F48" s="22">
        <v>45130</v>
      </c>
      <c r="G48" s="31">
        <v>19272</v>
      </c>
      <c r="H48" s="19">
        <f t="shared" si="0"/>
        <v>0</v>
      </c>
    </row>
    <row r="49" spans="1:8" ht="33.75" customHeight="1" x14ac:dyDescent="0.25">
      <c r="A49" s="13">
        <v>45121</v>
      </c>
      <c r="B49" s="14">
        <f t="shared" si="1"/>
        <v>1572</v>
      </c>
      <c r="C49" s="25"/>
      <c r="D49" s="20" t="s">
        <v>25</v>
      </c>
      <c r="E49" s="21">
        <v>12569</v>
      </c>
      <c r="F49" s="22">
        <v>45124</v>
      </c>
      <c r="G49" s="31">
        <v>12569</v>
      </c>
      <c r="H49" s="19">
        <f t="shared" si="0"/>
        <v>0</v>
      </c>
    </row>
    <row r="50" spans="1:8" ht="42.75" customHeight="1" x14ac:dyDescent="0.25">
      <c r="A50" s="13">
        <v>45122</v>
      </c>
      <c r="B50" s="14">
        <f t="shared" si="1"/>
        <v>1573</v>
      </c>
      <c r="C50" s="25"/>
      <c r="D50" s="20" t="s">
        <v>13</v>
      </c>
      <c r="E50" s="21">
        <v>7196</v>
      </c>
      <c r="F50" s="22" t="s">
        <v>162</v>
      </c>
      <c r="G50" s="31">
        <f>2000+454+4742</f>
        <v>7196</v>
      </c>
      <c r="H50" s="19">
        <f t="shared" si="0"/>
        <v>0</v>
      </c>
    </row>
    <row r="51" spans="1:8" ht="40.5" customHeight="1" x14ac:dyDescent="0.25">
      <c r="A51" s="13">
        <v>45122</v>
      </c>
      <c r="B51" s="14">
        <f t="shared" si="1"/>
        <v>1574</v>
      </c>
      <c r="C51" s="25"/>
      <c r="D51" s="20" t="s">
        <v>15</v>
      </c>
      <c r="E51" s="21">
        <v>3990</v>
      </c>
      <c r="F51" s="22" t="s">
        <v>165</v>
      </c>
      <c r="G51" s="31">
        <f>1500+2490</f>
        <v>3990</v>
      </c>
      <c r="H51" s="19">
        <f t="shared" si="0"/>
        <v>0</v>
      </c>
    </row>
    <row r="52" spans="1:8" ht="38.25" customHeight="1" x14ac:dyDescent="0.25">
      <c r="A52" s="13">
        <v>45122</v>
      </c>
      <c r="B52" s="14">
        <f t="shared" si="1"/>
        <v>1575</v>
      </c>
      <c r="C52" s="25"/>
      <c r="D52" s="20" t="s">
        <v>16</v>
      </c>
      <c r="E52" s="21">
        <v>17626</v>
      </c>
      <c r="F52" s="22" t="s">
        <v>166</v>
      </c>
      <c r="G52" s="31">
        <f>10050+7576</f>
        <v>17626</v>
      </c>
      <c r="H52" s="19">
        <f t="shared" si="0"/>
        <v>0</v>
      </c>
    </row>
    <row r="53" spans="1:8" ht="28.5" customHeight="1" x14ac:dyDescent="0.25">
      <c r="A53" s="13">
        <v>45122</v>
      </c>
      <c r="B53" s="14">
        <f t="shared" si="1"/>
        <v>1576</v>
      </c>
      <c r="C53" s="25"/>
      <c r="D53" s="20" t="s">
        <v>12</v>
      </c>
      <c r="E53" s="21">
        <v>175</v>
      </c>
      <c r="F53" s="22">
        <v>45126</v>
      </c>
      <c r="G53" s="31">
        <v>175</v>
      </c>
      <c r="H53" s="19">
        <f t="shared" si="0"/>
        <v>0</v>
      </c>
    </row>
    <row r="54" spans="1:8" ht="40.5" customHeight="1" x14ac:dyDescent="0.3">
      <c r="A54" s="13">
        <v>45123</v>
      </c>
      <c r="B54" s="14">
        <f t="shared" si="1"/>
        <v>1577</v>
      </c>
      <c r="C54" s="25"/>
      <c r="D54" s="75" t="s">
        <v>15</v>
      </c>
      <c r="E54" s="21">
        <v>2554</v>
      </c>
      <c r="F54" s="22">
        <v>45127</v>
      </c>
      <c r="G54" s="31">
        <v>2554</v>
      </c>
      <c r="H54" s="19">
        <f t="shared" si="0"/>
        <v>0</v>
      </c>
    </row>
    <row r="55" spans="1:8" s="33" customFormat="1" ht="33.75" customHeight="1" x14ac:dyDescent="0.25">
      <c r="A55" s="29">
        <v>45123</v>
      </c>
      <c r="B55" s="14">
        <f t="shared" si="1"/>
        <v>1578</v>
      </c>
      <c r="C55" s="25"/>
      <c r="D55" s="24" t="s">
        <v>13</v>
      </c>
      <c r="E55" s="30">
        <v>4929</v>
      </c>
      <c r="F55" s="22">
        <v>45124</v>
      </c>
      <c r="G55" s="31">
        <v>4929</v>
      </c>
      <c r="H55" s="32">
        <f t="shared" si="0"/>
        <v>0</v>
      </c>
    </row>
    <row r="56" spans="1:8" ht="28.5" customHeight="1" x14ac:dyDescent="0.25">
      <c r="A56" s="13">
        <v>45123</v>
      </c>
      <c r="B56" s="14">
        <f t="shared" si="1"/>
        <v>1579</v>
      </c>
      <c r="C56" s="25"/>
      <c r="D56" s="20" t="s">
        <v>24</v>
      </c>
      <c r="E56" s="21">
        <v>290</v>
      </c>
      <c r="F56" s="22">
        <v>45130</v>
      </c>
      <c r="G56" s="31">
        <v>290</v>
      </c>
      <c r="H56" s="19">
        <f t="shared" si="0"/>
        <v>0</v>
      </c>
    </row>
    <row r="57" spans="1:8" ht="28.5" customHeight="1" x14ac:dyDescent="0.25">
      <c r="A57" s="13">
        <v>45124</v>
      </c>
      <c r="B57" s="14">
        <f t="shared" si="1"/>
        <v>1580</v>
      </c>
      <c r="C57" s="25"/>
      <c r="D57" s="20" t="s">
        <v>164</v>
      </c>
      <c r="E57" s="21">
        <v>59875</v>
      </c>
      <c r="F57" s="22">
        <v>45124</v>
      </c>
      <c r="G57" s="31">
        <v>59875</v>
      </c>
      <c r="H57" s="19">
        <f t="shared" si="0"/>
        <v>0</v>
      </c>
    </row>
    <row r="58" spans="1:8" ht="30" customHeight="1" x14ac:dyDescent="0.25">
      <c r="A58" s="13">
        <v>45124</v>
      </c>
      <c r="B58" s="14">
        <f t="shared" si="1"/>
        <v>1581</v>
      </c>
      <c r="C58" s="25"/>
      <c r="D58" s="20" t="s">
        <v>13</v>
      </c>
      <c r="E58" s="21">
        <v>4738</v>
      </c>
      <c r="F58" s="22">
        <v>45125</v>
      </c>
      <c r="G58" s="31">
        <v>4738</v>
      </c>
      <c r="H58" s="19">
        <f t="shared" si="0"/>
        <v>0</v>
      </c>
    </row>
    <row r="59" spans="1:8" ht="28.5" customHeight="1" x14ac:dyDescent="0.25">
      <c r="A59" s="13">
        <v>45124</v>
      </c>
      <c r="B59" s="14">
        <f t="shared" si="1"/>
        <v>1582</v>
      </c>
      <c r="C59" s="25"/>
      <c r="D59" s="20" t="s">
        <v>114</v>
      </c>
      <c r="E59" s="21">
        <v>9032</v>
      </c>
      <c r="F59" s="22">
        <v>45125</v>
      </c>
      <c r="G59" s="31">
        <v>9032</v>
      </c>
      <c r="H59" s="19">
        <f t="shared" si="0"/>
        <v>0</v>
      </c>
    </row>
    <row r="60" spans="1:8" ht="38.25" customHeight="1" x14ac:dyDescent="0.25">
      <c r="A60" s="13">
        <v>45125</v>
      </c>
      <c r="B60" s="14">
        <f t="shared" si="1"/>
        <v>1583</v>
      </c>
      <c r="C60" s="25"/>
      <c r="D60" s="20" t="s">
        <v>15</v>
      </c>
      <c r="E60" s="21">
        <v>4448</v>
      </c>
      <c r="F60" s="22">
        <v>45127</v>
      </c>
      <c r="G60" s="31">
        <v>4448</v>
      </c>
      <c r="H60" s="19">
        <f t="shared" si="0"/>
        <v>0</v>
      </c>
    </row>
    <row r="61" spans="1:8" ht="28.5" customHeight="1" x14ac:dyDescent="0.25">
      <c r="A61" s="13">
        <v>45125</v>
      </c>
      <c r="B61" s="14">
        <f t="shared" si="1"/>
        <v>1584</v>
      </c>
      <c r="C61" s="25"/>
      <c r="D61" s="20" t="s">
        <v>15</v>
      </c>
      <c r="E61" s="21">
        <v>569</v>
      </c>
      <c r="F61" s="22">
        <v>45128</v>
      </c>
      <c r="G61" s="31">
        <v>569</v>
      </c>
      <c r="H61" s="19">
        <f t="shared" si="0"/>
        <v>0</v>
      </c>
    </row>
    <row r="62" spans="1:8" ht="28.5" customHeight="1" x14ac:dyDescent="0.25">
      <c r="A62" s="13">
        <v>45125</v>
      </c>
      <c r="B62" s="14">
        <f t="shared" si="1"/>
        <v>1585</v>
      </c>
      <c r="C62" s="25"/>
      <c r="D62" s="20" t="s">
        <v>13</v>
      </c>
      <c r="E62" s="21">
        <v>3805</v>
      </c>
      <c r="F62" s="22">
        <v>45126</v>
      </c>
      <c r="G62" s="31">
        <v>3805</v>
      </c>
      <c r="H62" s="19">
        <f t="shared" si="0"/>
        <v>0</v>
      </c>
    </row>
    <row r="63" spans="1:8" ht="28.5" customHeight="1" x14ac:dyDescent="0.25">
      <c r="A63" s="13">
        <v>45125</v>
      </c>
      <c r="B63" s="14">
        <f t="shared" si="1"/>
        <v>1586</v>
      </c>
      <c r="C63" s="25"/>
      <c r="D63" s="20" t="s">
        <v>14</v>
      </c>
      <c r="E63" s="21">
        <v>4486</v>
      </c>
      <c r="F63" s="22">
        <v>45126</v>
      </c>
      <c r="G63" s="31">
        <v>4486</v>
      </c>
      <c r="H63" s="19">
        <f t="shared" si="0"/>
        <v>0</v>
      </c>
    </row>
    <row r="64" spans="1:8" ht="28.5" customHeight="1" x14ac:dyDescent="0.25">
      <c r="A64" s="13">
        <v>45126</v>
      </c>
      <c r="B64" s="14">
        <f t="shared" si="1"/>
        <v>1587</v>
      </c>
      <c r="C64" s="25"/>
      <c r="D64" s="20" t="s">
        <v>15</v>
      </c>
      <c r="E64" s="21">
        <v>1186</v>
      </c>
      <c r="F64" s="22">
        <v>45128</v>
      </c>
      <c r="G64" s="31">
        <v>1186</v>
      </c>
      <c r="H64" s="19">
        <f t="shared" si="0"/>
        <v>0</v>
      </c>
    </row>
    <row r="65" spans="1:8" ht="30.75" customHeight="1" x14ac:dyDescent="0.25">
      <c r="A65" s="23">
        <v>45126</v>
      </c>
      <c r="B65" s="14">
        <f t="shared" si="1"/>
        <v>1588</v>
      </c>
      <c r="C65" s="25"/>
      <c r="D65" s="34" t="s">
        <v>16</v>
      </c>
      <c r="E65" s="21">
        <v>10774</v>
      </c>
      <c r="F65" s="22">
        <v>45128</v>
      </c>
      <c r="G65" s="31">
        <v>10774</v>
      </c>
      <c r="H65" s="19">
        <f t="shared" si="0"/>
        <v>0</v>
      </c>
    </row>
    <row r="66" spans="1:8" ht="35.25" customHeight="1" x14ac:dyDescent="0.25">
      <c r="A66" s="23">
        <v>45126</v>
      </c>
      <c r="B66" s="14">
        <f t="shared" si="1"/>
        <v>1589</v>
      </c>
      <c r="C66" s="25"/>
      <c r="D66" s="34" t="s">
        <v>13</v>
      </c>
      <c r="E66" s="21">
        <v>3710</v>
      </c>
      <c r="F66" s="22">
        <v>45127</v>
      </c>
      <c r="G66" s="31">
        <v>3710</v>
      </c>
      <c r="H66" s="19">
        <f t="shared" si="0"/>
        <v>0</v>
      </c>
    </row>
    <row r="67" spans="1:8" ht="47.25" customHeight="1" x14ac:dyDescent="0.25">
      <c r="A67" s="23">
        <v>45126</v>
      </c>
      <c r="B67" s="14">
        <f t="shared" si="1"/>
        <v>1590</v>
      </c>
      <c r="C67" s="25"/>
      <c r="D67" s="34" t="s">
        <v>14</v>
      </c>
      <c r="E67" s="21">
        <v>5074</v>
      </c>
      <c r="F67" s="66" t="s">
        <v>167</v>
      </c>
      <c r="G67" s="67">
        <f>4000+1074</f>
        <v>5074</v>
      </c>
      <c r="H67" s="19">
        <f t="shared" si="0"/>
        <v>0</v>
      </c>
    </row>
    <row r="68" spans="1:8" ht="28.5" customHeight="1" x14ac:dyDescent="0.3">
      <c r="A68" s="23">
        <v>45127</v>
      </c>
      <c r="B68" s="14">
        <f t="shared" si="1"/>
        <v>1591</v>
      </c>
      <c r="C68" s="25"/>
      <c r="D68" s="75" t="s">
        <v>12</v>
      </c>
      <c r="E68" s="21">
        <v>334</v>
      </c>
      <c r="F68" s="22">
        <v>45133</v>
      </c>
      <c r="G68" s="31">
        <v>334</v>
      </c>
      <c r="H68" s="19">
        <f t="shared" si="0"/>
        <v>0</v>
      </c>
    </row>
    <row r="69" spans="1:8" ht="41.25" customHeight="1" x14ac:dyDescent="0.3">
      <c r="A69" s="23">
        <v>45127</v>
      </c>
      <c r="B69" s="14">
        <f t="shared" si="1"/>
        <v>1592</v>
      </c>
      <c r="C69" s="25"/>
      <c r="D69" s="75" t="s">
        <v>153</v>
      </c>
      <c r="E69" s="21">
        <v>45834</v>
      </c>
      <c r="F69" s="22" t="s">
        <v>169</v>
      </c>
      <c r="G69" s="31">
        <f>40000+5834</f>
        <v>45834</v>
      </c>
      <c r="H69" s="19">
        <f t="shared" si="0"/>
        <v>0</v>
      </c>
    </row>
    <row r="70" spans="1:8" ht="28.5" customHeight="1" x14ac:dyDescent="0.3">
      <c r="A70" s="23">
        <v>45127</v>
      </c>
      <c r="B70" s="14">
        <f t="shared" ref="B70:B133" si="2">B69+1</f>
        <v>1593</v>
      </c>
      <c r="C70" s="25"/>
      <c r="D70" s="75" t="s">
        <v>15</v>
      </c>
      <c r="E70" s="21">
        <v>4169</v>
      </c>
      <c r="F70" s="22">
        <v>45129</v>
      </c>
      <c r="G70" s="31">
        <v>4169</v>
      </c>
      <c r="H70" s="19">
        <f t="shared" si="0"/>
        <v>0</v>
      </c>
    </row>
    <row r="71" spans="1:8" ht="28.5" customHeight="1" x14ac:dyDescent="0.25">
      <c r="A71" s="23">
        <v>45127</v>
      </c>
      <c r="B71" s="14">
        <f t="shared" si="2"/>
        <v>1594</v>
      </c>
      <c r="C71" s="25"/>
      <c r="D71" s="20" t="s">
        <v>13</v>
      </c>
      <c r="E71" s="21">
        <v>5480</v>
      </c>
      <c r="F71" s="22">
        <v>45129</v>
      </c>
      <c r="G71" s="31">
        <v>5480</v>
      </c>
      <c r="H71" s="19">
        <f t="shared" si="0"/>
        <v>0</v>
      </c>
    </row>
    <row r="72" spans="1:8" ht="28.5" customHeight="1" x14ac:dyDescent="0.25">
      <c r="A72" s="23">
        <v>45127</v>
      </c>
      <c r="B72" s="14">
        <f t="shared" si="2"/>
        <v>1595</v>
      </c>
      <c r="C72" s="25"/>
      <c r="D72" s="20" t="s">
        <v>14</v>
      </c>
      <c r="E72" s="21">
        <v>3038</v>
      </c>
      <c r="F72" s="22">
        <v>45128</v>
      </c>
      <c r="G72" s="31">
        <v>3038</v>
      </c>
      <c r="H72" s="19">
        <f t="shared" si="0"/>
        <v>0</v>
      </c>
    </row>
    <row r="73" spans="1:8" ht="35.25" customHeight="1" x14ac:dyDescent="0.25">
      <c r="A73" s="23">
        <v>45128</v>
      </c>
      <c r="B73" s="14">
        <f t="shared" si="2"/>
        <v>1596</v>
      </c>
      <c r="C73" s="25"/>
      <c r="D73" s="20" t="s">
        <v>168</v>
      </c>
      <c r="E73" s="21">
        <v>46157</v>
      </c>
      <c r="F73" s="22" t="s">
        <v>170</v>
      </c>
      <c r="G73" s="31">
        <f>25000+21157</f>
        <v>46157</v>
      </c>
      <c r="H73" s="19">
        <f t="shared" si="0"/>
        <v>0</v>
      </c>
    </row>
    <row r="74" spans="1:8" ht="36" customHeight="1" x14ac:dyDescent="0.25">
      <c r="A74" s="23">
        <v>45128</v>
      </c>
      <c r="B74" s="14">
        <f t="shared" si="2"/>
        <v>1597</v>
      </c>
      <c r="C74" s="25"/>
      <c r="D74" s="20" t="s">
        <v>153</v>
      </c>
      <c r="E74" s="21">
        <v>4763</v>
      </c>
      <c r="F74" s="22">
        <v>45129</v>
      </c>
      <c r="G74" s="31">
        <v>4763</v>
      </c>
      <c r="H74" s="19">
        <f t="shared" si="0"/>
        <v>0</v>
      </c>
    </row>
    <row r="75" spans="1:8" ht="30" customHeight="1" x14ac:dyDescent="0.25">
      <c r="A75" s="23">
        <v>45128</v>
      </c>
      <c r="B75" s="14">
        <f t="shared" si="2"/>
        <v>1598</v>
      </c>
      <c r="C75" s="25"/>
      <c r="D75" s="20" t="s">
        <v>15</v>
      </c>
      <c r="E75" s="21">
        <v>5263</v>
      </c>
      <c r="F75" s="66" t="s">
        <v>171</v>
      </c>
      <c r="G75" s="67">
        <f>2000+3263</f>
        <v>5263</v>
      </c>
      <c r="H75" s="19">
        <f t="shared" si="0"/>
        <v>0</v>
      </c>
    </row>
    <row r="76" spans="1:8" ht="26.25" customHeight="1" x14ac:dyDescent="0.25">
      <c r="A76" s="23">
        <v>45128</v>
      </c>
      <c r="B76" s="14">
        <f t="shared" si="2"/>
        <v>1599</v>
      </c>
      <c r="C76" s="25"/>
      <c r="D76" s="20" t="s">
        <v>16</v>
      </c>
      <c r="E76" s="21">
        <v>11263</v>
      </c>
      <c r="F76" s="22">
        <v>45130</v>
      </c>
      <c r="G76" s="31">
        <v>11263</v>
      </c>
      <c r="H76" s="19">
        <f t="shared" si="0"/>
        <v>0</v>
      </c>
    </row>
    <row r="77" spans="1:8" ht="26.25" customHeight="1" x14ac:dyDescent="0.25">
      <c r="A77" s="23">
        <v>45128</v>
      </c>
      <c r="B77" s="14">
        <f t="shared" si="2"/>
        <v>1600</v>
      </c>
      <c r="C77" s="25"/>
      <c r="D77" s="20" t="s">
        <v>13</v>
      </c>
      <c r="E77" s="21">
        <v>4940</v>
      </c>
      <c r="F77" s="22">
        <v>45129</v>
      </c>
      <c r="G77" s="31">
        <v>4940</v>
      </c>
      <c r="H77" s="19">
        <f t="shared" si="0"/>
        <v>0</v>
      </c>
    </row>
    <row r="78" spans="1:8" ht="36" customHeight="1" x14ac:dyDescent="0.25">
      <c r="A78" s="23">
        <v>45128</v>
      </c>
      <c r="B78" s="14">
        <f t="shared" si="2"/>
        <v>1601</v>
      </c>
      <c r="C78" s="25"/>
      <c r="D78" s="20" t="s">
        <v>25</v>
      </c>
      <c r="E78" s="21">
        <v>13825</v>
      </c>
      <c r="F78" s="22">
        <v>45131</v>
      </c>
      <c r="G78" s="31">
        <v>13825</v>
      </c>
      <c r="H78" s="19">
        <f t="shared" si="0"/>
        <v>0</v>
      </c>
    </row>
    <row r="79" spans="1:8" ht="26.25" customHeight="1" x14ac:dyDescent="0.25">
      <c r="A79" s="23">
        <v>45128</v>
      </c>
      <c r="B79" s="14">
        <f t="shared" si="2"/>
        <v>1602</v>
      </c>
      <c r="C79" s="25"/>
      <c r="D79" s="20" t="s">
        <v>13</v>
      </c>
      <c r="E79" s="21">
        <v>594</v>
      </c>
      <c r="F79" s="22">
        <v>45129</v>
      </c>
      <c r="G79" s="31">
        <v>594</v>
      </c>
      <c r="H79" s="19">
        <f t="shared" si="0"/>
        <v>0</v>
      </c>
    </row>
    <row r="80" spans="1:8" ht="25.5" customHeight="1" x14ac:dyDescent="0.25">
      <c r="A80" s="23">
        <v>45128</v>
      </c>
      <c r="B80" s="14">
        <f t="shared" si="2"/>
        <v>1603</v>
      </c>
      <c r="C80" s="25"/>
      <c r="D80" s="20" t="s">
        <v>14</v>
      </c>
      <c r="E80" s="21">
        <v>5704</v>
      </c>
      <c r="F80" s="22">
        <v>45129</v>
      </c>
      <c r="G80" s="31">
        <v>5704</v>
      </c>
      <c r="H80" s="19">
        <f t="shared" si="0"/>
        <v>0</v>
      </c>
    </row>
    <row r="81" spans="1:8" ht="35.25" customHeight="1" x14ac:dyDescent="0.25">
      <c r="A81" s="23">
        <v>45128</v>
      </c>
      <c r="B81" s="14">
        <f t="shared" si="2"/>
        <v>1604</v>
      </c>
      <c r="C81" s="25"/>
      <c r="D81" s="20" t="s">
        <v>114</v>
      </c>
      <c r="E81" s="21">
        <v>12315</v>
      </c>
      <c r="F81" s="22">
        <v>45129</v>
      </c>
      <c r="G81" s="31">
        <v>12315</v>
      </c>
      <c r="H81" s="19">
        <f t="shared" si="0"/>
        <v>0</v>
      </c>
    </row>
    <row r="82" spans="1:8" ht="28.5" customHeight="1" x14ac:dyDescent="0.25">
      <c r="A82" s="23">
        <v>45128</v>
      </c>
      <c r="B82" s="14">
        <f t="shared" si="2"/>
        <v>1605</v>
      </c>
      <c r="C82" s="25"/>
      <c r="D82" s="20" t="s">
        <v>24</v>
      </c>
      <c r="E82" s="21">
        <v>10190</v>
      </c>
      <c r="F82" s="22">
        <v>45137</v>
      </c>
      <c r="G82" s="31">
        <f>10000+190</f>
        <v>10190</v>
      </c>
      <c r="H82" s="19">
        <f t="shared" si="0"/>
        <v>0</v>
      </c>
    </row>
    <row r="83" spans="1:8" ht="25.5" customHeight="1" x14ac:dyDescent="0.25">
      <c r="A83" s="23">
        <v>45128</v>
      </c>
      <c r="B83" s="14">
        <f t="shared" si="2"/>
        <v>1606</v>
      </c>
      <c r="C83" s="25"/>
      <c r="D83" s="20" t="s">
        <v>15</v>
      </c>
      <c r="E83" s="21">
        <v>4568</v>
      </c>
      <c r="F83" s="22">
        <v>45130</v>
      </c>
      <c r="G83" s="31">
        <v>4568</v>
      </c>
      <c r="H83" s="19">
        <f t="shared" si="0"/>
        <v>0</v>
      </c>
    </row>
    <row r="84" spans="1:8" ht="31.5" x14ac:dyDescent="0.25">
      <c r="A84" s="23">
        <v>45129</v>
      </c>
      <c r="B84" s="14">
        <f t="shared" si="2"/>
        <v>1607</v>
      </c>
      <c r="C84" s="25"/>
      <c r="D84" s="20" t="s">
        <v>15</v>
      </c>
      <c r="E84" s="21">
        <v>5476</v>
      </c>
      <c r="F84" s="66" t="s">
        <v>172</v>
      </c>
      <c r="G84" s="67">
        <f>2000+3476</f>
        <v>5476</v>
      </c>
      <c r="H84" s="19">
        <f t="shared" si="0"/>
        <v>0</v>
      </c>
    </row>
    <row r="85" spans="1:8" ht="25.5" customHeight="1" x14ac:dyDescent="0.25">
      <c r="A85" s="23">
        <v>45129</v>
      </c>
      <c r="B85" s="14">
        <f t="shared" si="2"/>
        <v>1608</v>
      </c>
      <c r="C85" s="25"/>
      <c r="D85" s="20" t="s">
        <v>15</v>
      </c>
      <c r="E85" s="21">
        <v>608</v>
      </c>
      <c r="F85" s="22">
        <v>45130</v>
      </c>
      <c r="G85" s="31">
        <v>608</v>
      </c>
      <c r="H85" s="19">
        <f t="shared" si="0"/>
        <v>0</v>
      </c>
    </row>
    <row r="86" spans="1:8" ht="27.75" customHeight="1" x14ac:dyDescent="0.25">
      <c r="A86" s="23">
        <v>45129</v>
      </c>
      <c r="B86" s="14">
        <f t="shared" si="2"/>
        <v>1609</v>
      </c>
      <c r="C86" s="25"/>
      <c r="D86" s="20" t="s">
        <v>13</v>
      </c>
      <c r="E86" s="21">
        <v>4759</v>
      </c>
      <c r="F86" s="22">
        <v>45130</v>
      </c>
      <c r="G86" s="31">
        <v>4759</v>
      </c>
      <c r="H86" s="19">
        <f t="shared" si="0"/>
        <v>0</v>
      </c>
    </row>
    <row r="87" spans="1:8" ht="25.5" customHeight="1" x14ac:dyDescent="0.25">
      <c r="A87" s="23">
        <v>45129</v>
      </c>
      <c r="B87" s="14">
        <f t="shared" si="2"/>
        <v>1610</v>
      </c>
      <c r="C87" s="25"/>
      <c r="D87" s="20" t="s">
        <v>14</v>
      </c>
      <c r="E87" s="21">
        <v>3224</v>
      </c>
      <c r="F87" s="22">
        <v>45130</v>
      </c>
      <c r="G87" s="31">
        <v>3224</v>
      </c>
      <c r="H87" s="19">
        <f t="shared" si="0"/>
        <v>0</v>
      </c>
    </row>
    <row r="88" spans="1:8" ht="25.5" customHeight="1" x14ac:dyDescent="0.25">
      <c r="A88" s="23">
        <v>45129</v>
      </c>
      <c r="B88" s="14">
        <f t="shared" si="2"/>
        <v>1611</v>
      </c>
      <c r="C88" s="25"/>
      <c r="D88" s="20" t="s">
        <v>13</v>
      </c>
      <c r="E88" s="21">
        <v>1198</v>
      </c>
      <c r="F88" s="22">
        <v>45130</v>
      </c>
      <c r="G88" s="31">
        <v>1198</v>
      </c>
      <c r="H88" s="19">
        <f t="shared" si="0"/>
        <v>0</v>
      </c>
    </row>
    <row r="89" spans="1:8" ht="25.5" customHeight="1" x14ac:dyDescent="0.25">
      <c r="A89" s="23">
        <v>45129</v>
      </c>
      <c r="B89" s="14">
        <f t="shared" si="2"/>
        <v>1612</v>
      </c>
      <c r="C89" s="25"/>
      <c r="D89" s="20" t="s">
        <v>114</v>
      </c>
      <c r="E89" s="21">
        <v>10090</v>
      </c>
      <c r="F89" s="22">
        <v>45131</v>
      </c>
      <c r="G89" s="31">
        <v>10090</v>
      </c>
      <c r="H89" s="19">
        <f t="shared" si="0"/>
        <v>0</v>
      </c>
    </row>
    <row r="90" spans="1:8" ht="33" customHeight="1" x14ac:dyDescent="0.25">
      <c r="A90" s="23">
        <v>45129</v>
      </c>
      <c r="B90" s="14">
        <f t="shared" si="2"/>
        <v>1613</v>
      </c>
      <c r="C90" s="25"/>
      <c r="D90" s="34" t="s">
        <v>12</v>
      </c>
      <c r="E90" s="21">
        <v>307</v>
      </c>
      <c r="F90" s="22">
        <v>45133</v>
      </c>
      <c r="G90" s="31">
        <v>307</v>
      </c>
      <c r="H90" s="19">
        <f t="shared" si="0"/>
        <v>0</v>
      </c>
    </row>
    <row r="91" spans="1:8" ht="31.5" x14ac:dyDescent="0.25">
      <c r="A91" s="23">
        <v>45130</v>
      </c>
      <c r="B91" s="14">
        <f t="shared" si="2"/>
        <v>1614</v>
      </c>
      <c r="C91" s="25"/>
      <c r="D91" s="34" t="s">
        <v>93</v>
      </c>
      <c r="E91" s="21">
        <v>10051</v>
      </c>
      <c r="F91" s="22" t="s">
        <v>172</v>
      </c>
      <c r="G91" s="31">
        <f>2700+7351</f>
        <v>10051</v>
      </c>
      <c r="H91" s="19">
        <f t="shared" si="0"/>
        <v>0</v>
      </c>
    </row>
    <row r="92" spans="1:8" ht="56.25" customHeight="1" x14ac:dyDescent="0.25">
      <c r="A92" s="23">
        <v>45130</v>
      </c>
      <c r="B92" s="14">
        <f t="shared" si="2"/>
        <v>1615</v>
      </c>
      <c r="C92" s="25"/>
      <c r="D92" s="34" t="s">
        <v>15</v>
      </c>
      <c r="E92" s="21">
        <v>3026</v>
      </c>
      <c r="F92" s="22" t="s">
        <v>174</v>
      </c>
      <c r="G92" s="31">
        <f>1500+1200+326</f>
        <v>3026</v>
      </c>
      <c r="H92" s="19">
        <f t="shared" si="0"/>
        <v>0</v>
      </c>
    </row>
    <row r="93" spans="1:8" ht="31.5" x14ac:dyDescent="0.25">
      <c r="A93" s="23">
        <v>45130</v>
      </c>
      <c r="B93" s="14">
        <f t="shared" si="2"/>
        <v>1616</v>
      </c>
      <c r="C93" s="25"/>
      <c r="D93" s="34" t="s">
        <v>153</v>
      </c>
      <c r="E93" s="21">
        <v>12301</v>
      </c>
      <c r="F93" s="22" t="s">
        <v>173</v>
      </c>
      <c r="G93" s="31">
        <f>9000+3301</f>
        <v>12301</v>
      </c>
      <c r="H93" s="19">
        <f t="shared" si="0"/>
        <v>0</v>
      </c>
    </row>
    <row r="94" spans="1:8" ht="25.5" customHeight="1" x14ac:dyDescent="0.25">
      <c r="A94" s="23">
        <v>45130</v>
      </c>
      <c r="B94" s="14">
        <f t="shared" si="2"/>
        <v>1617</v>
      </c>
      <c r="C94" s="25"/>
      <c r="D94" s="34" t="s">
        <v>13</v>
      </c>
      <c r="E94" s="21">
        <v>5077</v>
      </c>
      <c r="F94" s="22">
        <v>45131</v>
      </c>
      <c r="G94" s="31">
        <v>5077</v>
      </c>
      <c r="H94" s="19">
        <f t="shared" si="0"/>
        <v>0</v>
      </c>
    </row>
    <row r="95" spans="1:8" ht="31.5" x14ac:dyDescent="0.25">
      <c r="A95" s="23">
        <v>45130</v>
      </c>
      <c r="B95" s="14">
        <f t="shared" si="2"/>
        <v>1618</v>
      </c>
      <c r="C95" s="25"/>
      <c r="D95" s="34" t="s">
        <v>16</v>
      </c>
      <c r="E95" s="21">
        <v>11918</v>
      </c>
      <c r="F95" s="22" t="s">
        <v>175</v>
      </c>
      <c r="G95" s="31">
        <f>4000+7918</f>
        <v>11918</v>
      </c>
      <c r="H95" s="19">
        <f t="shared" si="0"/>
        <v>0</v>
      </c>
    </row>
    <row r="96" spans="1:8" ht="26.25" customHeight="1" x14ac:dyDescent="0.25">
      <c r="A96" s="23">
        <v>45130</v>
      </c>
      <c r="B96" s="14">
        <f t="shared" si="2"/>
        <v>1619</v>
      </c>
      <c r="C96" s="25"/>
      <c r="D96" s="34" t="s">
        <v>14</v>
      </c>
      <c r="E96" s="21">
        <v>4004</v>
      </c>
      <c r="F96" s="22">
        <v>45131</v>
      </c>
      <c r="G96" s="31">
        <v>4004</v>
      </c>
      <c r="H96" s="19">
        <f t="shared" si="0"/>
        <v>0</v>
      </c>
    </row>
    <row r="97" spans="1:8" ht="44.25" customHeight="1" x14ac:dyDescent="0.25">
      <c r="A97" s="23">
        <v>45131</v>
      </c>
      <c r="B97" s="14">
        <f t="shared" si="2"/>
        <v>1620</v>
      </c>
      <c r="C97" s="25"/>
      <c r="D97" s="34" t="s">
        <v>168</v>
      </c>
      <c r="E97" s="21">
        <v>8170</v>
      </c>
      <c r="F97" s="22">
        <v>45132</v>
      </c>
      <c r="G97" s="31">
        <v>8170</v>
      </c>
      <c r="H97" s="19">
        <f t="shared" si="0"/>
        <v>0</v>
      </c>
    </row>
    <row r="98" spans="1:8" ht="25.5" customHeight="1" x14ac:dyDescent="0.25">
      <c r="A98" s="23">
        <v>45131</v>
      </c>
      <c r="B98" s="14">
        <f t="shared" si="2"/>
        <v>1621</v>
      </c>
      <c r="C98" s="25"/>
      <c r="D98" s="34" t="s">
        <v>168</v>
      </c>
      <c r="E98" s="21">
        <v>4377</v>
      </c>
      <c r="F98" s="22">
        <v>45132</v>
      </c>
      <c r="G98" s="31">
        <v>4377</v>
      </c>
      <c r="H98" s="19">
        <f t="shared" si="0"/>
        <v>0</v>
      </c>
    </row>
    <row r="99" spans="1:8" ht="25.5" customHeight="1" x14ac:dyDescent="0.25">
      <c r="A99" s="23">
        <v>45131</v>
      </c>
      <c r="B99" s="14">
        <f t="shared" si="2"/>
        <v>1622</v>
      </c>
      <c r="C99" s="25"/>
      <c r="D99" s="34" t="s">
        <v>13</v>
      </c>
      <c r="E99" s="21">
        <v>3042</v>
      </c>
      <c r="F99" s="22">
        <v>45132</v>
      </c>
      <c r="G99" s="31">
        <v>3042</v>
      </c>
      <c r="H99" s="19">
        <f t="shared" si="0"/>
        <v>0</v>
      </c>
    </row>
    <row r="100" spans="1:8" ht="25.5" customHeight="1" x14ac:dyDescent="0.25">
      <c r="A100" s="23">
        <v>45131</v>
      </c>
      <c r="B100" s="14">
        <f t="shared" si="2"/>
        <v>1623</v>
      </c>
      <c r="C100" s="25"/>
      <c r="D100" s="34" t="s">
        <v>14</v>
      </c>
      <c r="E100" s="21">
        <v>5015</v>
      </c>
      <c r="F100" s="22">
        <v>45132</v>
      </c>
      <c r="G100" s="31">
        <v>5015</v>
      </c>
      <c r="H100" s="19">
        <f t="shared" si="0"/>
        <v>0</v>
      </c>
    </row>
    <row r="101" spans="1:8" ht="25.5" customHeight="1" x14ac:dyDescent="0.25">
      <c r="A101" s="23">
        <v>45131</v>
      </c>
      <c r="B101" s="14">
        <f t="shared" si="2"/>
        <v>1624</v>
      </c>
      <c r="C101" s="25"/>
      <c r="D101" s="34" t="s">
        <v>13</v>
      </c>
      <c r="E101" s="21">
        <v>2608</v>
      </c>
      <c r="F101" s="22">
        <v>45132</v>
      </c>
      <c r="G101" s="31">
        <v>2608</v>
      </c>
      <c r="H101" s="19">
        <f t="shared" si="0"/>
        <v>0</v>
      </c>
    </row>
    <row r="102" spans="1:8" ht="25.5" customHeight="1" x14ac:dyDescent="0.25">
      <c r="A102" s="23">
        <v>45131</v>
      </c>
      <c r="B102" s="14">
        <f t="shared" si="2"/>
        <v>1625</v>
      </c>
      <c r="C102" s="25"/>
      <c r="D102" s="34" t="s">
        <v>25</v>
      </c>
      <c r="E102" s="21">
        <v>1988</v>
      </c>
      <c r="F102" s="22">
        <v>45134</v>
      </c>
      <c r="G102" s="31">
        <v>1988</v>
      </c>
      <c r="H102" s="19">
        <f t="shared" si="0"/>
        <v>0</v>
      </c>
    </row>
    <row r="103" spans="1:8" ht="31.5" x14ac:dyDescent="0.25">
      <c r="A103" s="23">
        <v>45132</v>
      </c>
      <c r="B103" s="14">
        <f t="shared" si="2"/>
        <v>1626</v>
      </c>
      <c r="C103" s="25"/>
      <c r="D103" s="34" t="s">
        <v>15</v>
      </c>
      <c r="E103" s="21">
        <v>5328</v>
      </c>
      <c r="F103" s="22" t="s">
        <v>178</v>
      </c>
      <c r="G103" s="31">
        <f>3500+1828</f>
        <v>5328</v>
      </c>
      <c r="H103" s="19">
        <f t="shared" si="0"/>
        <v>0</v>
      </c>
    </row>
    <row r="104" spans="1:8" ht="25.5" customHeight="1" x14ac:dyDescent="0.25">
      <c r="A104" s="23">
        <v>45132</v>
      </c>
      <c r="B104" s="14">
        <f t="shared" si="2"/>
        <v>1627</v>
      </c>
      <c r="C104" s="25"/>
      <c r="D104" s="34" t="s">
        <v>13</v>
      </c>
      <c r="E104" s="21">
        <v>5342</v>
      </c>
      <c r="F104" s="22">
        <v>45133</v>
      </c>
      <c r="G104" s="31">
        <v>5342</v>
      </c>
      <c r="H104" s="19">
        <f t="shared" si="0"/>
        <v>0</v>
      </c>
    </row>
    <row r="105" spans="1:8" ht="31.5" x14ac:dyDescent="0.25">
      <c r="A105" s="23">
        <v>45132</v>
      </c>
      <c r="B105" s="14">
        <f t="shared" si="2"/>
        <v>1628</v>
      </c>
      <c r="C105" s="25"/>
      <c r="D105" s="34" t="s">
        <v>16</v>
      </c>
      <c r="E105" s="21">
        <v>12709</v>
      </c>
      <c r="F105" s="22" t="s">
        <v>178</v>
      </c>
      <c r="G105" s="31">
        <f>5600+7109</f>
        <v>12709</v>
      </c>
      <c r="H105" s="19">
        <f t="shared" si="0"/>
        <v>0</v>
      </c>
    </row>
    <row r="106" spans="1:8" ht="25.5" customHeight="1" x14ac:dyDescent="0.25">
      <c r="A106" s="23">
        <v>45132</v>
      </c>
      <c r="B106" s="14">
        <f t="shared" si="2"/>
        <v>1629</v>
      </c>
      <c r="C106" s="25"/>
      <c r="D106" s="34" t="s">
        <v>14</v>
      </c>
      <c r="E106" s="21">
        <v>5057</v>
      </c>
      <c r="F106" s="22">
        <v>45134</v>
      </c>
      <c r="G106" s="31">
        <v>5057</v>
      </c>
      <c r="H106" s="19">
        <f t="shared" si="0"/>
        <v>0</v>
      </c>
    </row>
    <row r="107" spans="1:8" ht="25.5" customHeight="1" x14ac:dyDescent="0.25">
      <c r="A107" s="23">
        <v>45132</v>
      </c>
      <c r="B107" s="14">
        <f t="shared" si="2"/>
        <v>1630</v>
      </c>
      <c r="C107" s="25"/>
      <c r="D107" s="34" t="s">
        <v>114</v>
      </c>
      <c r="E107" s="21">
        <v>10923</v>
      </c>
      <c r="F107" s="22">
        <v>45133</v>
      </c>
      <c r="G107" s="31">
        <v>10923</v>
      </c>
      <c r="H107" s="19">
        <f t="shared" si="0"/>
        <v>0</v>
      </c>
    </row>
    <row r="108" spans="1:8" ht="31.5" x14ac:dyDescent="0.25">
      <c r="A108" s="23">
        <v>45132</v>
      </c>
      <c r="B108" s="14">
        <f t="shared" si="2"/>
        <v>1631</v>
      </c>
      <c r="C108" s="25"/>
      <c r="D108" s="34" t="s">
        <v>17</v>
      </c>
      <c r="E108" s="21">
        <v>12640</v>
      </c>
      <c r="F108" s="64" t="s">
        <v>197</v>
      </c>
      <c r="G108" s="65">
        <f>9500+3140</f>
        <v>12640</v>
      </c>
      <c r="H108" s="19">
        <f t="shared" si="0"/>
        <v>0</v>
      </c>
    </row>
    <row r="109" spans="1:8" ht="25.5" customHeight="1" x14ac:dyDescent="0.25">
      <c r="A109" s="23">
        <v>45132</v>
      </c>
      <c r="B109" s="14">
        <f t="shared" si="2"/>
        <v>1632</v>
      </c>
      <c r="C109" s="25"/>
      <c r="D109" s="34" t="s">
        <v>15</v>
      </c>
      <c r="E109" s="21">
        <v>380</v>
      </c>
      <c r="F109" s="22">
        <v>45133</v>
      </c>
      <c r="G109" s="31">
        <v>380</v>
      </c>
      <c r="H109" s="19">
        <f t="shared" si="0"/>
        <v>0</v>
      </c>
    </row>
    <row r="110" spans="1:8" ht="25.5" customHeight="1" x14ac:dyDescent="0.25">
      <c r="A110" s="23">
        <v>45133</v>
      </c>
      <c r="B110" s="14">
        <f t="shared" si="2"/>
        <v>1633</v>
      </c>
      <c r="C110" s="25"/>
      <c r="D110" s="34" t="s">
        <v>12</v>
      </c>
      <c r="E110" s="21">
        <v>256</v>
      </c>
      <c r="F110" s="22">
        <v>45135</v>
      </c>
      <c r="G110" s="31">
        <v>256</v>
      </c>
      <c r="H110" s="19">
        <f t="shared" si="0"/>
        <v>0</v>
      </c>
    </row>
    <row r="111" spans="1:8" ht="25.5" customHeight="1" x14ac:dyDescent="0.25">
      <c r="A111" s="23">
        <v>45133</v>
      </c>
      <c r="B111" s="14">
        <f t="shared" si="2"/>
        <v>1634</v>
      </c>
      <c r="C111" s="25"/>
      <c r="D111" s="34" t="s">
        <v>13</v>
      </c>
      <c r="E111" s="21">
        <v>3068</v>
      </c>
      <c r="F111" s="22">
        <v>45134</v>
      </c>
      <c r="G111" s="31">
        <v>3068</v>
      </c>
      <c r="H111" s="19">
        <f t="shared" si="0"/>
        <v>0</v>
      </c>
    </row>
    <row r="112" spans="1:8" ht="25.5" customHeight="1" x14ac:dyDescent="0.25">
      <c r="A112" s="23">
        <v>45133</v>
      </c>
      <c r="B112" s="14">
        <f t="shared" si="2"/>
        <v>1635</v>
      </c>
      <c r="C112" s="25"/>
      <c r="D112" s="34" t="s">
        <v>13</v>
      </c>
      <c r="E112" s="21">
        <v>1035</v>
      </c>
      <c r="F112" s="22">
        <v>45134</v>
      </c>
      <c r="G112" s="31">
        <v>1035</v>
      </c>
      <c r="H112" s="19">
        <f t="shared" si="0"/>
        <v>0</v>
      </c>
    </row>
    <row r="113" spans="1:8" ht="25.5" customHeight="1" x14ac:dyDescent="0.25">
      <c r="A113" s="23">
        <v>45133</v>
      </c>
      <c r="B113" s="14">
        <f t="shared" si="2"/>
        <v>1636</v>
      </c>
      <c r="C113" s="25"/>
      <c r="D113" s="34" t="s">
        <v>13</v>
      </c>
      <c r="E113" s="21">
        <v>478</v>
      </c>
      <c r="F113" s="22">
        <v>45134</v>
      </c>
      <c r="G113" s="31">
        <v>478</v>
      </c>
      <c r="H113" s="19">
        <f t="shared" si="0"/>
        <v>0</v>
      </c>
    </row>
    <row r="114" spans="1:8" ht="31.5" x14ac:dyDescent="0.25">
      <c r="A114" s="23">
        <v>45134</v>
      </c>
      <c r="B114" s="14">
        <f t="shared" si="2"/>
        <v>1637</v>
      </c>
      <c r="C114" s="25"/>
      <c r="D114" s="34" t="s">
        <v>157</v>
      </c>
      <c r="E114" s="21">
        <v>30514</v>
      </c>
      <c r="F114" s="66" t="s">
        <v>177</v>
      </c>
      <c r="G114" s="67">
        <f>5000+25514</f>
        <v>30514</v>
      </c>
      <c r="H114" s="19">
        <f t="shared" si="0"/>
        <v>0</v>
      </c>
    </row>
    <row r="115" spans="1:8" ht="25.5" customHeight="1" x14ac:dyDescent="0.25">
      <c r="A115" s="23">
        <v>45134</v>
      </c>
      <c r="B115" s="14">
        <f t="shared" si="2"/>
        <v>1638</v>
      </c>
      <c r="C115" s="25"/>
      <c r="D115" s="34" t="s">
        <v>176</v>
      </c>
      <c r="E115" s="21">
        <v>1183</v>
      </c>
      <c r="F115" s="22">
        <v>45134</v>
      </c>
      <c r="G115" s="31">
        <v>1183</v>
      </c>
      <c r="H115" s="19">
        <f t="shared" si="0"/>
        <v>0</v>
      </c>
    </row>
    <row r="116" spans="1:8" ht="25.5" customHeight="1" x14ac:dyDescent="0.25">
      <c r="A116" s="23">
        <v>45134</v>
      </c>
      <c r="B116" s="14">
        <f t="shared" si="2"/>
        <v>1639</v>
      </c>
      <c r="C116" s="25"/>
      <c r="D116" s="34" t="s">
        <v>12</v>
      </c>
      <c r="E116" s="21">
        <v>231</v>
      </c>
      <c r="F116" s="22">
        <v>45135</v>
      </c>
      <c r="G116" s="31">
        <v>231</v>
      </c>
      <c r="H116" s="19">
        <f t="shared" si="0"/>
        <v>0</v>
      </c>
    </row>
    <row r="117" spans="1:8" ht="25.5" customHeight="1" x14ac:dyDescent="0.25">
      <c r="A117" s="23">
        <v>45134</v>
      </c>
      <c r="B117" s="14">
        <f t="shared" si="2"/>
        <v>1640</v>
      </c>
      <c r="C117" s="25"/>
      <c r="D117" s="34" t="s">
        <v>15</v>
      </c>
      <c r="E117" s="21">
        <v>3385</v>
      </c>
      <c r="F117" s="22">
        <v>45136</v>
      </c>
      <c r="G117" s="31">
        <v>3385</v>
      </c>
      <c r="H117" s="19">
        <f t="shared" si="0"/>
        <v>0</v>
      </c>
    </row>
    <row r="118" spans="1:8" ht="25.5" customHeight="1" x14ac:dyDescent="0.25">
      <c r="A118" s="23">
        <v>45134</v>
      </c>
      <c r="B118" s="14">
        <f t="shared" si="2"/>
        <v>1641</v>
      </c>
      <c r="C118" s="25"/>
      <c r="D118" s="34" t="s">
        <v>93</v>
      </c>
      <c r="E118" s="21">
        <v>216</v>
      </c>
      <c r="F118" s="22">
        <v>45135</v>
      </c>
      <c r="G118" s="31">
        <v>216</v>
      </c>
      <c r="H118" s="19">
        <f t="shared" si="0"/>
        <v>0</v>
      </c>
    </row>
    <row r="119" spans="1:8" ht="25.5" customHeight="1" x14ac:dyDescent="0.25">
      <c r="A119" s="23">
        <v>45134</v>
      </c>
      <c r="B119" s="14">
        <f t="shared" si="2"/>
        <v>1642</v>
      </c>
      <c r="C119" s="25"/>
      <c r="D119" s="34" t="s">
        <v>14</v>
      </c>
      <c r="E119" s="21">
        <v>917</v>
      </c>
      <c r="F119" s="22">
        <v>45135</v>
      </c>
      <c r="G119" s="31">
        <v>917</v>
      </c>
      <c r="H119" s="19">
        <f t="shared" si="0"/>
        <v>0</v>
      </c>
    </row>
    <row r="120" spans="1:8" ht="25.5" customHeight="1" x14ac:dyDescent="0.25">
      <c r="A120" s="23">
        <v>45134</v>
      </c>
      <c r="B120" s="14">
        <f t="shared" si="2"/>
        <v>1643</v>
      </c>
      <c r="C120" s="25"/>
      <c r="D120" s="34" t="s">
        <v>13</v>
      </c>
      <c r="E120" s="21">
        <v>4345</v>
      </c>
      <c r="F120" s="22">
        <v>45135</v>
      </c>
      <c r="G120" s="31">
        <v>4345</v>
      </c>
      <c r="H120" s="19">
        <f t="shared" si="0"/>
        <v>0</v>
      </c>
    </row>
    <row r="121" spans="1:8" ht="25.5" customHeight="1" x14ac:dyDescent="0.25">
      <c r="A121" s="23">
        <v>45134</v>
      </c>
      <c r="B121" s="14">
        <f t="shared" si="2"/>
        <v>1644</v>
      </c>
      <c r="C121" s="25"/>
      <c r="D121" s="34" t="s">
        <v>14</v>
      </c>
      <c r="E121" s="21">
        <v>580</v>
      </c>
      <c r="F121" s="22">
        <v>45135</v>
      </c>
      <c r="G121" s="31">
        <v>580</v>
      </c>
      <c r="H121" s="19">
        <f t="shared" si="0"/>
        <v>0</v>
      </c>
    </row>
    <row r="122" spans="1:8" ht="25.5" customHeight="1" x14ac:dyDescent="0.25">
      <c r="A122" s="23">
        <v>45134</v>
      </c>
      <c r="B122" s="14">
        <f t="shared" si="2"/>
        <v>1645</v>
      </c>
      <c r="C122" s="25"/>
      <c r="D122" s="34" t="s">
        <v>25</v>
      </c>
      <c r="E122" s="21">
        <v>1758</v>
      </c>
      <c r="F122" s="22">
        <v>45135</v>
      </c>
      <c r="G122" s="31">
        <v>1758</v>
      </c>
      <c r="H122" s="19">
        <f t="shared" si="0"/>
        <v>0</v>
      </c>
    </row>
    <row r="123" spans="1:8" ht="25.5" customHeight="1" x14ac:dyDescent="0.25">
      <c r="A123" s="23">
        <v>45134</v>
      </c>
      <c r="B123" s="14">
        <f t="shared" si="2"/>
        <v>1646</v>
      </c>
      <c r="C123" s="25"/>
      <c r="D123" s="34" t="s">
        <v>14</v>
      </c>
      <c r="E123" s="21">
        <v>1199</v>
      </c>
      <c r="F123" s="22">
        <v>45135</v>
      </c>
      <c r="G123" s="31">
        <v>1199</v>
      </c>
      <c r="H123" s="19">
        <f t="shared" si="0"/>
        <v>0</v>
      </c>
    </row>
    <row r="124" spans="1:8" ht="25.5" customHeight="1" x14ac:dyDescent="0.25">
      <c r="A124" s="23">
        <v>45134</v>
      </c>
      <c r="B124" s="14">
        <f t="shared" si="2"/>
        <v>1647</v>
      </c>
      <c r="C124" s="25"/>
      <c r="D124" s="34" t="s">
        <v>114</v>
      </c>
      <c r="E124" s="21">
        <v>10696</v>
      </c>
      <c r="F124" s="22">
        <v>45135</v>
      </c>
      <c r="G124" s="31">
        <v>10696</v>
      </c>
      <c r="H124" s="19">
        <f t="shared" si="0"/>
        <v>0</v>
      </c>
    </row>
    <row r="125" spans="1:8" ht="47.25" x14ac:dyDescent="0.25">
      <c r="A125" s="23">
        <v>45135</v>
      </c>
      <c r="B125" s="14">
        <f t="shared" si="2"/>
        <v>1648</v>
      </c>
      <c r="C125" s="25"/>
      <c r="D125" s="34" t="s">
        <v>157</v>
      </c>
      <c r="E125" s="21">
        <v>43327</v>
      </c>
      <c r="F125" s="22" t="s">
        <v>181</v>
      </c>
      <c r="G125" s="31">
        <f>15000+20000+8327</f>
        <v>43327</v>
      </c>
      <c r="H125" s="19">
        <f t="shared" si="0"/>
        <v>0</v>
      </c>
    </row>
    <row r="126" spans="1:8" ht="42" customHeight="1" x14ac:dyDescent="0.25">
      <c r="A126" s="23">
        <v>45135</v>
      </c>
      <c r="B126" s="14">
        <f t="shared" si="2"/>
        <v>1649</v>
      </c>
      <c r="C126" s="25"/>
      <c r="D126" s="34" t="s">
        <v>114</v>
      </c>
      <c r="E126" s="21">
        <v>9216</v>
      </c>
      <c r="F126" s="22" t="s">
        <v>180</v>
      </c>
      <c r="G126" s="31">
        <f>7000+2216</f>
        <v>9216</v>
      </c>
      <c r="H126" s="19">
        <f t="shared" si="0"/>
        <v>0</v>
      </c>
    </row>
    <row r="127" spans="1:8" ht="31.5" x14ac:dyDescent="0.25">
      <c r="A127" s="23">
        <v>45135</v>
      </c>
      <c r="B127" s="14">
        <f t="shared" si="2"/>
        <v>1650</v>
      </c>
      <c r="C127" s="25"/>
      <c r="D127" s="34" t="s">
        <v>14</v>
      </c>
      <c r="E127" s="21">
        <v>4061</v>
      </c>
      <c r="F127" s="22" t="s">
        <v>179</v>
      </c>
      <c r="G127" s="31">
        <f>2282+1779</f>
        <v>4061</v>
      </c>
      <c r="H127" s="19">
        <f t="shared" si="0"/>
        <v>0</v>
      </c>
    </row>
    <row r="128" spans="1:8" ht="42.75" customHeight="1" x14ac:dyDescent="0.25">
      <c r="A128" s="23">
        <v>45135</v>
      </c>
      <c r="B128" s="14">
        <f t="shared" si="2"/>
        <v>1651</v>
      </c>
      <c r="C128" s="25"/>
      <c r="D128" s="34" t="s">
        <v>15</v>
      </c>
      <c r="E128" s="21">
        <v>3300</v>
      </c>
      <c r="F128" s="22" t="s">
        <v>182</v>
      </c>
      <c r="G128" s="31">
        <f>1400+1900</f>
        <v>3300</v>
      </c>
      <c r="H128" s="19">
        <f t="shared" si="0"/>
        <v>0</v>
      </c>
    </row>
    <row r="129" spans="1:8" ht="25.5" customHeight="1" x14ac:dyDescent="0.25">
      <c r="A129" s="23">
        <v>45135</v>
      </c>
      <c r="B129" s="14">
        <f t="shared" si="2"/>
        <v>1652</v>
      </c>
      <c r="C129" s="25"/>
      <c r="D129" s="34" t="s">
        <v>13</v>
      </c>
      <c r="E129" s="21">
        <v>6008</v>
      </c>
      <c r="F129" s="22">
        <v>45136</v>
      </c>
      <c r="G129" s="31">
        <v>6008</v>
      </c>
      <c r="H129" s="19">
        <f t="shared" si="0"/>
        <v>0</v>
      </c>
    </row>
    <row r="130" spans="1:8" ht="42" customHeight="1" x14ac:dyDescent="0.25">
      <c r="A130" s="23">
        <v>45135</v>
      </c>
      <c r="B130" s="14">
        <f t="shared" si="2"/>
        <v>1653</v>
      </c>
      <c r="C130" s="25"/>
      <c r="D130" s="34" t="s">
        <v>16</v>
      </c>
      <c r="E130" s="21">
        <v>12500</v>
      </c>
      <c r="F130" s="64" t="s">
        <v>187</v>
      </c>
      <c r="G130" s="65">
        <f>1500+11000</f>
        <v>12500</v>
      </c>
      <c r="H130" s="19">
        <f t="shared" si="0"/>
        <v>0</v>
      </c>
    </row>
    <row r="131" spans="1:8" ht="25.5" customHeight="1" x14ac:dyDescent="0.25">
      <c r="A131" s="23">
        <v>45135</v>
      </c>
      <c r="B131" s="14">
        <f t="shared" si="2"/>
        <v>1654</v>
      </c>
      <c r="C131" s="25"/>
      <c r="D131" s="34" t="s">
        <v>24</v>
      </c>
      <c r="E131" s="21">
        <v>3435</v>
      </c>
      <c r="F131" s="64">
        <v>45144</v>
      </c>
      <c r="G131" s="65">
        <v>3435</v>
      </c>
      <c r="H131" s="19">
        <f t="shared" si="0"/>
        <v>0</v>
      </c>
    </row>
    <row r="132" spans="1:8" ht="25.5" customHeight="1" x14ac:dyDescent="0.25">
      <c r="A132" s="23">
        <v>45135</v>
      </c>
      <c r="B132" s="14">
        <f t="shared" si="2"/>
        <v>1655</v>
      </c>
      <c r="C132" s="25"/>
      <c r="D132" s="34" t="s">
        <v>25</v>
      </c>
      <c r="E132" s="21">
        <v>8171</v>
      </c>
      <c r="F132" s="64">
        <v>45140</v>
      </c>
      <c r="G132" s="65">
        <v>8171</v>
      </c>
      <c r="H132" s="19">
        <f t="shared" si="0"/>
        <v>0</v>
      </c>
    </row>
    <row r="133" spans="1:8" ht="33.75" customHeight="1" x14ac:dyDescent="0.25">
      <c r="A133" s="23">
        <v>45136</v>
      </c>
      <c r="B133" s="14">
        <f t="shared" si="2"/>
        <v>1656</v>
      </c>
      <c r="C133" s="25"/>
      <c r="D133" s="34" t="s">
        <v>15</v>
      </c>
      <c r="E133" s="21">
        <v>6945</v>
      </c>
      <c r="F133" s="64" t="s">
        <v>186</v>
      </c>
      <c r="G133" s="65">
        <f>2500+4445</f>
        <v>6945</v>
      </c>
      <c r="H133" s="19">
        <f t="shared" si="0"/>
        <v>0</v>
      </c>
    </row>
    <row r="134" spans="1:8" ht="25.5" customHeight="1" x14ac:dyDescent="0.25">
      <c r="A134" s="23">
        <v>45136</v>
      </c>
      <c r="B134" s="14">
        <f t="shared" ref="B134:B146" si="3">B133+1</f>
        <v>1657</v>
      </c>
      <c r="C134" s="25"/>
      <c r="D134" s="34" t="s">
        <v>13</v>
      </c>
      <c r="E134" s="21">
        <v>4937</v>
      </c>
      <c r="F134" s="22">
        <v>45137</v>
      </c>
      <c r="G134" s="31">
        <v>4937</v>
      </c>
      <c r="H134" s="19">
        <f t="shared" si="0"/>
        <v>0</v>
      </c>
    </row>
    <row r="135" spans="1:8" ht="25.5" customHeight="1" x14ac:dyDescent="0.25">
      <c r="A135" s="23">
        <v>45136</v>
      </c>
      <c r="B135" s="14">
        <f t="shared" si="3"/>
        <v>1658</v>
      </c>
      <c r="C135" s="25"/>
      <c r="D135" s="34" t="s">
        <v>14</v>
      </c>
      <c r="E135" s="21">
        <v>5050</v>
      </c>
      <c r="F135" s="22">
        <v>45137</v>
      </c>
      <c r="G135" s="31">
        <v>5050</v>
      </c>
      <c r="H135" s="19">
        <f t="shared" si="0"/>
        <v>0</v>
      </c>
    </row>
    <row r="136" spans="1:8" ht="25.5" customHeight="1" x14ac:dyDescent="0.25">
      <c r="A136" s="23">
        <v>45136</v>
      </c>
      <c r="B136" s="14">
        <f t="shared" si="3"/>
        <v>1659</v>
      </c>
      <c r="C136" s="25"/>
      <c r="D136" s="34" t="s">
        <v>114</v>
      </c>
      <c r="E136" s="21">
        <v>12235</v>
      </c>
      <c r="F136" s="22">
        <v>45137</v>
      </c>
      <c r="G136" s="31">
        <v>12235</v>
      </c>
      <c r="H136" s="19">
        <f t="shared" si="0"/>
        <v>0</v>
      </c>
    </row>
    <row r="137" spans="1:8" ht="24.75" customHeight="1" x14ac:dyDescent="0.25">
      <c r="A137" s="23">
        <v>45136</v>
      </c>
      <c r="B137" s="14">
        <f t="shared" si="3"/>
        <v>1660</v>
      </c>
      <c r="C137" s="25"/>
      <c r="D137" s="34" t="s">
        <v>12</v>
      </c>
      <c r="E137" s="21">
        <v>1061</v>
      </c>
      <c r="F137" s="64">
        <v>45140</v>
      </c>
      <c r="G137" s="65">
        <v>1061</v>
      </c>
      <c r="H137" s="19">
        <f t="shared" si="0"/>
        <v>0</v>
      </c>
    </row>
    <row r="138" spans="1:8" ht="39" customHeight="1" x14ac:dyDescent="0.25">
      <c r="A138" s="23">
        <v>45137</v>
      </c>
      <c r="B138" s="14">
        <f t="shared" si="3"/>
        <v>1661</v>
      </c>
      <c r="C138" s="25"/>
      <c r="D138" s="34" t="s">
        <v>183</v>
      </c>
      <c r="E138" s="21">
        <v>1240</v>
      </c>
      <c r="F138" s="64" t="s">
        <v>186</v>
      </c>
      <c r="G138" s="65">
        <f>1000+240</f>
        <v>1240</v>
      </c>
      <c r="H138" s="19">
        <f t="shared" si="0"/>
        <v>0</v>
      </c>
    </row>
    <row r="139" spans="1:8" ht="31.5" x14ac:dyDescent="0.25">
      <c r="A139" s="23">
        <v>45137</v>
      </c>
      <c r="B139" s="14">
        <f t="shared" si="3"/>
        <v>1662</v>
      </c>
      <c r="C139" s="25"/>
      <c r="D139" s="34" t="s">
        <v>15</v>
      </c>
      <c r="E139" s="21">
        <v>4923</v>
      </c>
      <c r="F139" s="64" t="s">
        <v>188</v>
      </c>
      <c r="G139" s="65">
        <f>3500+1423</f>
        <v>4923</v>
      </c>
      <c r="H139" s="19">
        <f t="shared" si="0"/>
        <v>0</v>
      </c>
    </row>
    <row r="140" spans="1:8" ht="24.75" customHeight="1" x14ac:dyDescent="0.25">
      <c r="A140" s="23">
        <v>45137</v>
      </c>
      <c r="B140" s="14">
        <f t="shared" si="3"/>
        <v>1663</v>
      </c>
      <c r="C140" s="25"/>
      <c r="D140" s="34" t="s">
        <v>13</v>
      </c>
      <c r="E140" s="21">
        <v>4978</v>
      </c>
      <c r="F140" s="64">
        <v>45138</v>
      </c>
      <c r="G140" s="65">
        <v>4978</v>
      </c>
      <c r="H140" s="19">
        <f t="shared" si="0"/>
        <v>0</v>
      </c>
    </row>
    <row r="141" spans="1:8" ht="24.75" customHeight="1" x14ac:dyDescent="0.25">
      <c r="A141" s="23">
        <v>45137</v>
      </c>
      <c r="B141" s="14">
        <f t="shared" si="3"/>
        <v>1664</v>
      </c>
      <c r="C141" s="25"/>
      <c r="D141" s="34" t="s">
        <v>16</v>
      </c>
      <c r="E141" s="21">
        <v>12450</v>
      </c>
      <c r="F141" s="64">
        <v>45142</v>
      </c>
      <c r="G141" s="65">
        <v>12450</v>
      </c>
      <c r="H141" s="19">
        <f t="shared" si="0"/>
        <v>0</v>
      </c>
    </row>
    <row r="142" spans="1:8" ht="24.75" customHeight="1" x14ac:dyDescent="0.25">
      <c r="A142" s="23">
        <v>45137</v>
      </c>
      <c r="B142" s="14">
        <f t="shared" si="3"/>
        <v>1665</v>
      </c>
      <c r="C142" s="25"/>
      <c r="D142" s="34" t="s">
        <v>114</v>
      </c>
      <c r="E142" s="21">
        <v>3635</v>
      </c>
      <c r="F142" s="64">
        <v>45138</v>
      </c>
      <c r="G142" s="65">
        <v>3635</v>
      </c>
      <c r="H142" s="19">
        <f t="shared" si="0"/>
        <v>0</v>
      </c>
    </row>
    <row r="143" spans="1:8" ht="24.75" customHeight="1" x14ac:dyDescent="0.25">
      <c r="A143" s="23">
        <v>45137</v>
      </c>
      <c r="B143" s="14">
        <f t="shared" si="3"/>
        <v>1666</v>
      </c>
      <c r="C143" s="25"/>
      <c r="D143" s="34" t="s">
        <v>14</v>
      </c>
      <c r="E143" s="21">
        <v>1625</v>
      </c>
      <c r="F143" s="64">
        <v>45138</v>
      </c>
      <c r="G143" s="65">
        <v>1625</v>
      </c>
      <c r="H143" s="19">
        <f t="shared" si="0"/>
        <v>0</v>
      </c>
    </row>
    <row r="144" spans="1:8" ht="48.75" customHeight="1" x14ac:dyDescent="0.25">
      <c r="A144" s="23">
        <v>45137</v>
      </c>
      <c r="B144" s="14">
        <f t="shared" si="3"/>
        <v>1667</v>
      </c>
      <c r="C144" s="25"/>
      <c r="D144" s="34" t="s">
        <v>24</v>
      </c>
      <c r="E144" s="21">
        <v>9770</v>
      </c>
      <c r="F144" s="83" t="s">
        <v>216</v>
      </c>
      <c r="G144" s="69">
        <f>6425+1800+1000+545</f>
        <v>9770</v>
      </c>
      <c r="H144" s="19">
        <f t="shared" si="0"/>
        <v>0</v>
      </c>
    </row>
    <row r="145" spans="1:9" ht="24.75" customHeight="1" x14ac:dyDescent="0.25">
      <c r="A145" s="23">
        <v>45137</v>
      </c>
      <c r="B145" s="14">
        <f t="shared" si="3"/>
        <v>1668</v>
      </c>
      <c r="C145" s="25"/>
      <c r="D145" s="34" t="s">
        <v>153</v>
      </c>
      <c r="E145" s="21">
        <v>10290</v>
      </c>
      <c r="F145" s="64">
        <v>45139</v>
      </c>
      <c r="G145" s="65">
        <v>10290</v>
      </c>
      <c r="H145" s="19">
        <f t="shared" si="0"/>
        <v>0</v>
      </c>
    </row>
    <row r="146" spans="1:9" ht="24.75" customHeight="1" x14ac:dyDescent="0.25">
      <c r="A146" s="23">
        <v>45137</v>
      </c>
      <c r="B146" s="14">
        <f t="shared" si="3"/>
        <v>1669</v>
      </c>
      <c r="C146" s="25"/>
      <c r="D146" s="34" t="s">
        <v>109</v>
      </c>
      <c r="E146" s="21">
        <v>10056</v>
      </c>
      <c r="F146" s="64">
        <v>45139</v>
      </c>
      <c r="G146" s="65">
        <v>10056</v>
      </c>
      <c r="H146" s="19">
        <f t="shared" si="0"/>
        <v>0</v>
      </c>
    </row>
    <row r="147" spans="1:9" ht="24.75" customHeight="1" x14ac:dyDescent="0.25">
      <c r="A147" s="23"/>
      <c r="B147" s="14"/>
      <c r="C147" s="25"/>
      <c r="D147" s="34"/>
      <c r="E147" s="21"/>
      <c r="F147" s="22"/>
      <c r="G147" s="31"/>
      <c r="H147" s="19">
        <f t="shared" si="0"/>
        <v>0</v>
      </c>
    </row>
    <row r="148" spans="1:9" ht="24.75" customHeight="1" x14ac:dyDescent="0.25">
      <c r="A148" s="23"/>
      <c r="B148" s="14"/>
      <c r="C148" s="25"/>
      <c r="D148" s="34"/>
      <c r="E148" s="21"/>
      <c r="F148" s="22"/>
      <c r="G148" s="31"/>
      <c r="H148" s="19">
        <f t="shared" si="0"/>
        <v>0</v>
      </c>
    </row>
    <row r="149" spans="1:9" ht="18.75" customHeight="1" x14ac:dyDescent="0.25">
      <c r="A149" s="23"/>
      <c r="B149" s="14"/>
      <c r="C149" s="25"/>
      <c r="D149" s="34"/>
      <c r="E149" s="21"/>
      <c r="F149" s="22"/>
      <c r="G149" s="31"/>
      <c r="H149" s="19">
        <f t="shared" si="0"/>
        <v>0</v>
      </c>
    </row>
    <row r="150" spans="1:9" x14ac:dyDescent="0.25">
      <c r="B150" s="41"/>
      <c r="C150" s="42"/>
      <c r="D150" s="2"/>
      <c r="E150" s="43">
        <f>SUM(E4:E149)</f>
        <v>1055175</v>
      </c>
      <c r="F150" s="44"/>
      <c r="G150" s="44">
        <f>SUM(G4:G149)</f>
        <v>1054952</v>
      </c>
      <c r="H150" s="45">
        <f>SUM(H4:H149)</f>
        <v>223</v>
      </c>
      <c r="I150" s="2"/>
    </row>
    <row r="151" spans="1:9" x14ac:dyDescent="0.25">
      <c r="B151" s="41"/>
      <c r="C151" s="42"/>
      <c r="D151" s="2"/>
      <c r="E151" s="46"/>
      <c r="F151" s="47"/>
      <c r="G151" s="61"/>
      <c r="H151" s="48"/>
      <c r="I151" s="2"/>
    </row>
    <row r="152" spans="1:9" ht="31.5" x14ac:dyDescent="0.25">
      <c r="B152" s="41"/>
      <c r="C152" s="42"/>
      <c r="D152" s="2"/>
      <c r="E152" s="49" t="s">
        <v>8</v>
      </c>
      <c r="F152" s="47"/>
      <c r="G152" s="50" t="s">
        <v>9</v>
      </c>
      <c r="H152" s="48"/>
      <c r="I152" s="2"/>
    </row>
    <row r="153" spans="1:9" ht="16.5" thickBot="1" x14ac:dyDescent="0.3">
      <c r="B153" s="41"/>
      <c r="C153" s="42"/>
      <c r="D153" s="2"/>
      <c r="E153" s="49"/>
      <c r="F153" s="47"/>
      <c r="G153" s="50"/>
      <c r="H153" s="48"/>
      <c r="I153" s="2"/>
    </row>
    <row r="154" spans="1:9" ht="21.75" thickBot="1" x14ac:dyDescent="0.4">
      <c r="B154" s="41"/>
      <c r="C154" s="42"/>
      <c r="D154" s="2"/>
      <c r="E154" s="93">
        <f>E150-G150</f>
        <v>223</v>
      </c>
      <c r="F154" s="94"/>
      <c r="G154" s="95"/>
      <c r="I154" s="2"/>
    </row>
    <row r="155" spans="1:9" x14ac:dyDescent="0.25">
      <c r="B155" s="41"/>
      <c r="C155" s="42"/>
      <c r="D155" s="2"/>
      <c r="E155" s="46"/>
      <c r="F155" s="47"/>
      <c r="G155" s="61"/>
      <c r="I155" s="2"/>
    </row>
    <row r="156" spans="1:9" ht="18.75" x14ac:dyDescent="0.3">
      <c r="B156" s="41"/>
      <c r="C156" s="42"/>
      <c r="D156" s="2"/>
      <c r="E156" s="96" t="s">
        <v>10</v>
      </c>
      <c r="F156" s="96"/>
      <c r="G156" s="96"/>
      <c r="I156" s="2"/>
    </row>
    <row r="157" spans="1:9" x14ac:dyDescent="0.25">
      <c r="B157" s="41"/>
      <c r="C157" s="42"/>
      <c r="D157" s="2"/>
      <c r="E157" s="46"/>
      <c r="F157" s="47"/>
      <c r="G157" s="61"/>
      <c r="I157" s="2"/>
    </row>
    <row r="158" spans="1:9" ht="18.75" x14ac:dyDescent="0.3">
      <c r="A158" s="23"/>
      <c r="B158" s="14"/>
      <c r="C158" s="25"/>
      <c r="D158" s="51"/>
      <c r="E158" s="52"/>
      <c r="F158" s="53"/>
      <c r="G158" s="62"/>
      <c r="I158" s="2"/>
    </row>
    <row r="159" spans="1:9" x14ac:dyDescent="0.25">
      <c r="B159" s="41"/>
      <c r="C159" s="42"/>
      <c r="D159" s="2"/>
      <c r="E159" s="46"/>
      <c r="F159" s="47"/>
      <c r="G159" s="61"/>
      <c r="I159" s="2"/>
    </row>
    <row r="160" spans="1:9" x14ac:dyDescent="0.25">
      <c r="B160" s="41"/>
      <c r="C160" s="42"/>
      <c r="D160" s="2"/>
      <c r="E160" s="46"/>
      <c r="F160" s="47"/>
      <c r="G160" s="61"/>
      <c r="I160" s="2"/>
    </row>
    <row r="161" spans="2:9" x14ac:dyDescent="0.25">
      <c r="B161" s="41"/>
      <c r="C161" s="42"/>
      <c r="D161" s="2"/>
      <c r="E161" s="46"/>
      <c r="F161" s="47"/>
      <c r="G161" s="61"/>
      <c r="I161" s="2"/>
    </row>
    <row r="162" spans="2:9" x14ac:dyDescent="0.25">
      <c r="B162" s="41"/>
      <c r="C162" s="42"/>
      <c r="D162" s="2"/>
      <c r="E162" s="46"/>
      <c r="F162" s="47"/>
      <c r="G162" s="61"/>
      <c r="I162" s="2"/>
    </row>
    <row r="163" spans="2:9" x14ac:dyDescent="0.25">
      <c r="B163" s="41"/>
      <c r="C163" s="42"/>
      <c r="D163" s="2"/>
      <c r="E163" s="46"/>
      <c r="F163" s="47"/>
      <c r="G163" s="61"/>
      <c r="I163" s="2"/>
    </row>
    <row r="164" spans="2:9" x14ac:dyDescent="0.25">
      <c r="B164" s="41"/>
      <c r="C164" s="42"/>
      <c r="D164" s="2"/>
      <c r="E164" s="46"/>
      <c r="F164" s="47"/>
      <c r="G164" s="61"/>
      <c r="I164" s="2"/>
    </row>
    <row r="165" spans="2:9" x14ac:dyDescent="0.25">
      <c r="B165" s="41"/>
      <c r="C165" s="42"/>
      <c r="D165" s="2"/>
      <c r="E165" s="46"/>
      <c r="F165" s="47"/>
      <c r="G165" s="61"/>
      <c r="I165" s="2"/>
    </row>
    <row r="166" spans="2:9" x14ac:dyDescent="0.25">
      <c r="B166" s="41"/>
      <c r="C166" s="42"/>
      <c r="D166" s="2"/>
      <c r="E166" s="46"/>
      <c r="F166" s="47"/>
      <c r="G166" s="61"/>
      <c r="I166" s="2"/>
    </row>
    <row r="167" spans="2:9" x14ac:dyDescent="0.25">
      <c r="B167" s="41"/>
      <c r="C167" s="42"/>
      <c r="D167" s="2"/>
      <c r="E167" s="46"/>
      <c r="F167" s="47"/>
      <c r="G167" s="61"/>
      <c r="I167" s="2"/>
    </row>
  </sheetData>
  <mergeCells count="4">
    <mergeCell ref="B1:G1"/>
    <mergeCell ref="B2:F2"/>
    <mergeCell ref="E154:G154"/>
    <mergeCell ref="E156:G156"/>
  </mergeCells>
  <pageMargins left="0.7" right="0.7" top="0.75" bottom="0.75" header="0.3" footer="0.3"/>
  <pageSetup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1:I210"/>
  <sheetViews>
    <sheetView tabSelected="1" topLeftCell="A163" zoomScale="85" zoomScaleNormal="85" workbookViewId="0">
      <selection activeCell="F164" sqref="F164:G164"/>
    </sheetView>
  </sheetViews>
  <sheetFormatPr baseColWidth="10" defaultRowHeight="15.75" x14ac:dyDescent="0.25"/>
  <cols>
    <col min="1" max="1" width="14.140625" style="1" customWidth="1"/>
    <col min="2" max="2" width="13.140625" style="54" customWidth="1"/>
    <col min="3" max="3" width="9.85546875" style="55" hidden="1" customWidth="1"/>
    <col min="4" max="4" width="34.28515625" customWidth="1"/>
    <col min="5" max="5" width="15.85546875" style="56" bestFit="1" customWidth="1"/>
    <col min="6" max="6" width="14.85546875" style="57" customWidth="1"/>
    <col min="7" max="7" width="18" style="63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19.5" thickBot="1" x14ac:dyDescent="0.35">
      <c r="B1" s="89" t="s">
        <v>184</v>
      </c>
      <c r="C1" s="90"/>
      <c r="D1" s="90"/>
      <c r="E1" s="90"/>
      <c r="F1" s="90"/>
      <c r="G1" s="91"/>
      <c r="I1" s="2"/>
    </row>
    <row r="2" spans="1:9" ht="21" x14ac:dyDescent="0.35">
      <c r="A2" s="3"/>
      <c r="B2" s="92" t="s">
        <v>0</v>
      </c>
      <c r="C2" s="92"/>
      <c r="D2" s="92"/>
      <c r="E2" s="92"/>
      <c r="F2" s="92"/>
      <c r="G2" s="58"/>
      <c r="H2" s="4"/>
      <c r="I2" s="2"/>
    </row>
    <row r="3" spans="1:9" ht="46.5" thickBot="1" x14ac:dyDescent="0.35">
      <c r="A3" s="5"/>
      <c r="B3" s="6" t="s">
        <v>1</v>
      </c>
      <c r="C3" s="7" t="s">
        <v>2</v>
      </c>
      <c r="D3" s="8" t="s">
        <v>3</v>
      </c>
      <c r="E3" s="9" t="s">
        <v>4</v>
      </c>
      <c r="F3" s="10" t="s">
        <v>5</v>
      </c>
      <c r="G3" s="11" t="s">
        <v>6</v>
      </c>
      <c r="H3" s="12" t="s">
        <v>7</v>
      </c>
      <c r="I3" s="2"/>
    </row>
    <row r="4" spans="1:9" ht="33" customHeight="1" thickTop="1" x14ac:dyDescent="0.25">
      <c r="A4" s="13">
        <v>45138</v>
      </c>
      <c r="B4" s="14">
        <v>1670</v>
      </c>
      <c r="C4" s="15"/>
      <c r="D4" s="16" t="s">
        <v>241</v>
      </c>
      <c r="E4" s="17">
        <v>42000</v>
      </c>
      <c r="F4" s="18" t="s">
        <v>194</v>
      </c>
      <c r="G4" s="59">
        <f>40000+2000</f>
        <v>42000</v>
      </c>
      <c r="H4" s="19">
        <f t="shared" ref="H4:H192" si="0">E4-G4</f>
        <v>0</v>
      </c>
      <c r="I4" s="2"/>
    </row>
    <row r="5" spans="1:9" ht="24.75" customHeight="1" x14ac:dyDescent="0.25">
      <c r="A5" s="13">
        <v>45138</v>
      </c>
      <c r="B5" s="14">
        <v>1671</v>
      </c>
      <c r="C5" s="15"/>
      <c r="D5" s="20" t="s">
        <v>13</v>
      </c>
      <c r="E5" s="21">
        <v>4610</v>
      </c>
      <c r="F5" s="22">
        <v>45139</v>
      </c>
      <c r="G5" s="31">
        <v>4610</v>
      </c>
      <c r="H5" s="19">
        <f t="shared" si="0"/>
        <v>0</v>
      </c>
    </row>
    <row r="6" spans="1:9" ht="34.5" customHeight="1" x14ac:dyDescent="0.25">
      <c r="A6" s="13">
        <v>45139</v>
      </c>
      <c r="B6" s="14">
        <f t="shared" ref="B6:B69" si="1">B5+1</f>
        <v>1672</v>
      </c>
      <c r="C6" s="15"/>
      <c r="D6" s="20" t="s">
        <v>241</v>
      </c>
      <c r="E6" s="21">
        <v>39211</v>
      </c>
      <c r="F6" s="22" t="s">
        <v>189</v>
      </c>
      <c r="G6" s="31">
        <f>30000+9211</f>
        <v>39211</v>
      </c>
      <c r="H6" s="19">
        <f t="shared" si="0"/>
        <v>0</v>
      </c>
    </row>
    <row r="7" spans="1:9" ht="31.5" customHeight="1" x14ac:dyDescent="0.25">
      <c r="A7" s="23">
        <v>45139</v>
      </c>
      <c r="B7" s="14">
        <f t="shared" si="1"/>
        <v>1673</v>
      </c>
      <c r="C7" s="15"/>
      <c r="D7" s="20" t="s">
        <v>15</v>
      </c>
      <c r="E7" s="21">
        <v>2950</v>
      </c>
      <c r="F7" s="22" t="s">
        <v>193</v>
      </c>
      <c r="G7" s="31">
        <f>1000+1950</f>
        <v>2950</v>
      </c>
      <c r="H7" s="19">
        <f t="shared" si="0"/>
        <v>0</v>
      </c>
    </row>
    <row r="8" spans="1:9" ht="24.75" customHeight="1" x14ac:dyDescent="0.25">
      <c r="A8" s="13">
        <v>45139</v>
      </c>
      <c r="B8" s="14">
        <f t="shared" si="1"/>
        <v>1674</v>
      </c>
      <c r="C8" s="15"/>
      <c r="D8" s="24" t="s">
        <v>19</v>
      </c>
      <c r="E8" s="21">
        <v>9888</v>
      </c>
      <c r="F8" s="22">
        <v>45140</v>
      </c>
      <c r="G8" s="31">
        <v>9888</v>
      </c>
      <c r="H8" s="19">
        <f t="shared" si="0"/>
        <v>0</v>
      </c>
    </row>
    <row r="9" spans="1:9" ht="23.25" customHeight="1" x14ac:dyDescent="0.25">
      <c r="A9" s="13">
        <v>45139</v>
      </c>
      <c r="B9" s="14">
        <f t="shared" si="1"/>
        <v>1675</v>
      </c>
      <c r="C9" s="15"/>
      <c r="D9" s="20" t="s">
        <v>13</v>
      </c>
      <c r="E9" s="21">
        <v>3376</v>
      </c>
      <c r="F9" s="22">
        <v>45140</v>
      </c>
      <c r="G9" s="31">
        <v>3376</v>
      </c>
      <c r="H9" s="19">
        <f t="shared" si="0"/>
        <v>0</v>
      </c>
    </row>
    <row r="10" spans="1:9" ht="36.75" customHeight="1" x14ac:dyDescent="0.25">
      <c r="A10" s="13">
        <v>45139</v>
      </c>
      <c r="B10" s="14">
        <f t="shared" si="1"/>
        <v>1676</v>
      </c>
      <c r="C10" s="15"/>
      <c r="D10" s="20" t="s">
        <v>14</v>
      </c>
      <c r="E10" s="21">
        <v>5317</v>
      </c>
      <c r="F10" s="22" t="s">
        <v>190</v>
      </c>
      <c r="G10" s="31">
        <f>5017+300</f>
        <v>5317</v>
      </c>
      <c r="H10" s="19">
        <f t="shared" si="0"/>
        <v>0</v>
      </c>
    </row>
    <row r="11" spans="1:9" ht="19.5" customHeight="1" x14ac:dyDescent="0.25">
      <c r="A11" s="13">
        <v>45139</v>
      </c>
      <c r="B11" s="14">
        <f t="shared" si="1"/>
        <v>1677</v>
      </c>
      <c r="C11" s="15"/>
      <c r="D11" s="20" t="s">
        <v>12</v>
      </c>
      <c r="E11" s="21">
        <v>611</v>
      </c>
      <c r="F11" s="22">
        <v>45140</v>
      </c>
      <c r="G11" s="31">
        <v>611</v>
      </c>
      <c r="H11" s="19">
        <f t="shared" si="0"/>
        <v>0</v>
      </c>
    </row>
    <row r="12" spans="1:9" ht="40.5" customHeight="1" x14ac:dyDescent="0.25">
      <c r="A12" s="13">
        <v>45140</v>
      </c>
      <c r="B12" s="14">
        <f t="shared" si="1"/>
        <v>1678</v>
      </c>
      <c r="C12" s="25"/>
      <c r="D12" s="20" t="s">
        <v>15</v>
      </c>
      <c r="E12" s="21">
        <v>3137</v>
      </c>
      <c r="F12" s="22" t="s">
        <v>195</v>
      </c>
      <c r="G12" s="31">
        <f>2000+1137</f>
        <v>3137</v>
      </c>
      <c r="H12" s="19">
        <f t="shared" si="0"/>
        <v>0</v>
      </c>
    </row>
    <row r="13" spans="1:9" ht="22.5" customHeight="1" x14ac:dyDescent="0.25">
      <c r="A13" s="13">
        <v>45140</v>
      </c>
      <c r="B13" s="14">
        <f t="shared" si="1"/>
        <v>1679</v>
      </c>
      <c r="C13" s="26"/>
      <c r="D13" s="20" t="s">
        <v>13</v>
      </c>
      <c r="E13" s="21">
        <v>6130</v>
      </c>
      <c r="F13" s="22">
        <v>45141</v>
      </c>
      <c r="G13" s="31">
        <v>6130</v>
      </c>
      <c r="H13" s="19">
        <f t="shared" si="0"/>
        <v>0</v>
      </c>
    </row>
    <row r="14" spans="1:9" ht="31.5" x14ac:dyDescent="0.25">
      <c r="A14" s="13">
        <v>45140</v>
      </c>
      <c r="B14" s="14">
        <f t="shared" si="1"/>
        <v>1680</v>
      </c>
      <c r="C14" s="25"/>
      <c r="D14" s="20" t="s">
        <v>93</v>
      </c>
      <c r="E14" s="21">
        <v>10650</v>
      </c>
      <c r="F14" s="22" t="s">
        <v>195</v>
      </c>
      <c r="G14" s="31">
        <f>4550+6100</f>
        <v>10650</v>
      </c>
      <c r="H14" s="19">
        <f t="shared" si="0"/>
        <v>0</v>
      </c>
    </row>
    <row r="15" spans="1:9" ht="27.75" customHeight="1" x14ac:dyDescent="0.25">
      <c r="A15" s="13">
        <v>45140</v>
      </c>
      <c r="B15" s="14">
        <f t="shared" si="1"/>
        <v>1681</v>
      </c>
      <c r="C15" s="26"/>
      <c r="D15" s="20" t="s">
        <v>25</v>
      </c>
      <c r="E15" s="21">
        <v>2357</v>
      </c>
      <c r="F15" s="22">
        <v>45142</v>
      </c>
      <c r="G15" s="31">
        <v>2357</v>
      </c>
      <c r="H15" s="19">
        <f t="shared" si="0"/>
        <v>0</v>
      </c>
    </row>
    <row r="16" spans="1:9" ht="25.5" customHeight="1" x14ac:dyDescent="0.25">
      <c r="A16" s="13">
        <v>45140</v>
      </c>
      <c r="B16" s="14">
        <f t="shared" si="1"/>
        <v>1682</v>
      </c>
      <c r="C16" s="25"/>
      <c r="D16" s="20" t="s">
        <v>14</v>
      </c>
      <c r="E16" s="21">
        <v>5149</v>
      </c>
      <c r="F16" s="22">
        <v>45141</v>
      </c>
      <c r="G16" s="31">
        <v>5149</v>
      </c>
      <c r="H16" s="19">
        <f t="shared" si="0"/>
        <v>0</v>
      </c>
    </row>
    <row r="17" spans="1:8" ht="31.5" x14ac:dyDescent="0.25">
      <c r="A17" s="13">
        <v>45140</v>
      </c>
      <c r="B17" s="14">
        <f t="shared" si="1"/>
        <v>1683</v>
      </c>
      <c r="C17" s="26"/>
      <c r="D17" s="20" t="s">
        <v>241</v>
      </c>
      <c r="E17" s="21">
        <v>32329</v>
      </c>
      <c r="F17" s="22" t="s">
        <v>193</v>
      </c>
      <c r="G17" s="31">
        <f>20789+11540</f>
        <v>32329</v>
      </c>
      <c r="H17" s="19">
        <f t="shared" si="0"/>
        <v>0</v>
      </c>
    </row>
    <row r="18" spans="1:8" ht="22.5" customHeight="1" x14ac:dyDescent="0.25">
      <c r="A18" s="13">
        <v>45140</v>
      </c>
      <c r="B18" s="14">
        <f t="shared" si="1"/>
        <v>1684</v>
      </c>
      <c r="C18" s="25"/>
      <c r="D18" s="20" t="s">
        <v>114</v>
      </c>
      <c r="E18" s="21">
        <v>7174</v>
      </c>
      <c r="F18" s="22">
        <v>45141</v>
      </c>
      <c r="G18" s="31">
        <v>7174</v>
      </c>
      <c r="H18" s="19">
        <f t="shared" si="0"/>
        <v>0</v>
      </c>
    </row>
    <row r="19" spans="1:8" ht="31.5" x14ac:dyDescent="0.25">
      <c r="A19" s="13">
        <v>45141</v>
      </c>
      <c r="B19" s="14">
        <f t="shared" si="1"/>
        <v>1685</v>
      </c>
      <c r="C19" s="26"/>
      <c r="D19" s="20" t="s">
        <v>15</v>
      </c>
      <c r="E19" s="21">
        <v>3977</v>
      </c>
      <c r="F19" s="22" t="s">
        <v>198</v>
      </c>
      <c r="G19" s="31">
        <f>1000+2977</f>
        <v>3977</v>
      </c>
      <c r="H19" s="19">
        <f t="shared" si="0"/>
        <v>0</v>
      </c>
    </row>
    <row r="20" spans="1:8" ht="22.5" customHeight="1" x14ac:dyDescent="0.25">
      <c r="A20" s="13">
        <v>45141</v>
      </c>
      <c r="B20" s="14">
        <f t="shared" si="1"/>
        <v>1686</v>
      </c>
      <c r="C20" s="25"/>
      <c r="D20" s="20" t="s">
        <v>13</v>
      </c>
      <c r="E20" s="21">
        <v>3619</v>
      </c>
      <c r="F20" s="22">
        <v>45142</v>
      </c>
      <c r="G20" s="31">
        <v>3619</v>
      </c>
      <c r="H20" s="19">
        <f t="shared" si="0"/>
        <v>0</v>
      </c>
    </row>
    <row r="21" spans="1:8" ht="25.5" customHeight="1" x14ac:dyDescent="0.25">
      <c r="A21" s="13">
        <v>45141</v>
      </c>
      <c r="B21" s="14">
        <f t="shared" si="1"/>
        <v>1687</v>
      </c>
      <c r="C21" s="25"/>
      <c r="D21" s="20" t="s">
        <v>114</v>
      </c>
      <c r="E21" s="21">
        <v>9187</v>
      </c>
      <c r="F21" s="22">
        <v>45142</v>
      </c>
      <c r="G21" s="31">
        <v>9187</v>
      </c>
      <c r="H21" s="19">
        <f t="shared" si="0"/>
        <v>0</v>
      </c>
    </row>
    <row r="22" spans="1:8" ht="31.5" x14ac:dyDescent="0.25">
      <c r="A22" s="13">
        <v>45142</v>
      </c>
      <c r="B22" s="14">
        <f t="shared" si="1"/>
        <v>1688</v>
      </c>
      <c r="C22" s="25"/>
      <c r="D22" s="20" t="s">
        <v>14</v>
      </c>
      <c r="E22" s="21">
        <v>5472</v>
      </c>
      <c r="F22" s="22" t="s">
        <v>195</v>
      </c>
      <c r="G22" s="31">
        <f>4472+1000</f>
        <v>5472</v>
      </c>
      <c r="H22" s="19">
        <f t="shared" si="0"/>
        <v>0</v>
      </c>
    </row>
    <row r="23" spans="1:8" ht="31.5" x14ac:dyDescent="0.25">
      <c r="A23" s="13">
        <v>45142</v>
      </c>
      <c r="B23" s="14">
        <f t="shared" si="1"/>
        <v>1689</v>
      </c>
      <c r="C23" s="25"/>
      <c r="D23" s="20" t="s">
        <v>15</v>
      </c>
      <c r="E23" s="21">
        <v>5312</v>
      </c>
      <c r="F23" s="22" t="s">
        <v>199</v>
      </c>
      <c r="G23" s="31">
        <f>1700+3612</f>
        <v>5312</v>
      </c>
      <c r="H23" s="19">
        <f t="shared" si="0"/>
        <v>0</v>
      </c>
    </row>
    <row r="24" spans="1:8" ht="29.25" customHeight="1" x14ac:dyDescent="0.25">
      <c r="A24" s="13">
        <v>45142</v>
      </c>
      <c r="B24" s="14">
        <f t="shared" si="1"/>
        <v>1690</v>
      </c>
      <c r="C24" s="25"/>
      <c r="D24" s="20" t="s">
        <v>13</v>
      </c>
      <c r="E24" s="21">
        <v>3619</v>
      </c>
      <c r="F24" s="22" t="s">
        <v>196</v>
      </c>
      <c r="G24" s="31">
        <f>3619</f>
        <v>3619</v>
      </c>
      <c r="H24" s="19">
        <f t="shared" si="0"/>
        <v>0</v>
      </c>
    </row>
    <row r="25" spans="1:8" ht="21.75" customHeight="1" x14ac:dyDescent="0.25">
      <c r="A25" s="13">
        <v>45142</v>
      </c>
      <c r="B25" s="14">
        <f t="shared" si="1"/>
        <v>1691</v>
      </c>
      <c r="C25" s="25"/>
      <c r="D25" s="20" t="s">
        <v>191</v>
      </c>
      <c r="E25" s="21">
        <v>12713</v>
      </c>
      <c r="F25" s="22">
        <v>45151</v>
      </c>
      <c r="G25" s="31">
        <v>12713</v>
      </c>
      <c r="H25" s="19">
        <f t="shared" si="0"/>
        <v>0</v>
      </c>
    </row>
    <row r="26" spans="1:8" ht="28.5" customHeight="1" x14ac:dyDescent="0.25">
      <c r="A26" s="13">
        <v>45142</v>
      </c>
      <c r="B26" s="14">
        <f t="shared" si="1"/>
        <v>1692</v>
      </c>
      <c r="C26" s="25"/>
      <c r="D26" s="20" t="s">
        <v>25</v>
      </c>
      <c r="E26" s="21">
        <v>12326</v>
      </c>
      <c r="F26" s="22">
        <v>45145</v>
      </c>
      <c r="G26" s="31">
        <v>12326</v>
      </c>
      <c r="H26" s="19">
        <f t="shared" si="0"/>
        <v>0</v>
      </c>
    </row>
    <row r="27" spans="1:8" ht="30.75" customHeight="1" x14ac:dyDescent="0.25">
      <c r="A27" s="13">
        <v>45142</v>
      </c>
      <c r="B27" s="14">
        <f t="shared" si="1"/>
        <v>1693</v>
      </c>
      <c r="C27" s="25"/>
      <c r="D27" s="20" t="s">
        <v>114</v>
      </c>
      <c r="E27" s="21">
        <v>8028</v>
      </c>
      <c r="F27" s="22">
        <v>45143</v>
      </c>
      <c r="G27" s="31">
        <v>8028</v>
      </c>
      <c r="H27" s="19">
        <f t="shared" si="0"/>
        <v>0</v>
      </c>
    </row>
    <row r="28" spans="1:8" ht="31.5" x14ac:dyDescent="0.25">
      <c r="A28" s="13">
        <v>45143</v>
      </c>
      <c r="B28" s="14">
        <f t="shared" si="1"/>
        <v>1694</v>
      </c>
      <c r="C28" s="25"/>
      <c r="D28" s="20" t="s">
        <v>14</v>
      </c>
      <c r="E28" s="21">
        <v>4981</v>
      </c>
      <c r="F28" s="22" t="s">
        <v>198</v>
      </c>
      <c r="G28" s="31">
        <f>4000+981</f>
        <v>4981</v>
      </c>
      <c r="H28" s="19">
        <f t="shared" si="0"/>
        <v>0</v>
      </c>
    </row>
    <row r="29" spans="1:8" ht="23.25" customHeight="1" x14ac:dyDescent="0.25">
      <c r="A29" s="13">
        <v>45143</v>
      </c>
      <c r="B29" s="14">
        <f t="shared" si="1"/>
        <v>1695</v>
      </c>
      <c r="C29" s="25"/>
      <c r="D29" s="20" t="s">
        <v>15</v>
      </c>
      <c r="E29" s="21">
        <v>5966</v>
      </c>
      <c r="F29" s="22">
        <v>45145</v>
      </c>
      <c r="G29" s="31">
        <v>5966</v>
      </c>
      <c r="H29" s="19">
        <f t="shared" si="0"/>
        <v>0</v>
      </c>
    </row>
    <row r="30" spans="1:8" ht="27" customHeight="1" x14ac:dyDescent="0.25">
      <c r="A30" s="13">
        <v>45143</v>
      </c>
      <c r="B30" s="14">
        <f t="shared" si="1"/>
        <v>1696</v>
      </c>
      <c r="C30" s="25"/>
      <c r="D30" s="20" t="s">
        <v>19</v>
      </c>
      <c r="E30" s="21">
        <v>19514</v>
      </c>
      <c r="F30" s="22">
        <v>45144</v>
      </c>
      <c r="G30" s="31">
        <v>19514</v>
      </c>
      <c r="H30" s="19">
        <f t="shared" si="0"/>
        <v>0</v>
      </c>
    </row>
    <row r="31" spans="1:8" ht="39.75" customHeight="1" x14ac:dyDescent="0.25">
      <c r="A31" s="13">
        <v>45143</v>
      </c>
      <c r="B31" s="14">
        <f t="shared" si="1"/>
        <v>1697</v>
      </c>
      <c r="C31" s="25"/>
      <c r="D31" s="20" t="s">
        <v>93</v>
      </c>
      <c r="E31" s="21">
        <v>11390</v>
      </c>
      <c r="F31" s="22" t="s">
        <v>200</v>
      </c>
      <c r="G31" s="31">
        <f>4900+6490</f>
        <v>11390</v>
      </c>
      <c r="H31" s="19">
        <f t="shared" si="0"/>
        <v>0</v>
      </c>
    </row>
    <row r="32" spans="1:8" ht="24" customHeight="1" x14ac:dyDescent="0.25">
      <c r="A32" s="13">
        <v>45143</v>
      </c>
      <c r="B32" s="14">
        <f t="shared" si="1"/>
        <v>1698</v>
      </c>
      <c r="C32" s="25"/>
      <c r="D32" s="20" t="s">
        <v>13</v>
      </c>
      <c r="E32" s="21">
        <v>4258</v>
      </c>
      <c r="F32" s="22">
        <v>45144</v>
      </c>
      <c r="G32" s="31">
        <v>4258</v>
      </c>
      <c r="H32" s="19">
        <f t="shared" si="0"/>
        <v>0</v>
      </c>
    </row>
    <row r="33" spans="1:8" ht="28.5" customHeight="1" x14ac:dyDescent="0.25">
      <c r="A33" s="13">
        <v>45143</v>
      </c>
      <c r="B33" s="14">
        <f t="shared" si="1"/>
        <v>1699</v>
      </c>
      <c r="C33" s="25"/>
      <c r="D33" s="20" t="s">
        <v>14</v>
      </c>
      <c r="E33" s="21">
        <v>2912</v>
      </c>
      <c r="F33" s="22">
        <v>45144</v>
      </c>
      <c r="G33" s="31">
        <v>2912</v>
      </c>
      <c r="H33" s="19">
        <f t="shared" si="0"/>
        <v>0</v>
      </c>
    </row>
    <row r="34" spans="1:8" ht="31.5" customHeight="1" x14ac:dyDescent="0.25">
      <c r="A34" s="13">
        <v>45144</v>
      </c>
      <c r="B34" s="14">
        <f t="shared" si="1"/>
        <v>1700</v>
      </c>
      <c r="C34" s="25"/>
      <c r="D34" s="20" t="s">
        <v>15</v>
      </c>
      <c r="E34" s="21">
        <v>4476</v>
      </c>
      <c r="F34" s="22" t="s">
        <v>200</v>
      </c>
      <c r="G34" s="31">
        <f>4000+476</f>
        <v>4476</v>
      </c>
      <c r="H34" s="19">
        <f t="shared" si="0"/>
        <v>0</v>
      </c>
    </row>
    <row r="35" spans="1:8" ht="36.75" customHeight="1" x14ac:dyDescent="0.25">
      <c r="A35" s="13">
        <v>45144</v>
      </c>
      <c r="B35" s="14">
        <f t="shared" si="1"/>
        <v>1701</v>
      </c>
      <c r="C35" s="25"/>
      <c r="D35" s="20" t="s">
        <v>13</v>
      </c>
      <c r="E35" s="21">
        <v>4606</v>
      </c>
      <c r="F35" s="22">
        <v>45145</v>
      </c>
      <c r="G35" s="31">
        <v>4606</v>
      </c>
      <c r="H35" s="19">
        <f t="shared" si="0"/>
        <v>0</v>
      </c>
    </row>
    <row r="36" spans="1:8" ht="42" customHeight="1" x14ac:dyDescent="0.25">
      <c r="A36" s="13">
        <v>45144</v>
      </c>
      <c r="B36" s="14">
        <f t="shared" si="1"/>
        <v>1702</v>
      </c>
      <c r="C36" s="25"/>
      <c r="D36" s="20" t="s">
        <v>114</v>
      </c>
      <c r="E36" s="21">
        <v>3199</v>
      </c>
      <c r="F36" s="22">
        <v>45145</v>
      </c>
      <c r="G36" s="31">
        <v>3199</v>
      </c>
      <c r="H36" s="19">
        <f t="shared" si="0"/>
        <v>0</v>
      </c>
    </row>
    <row r="37" spans="1:8" ht="33" customHeight="1" x14ac:dyDescent="0.25">
      <c r="A37" s="13">
        <v>45144</v>
      </c>
      <c r="B37" s="14">
        <f t="shared" si="1"/>
        <v>1703</v>
      </c>
      <c r="C37" s="25"/>
      <c r="D37" s="20" t="s">
        <v>114</v>
      </c>
      <c r="E37" s="21">
        <v>6966</v>
      </c>
      <c r="F37" s="22">
        <v>45145</v>
      </c>
      <c r="G37" s="31">
        <v>6966</v>
      </c>
      <c r="H37" s="19">
        <f t="shared" si="0"/>
        <v>0</v>
      </c>
    </row>
    <row r="38" spans="1:8" ht="26.25" customHeight="1" x14ac:dyDescent="0.25">
      <c r="A38" s="13">
        <v>45144</v>
      </c>
      <c r="B38" s="14">
        <f t="shared" si="1"/>
        <v>1704</v>
      </c>
      <c r="C38" s="25"/>
      <c r="D38" s="20" t="s">
        <v>13</v>
      </c>
      <c r="E38" s="21">
        <v>1074</v>
      </c>
      <c r="F38" s="22">
        <v>45145</v>
      </c>
      <c r="G38" s="31">
        <v>1074</v>
      </c>
      <c r="H38" s="19">
        <f t="shared" si="0"/>
        <v>0</v>
      </c>
    </row>
    <row r="39" spans="1:8" ht="26.25" customHeight="1" x14ac:dyDescent="0.25">
      <c r="A39" s="13">
        <v>45145</v>
      </c>
      <c r="B39" s="14">
        <f t="shared" si="1"/>
        <v>1705</v>
      </c>
      <c r="C39" s="25"/>
      <c r="D39" s="20" t="s">
        <v>12</v>
      </c>
      <c r="E39" s="21">
        <v>260</v>
      </c>
      <c r="F39" s="22">
        <v>45145</v>
      </c>
      <c r="G39" s="31">
        <v>260</v>
      </c>
      <c r="H39" s="19">
        <f t="shared" si="0"/>
        <v>0</v>
      </c>
    </row>
    <row r="40" spans="1:8" ht="30.75" customHeight="1" x14ac:dyDescent="0.25">
      <c r="A40" s="13">
        <v>45145</v>
      </c>
      <c r="B40" s="14">
        <f t="shared" si="1"/>
        <v>1706</v>
      </c>
      <c r="C40" s="25"/>
      <c r="D40" s="20" t="s">
        <v>241</v>
      </c>
      <c r="E40" s="21">
        <v>56650</v>
      </c>
      <c r="F40" s="78" t="s">
        <v>201</v>
      </c>
      <c r="G40" s="31">
        <f>50000+6650</f>
        <v>56650</v>
      </c>
      <c r="H40" s="19">
        <f t="shared" si="0"/>
        <v>0</v>
      </c>
    </row>
    <row r="41" spans="1:8" ht="29.25" customHeight="1" x14ac:dyDescent="0.25">
      <c r="A41" s="13">
        <v>45145</v>
      </c>
      <c r="B41" s="14">
        <f t="shared" si="1"/>
        <v>1707</v>
      </c>
      <c r="C41" s="25"/>
      <c r="D41" s="20" t="s">
        <v>93</v>
      </c>
      <c r="E41" s="21">
        <v>10065</v>
      </c>
      <c r="F41" s="22">
        <v>45149</v>
      </c>
      <c r="G41" s="31">
        <v>10065</v>
      </c>
      <c r="H41" s="19">
        <f t="shared" si="0"/>
        <v>0</v>
      </c>
    </row>
    <row r="42" spans="1:8" ht="20.25" customHeight="1" x14ac:dyDescent="0.3">
      <c r="A42" s="13">
        <v>45145</v>
      </c>
      <c r="B42" s="14">
        <f t="shared" si="1"/>
        <v>1708</v>
      </c>
      <c r="C42" s="25"/>
      <c r="D42" s="73" t="s">
        <v>13</v>
      </c>
      <c r="E42" s="21">
        <v>4221</v>
      </c>
      <c r="F42" s="79">
        <v>45146</v>
      </c>
      <c r="G42" s="31">
        <v>4221</v>
      </c>
      <c r="H42" s="19">
        <f t="shared" si="0"/>
        <v>0</v>
      </c>
    </row>
    <row r="43" spans="1:8" ht="25.5" customHeight="1" x14ac:dyDescent="0.25">
      <c r="A43" s="13">
        <v>45145</v>
      </c>
      <c r="B43" s="14">
        <f t="shared" si="1"/>
        <v>1709</v>
      </c>
      <c r="C43" s="25"/>
      <c r="D43" s="20" t="s">
        <v>14</v>
      </c>
      <c r="E43" s="21">
        <v>5421</v>
      </c>
      <c r="F43" s="22">
        <v>45146</v>
      </c>
      <c r="G43" s="31">
        <v>5421</v>
      </c>
      <c r="H43" s="19">
        <f t="shared" si="0"/>
        <v>0</v>
      </c>
    </row>
    <row r="44" spans="1:8" ht="26.25" customHeight="1" x14ac:dyDescent="0.25">
      <c r="A44" s="13">
        <v>45145</v>
      </c>
      <c r="B44" s="14">
        <f t="shared" si="1"/>
        <v>1710</v>
      </c>
      <c r="C44" s="25"/>
      <c r="D44" s="20" t="s">
        <v>114</v>
      </c>
      <c r="E44" s="21">
        <v>6198</v>
      </c>
      <c r="F44" s="22">
        <v>45146</v>
      </c>
      <c r="G44" s="31">
        <v>6198</v>
      </c>
      <c r="H44" s="19">
        <f t="shared" si="0"/>
        <v>0</v>
      </c>
    </row>
    <row r="45" spans="1:8" ht="24.75" customHeight="1" x14ac:dyDescent="0.25">
      <c r="A45" s="13">
        <v>45146</v>
      </c>
      <c r="B45" s="14">
        <f t="shared" si="1"/>
        <v>1711</v>
      </c>
      <c r="C45" s="25"/>
      <c r="D45" s="20" t="s">
        <v>15</v>
      </c>
      <c r="E45" s="21">
        <v>6016</v>
      </c>
      <c r="F45" s="22">
        <v>45150</v>
      </c>
      <c r="G45" s="31">
        <v>6016</v>
      </c>
      <c r="H45" s="19">
        <f t="shared" si="0"/>
        <v>0</v>
      </c>
    </row>
    <row r="46" spans="1:8" ht="21.75" customHeight="1" x14ac:dyDescent="0.25">
      <c r="A46" s="13">
        <v>45146</v>
      </c>
      <c r="B46" s="14">
        <f t="shared" si="1"/>
        <v>1712</v>
      </c>
      <c r="C46" s="25"/>
      <c r="D46" s="20" t="s">
        <v>13</v>
      </c>
      <c r="E46" s="21">
        <v>5377</v>
      </c>
      <c r="F46" s="22">
        <v>45147</v>
      </c>
      <c r="G46" s="31">
        <v>5377</v>
      </c>
      <c r="H46" s="19">
        <f t="shared" si="0"/>
        <v>0</v>
      </c>
    </row>
    <row r="47" spans="1:8" ht="31.5" x14ac:dyDescent="0.25">
      <c r="A47" s="13">
        <v>45146</v>
      </c>
      <c r="B47" s="14">
        <f t="shared" si="1"/>
        <v>1713</v>
      </c>
      <c r="C47" s="25"/>
      <c r="D47" s="20" t="s">
        <v>14</v>
      </c>
      <c r="E47" s="21">
        <v>5107</v>
      </c>
      <c r="F47" s="22" t="s">
        <v>202</v>
      </c>
      <c r="G47" s="31">
        <f>4107+1000</f>
        <v>5107</v>
      </c>
      <c r="H47" s="19">
        <f t="shared" si="0"/>
        <v>0</v>
      </c>
    </row>
    <row r="48" spans="1:8" ht="39.75" customHeight="1" x14ac:dyDescent="0.25">
      <c r="A48" s="13">
        <v>45146</v>
      </c>
      <c r="B48" s="14">
        <f t="shared" si="1"/>
        <v>1714</v>
      </c>
      <c r="C48" s="25"/>
      <c r="D48" s="20" t="s">
        <v>93</v>
      </c>
      <c r="E48" s="21">
        <v>11491</v>
      </c>
      <c r="F48" s="22" t="s">
        <v>206</v>
      </c>
      <c r="G48" s="31">
        <f>3435+8056</f>
        <v>11491</v>
      </c>
      <c r="H48" s="19">
        <f t="shared" si="0"/>
        <v>0</v>
      </c>
    </row>
    <row r="49" spans="1:8" ht="47.25" x14ac:dyDescent="0.25">
      <c r="A49" s="13">
        <v>45147</v>
      </c>
      <c r="B49" s="14">
        <f t="shared" si="1"/>
        <v>1715</v>
      </c>
      <c r="C49" s="25"/>
      <c r="D49" s="20" t="s">
        <v>17</v>
      </c>
      <c r="E49" s="21">
        <v>12000</v>
      </c>
      <c r="F49" s="22" t="s">
        <v>215</v>
      </c>
      <c r="G49" s="31">
        <f>3000+2500+6500</f>
        <v>12000</v>
      </c>
      <c r="H49" s="19">
        <f t="shared" si="0"/>
        <v>0</v>
      </c>
    </row>
    <row r="50" spans="1:8" ht="29.25" customHeight="1" x14ac:dyDescent="0.25">
      <c r="A50" s="13">
        <v>45147</v>
      </c>
      <c r="B50" s="14">
        <f t="shared" si="1"/>
        <v>1716</v>
      </c>
      <c r="C50" s="25"/>
      <c r="D50" s="20" t="s">
        <v>13</v>
      </c>
      <c r="E50" s="21">
        <v>4416</v>
      </c>
      <c r="F50" s="22" t="s">
        <v>203</v>
      </c>
      <c r="G50" s="31">
        <v>4416</v>
      </c>
      <c r="H50" s="19">
        <f t="shared" si="0"/>
        <v>0</v>
      </c>
    </row>
    <row r="51" spans="1:8" ht="44.25" customHeight="1" x14ac:dyDescent="0.25">
      <c r="A51" s="13">
        <v>45146</v>
      </c>
      <c r="B51" s="14">
        <f t="shared" si="1"/>
        <v>1717</v>
      </c>
      <c r="C51" s="25"/>
      <c r="D51" s="20" t="s">
        <v>168</v>
      </c>
      <c r="E51" s="21">
        <v>14342</v>
      </c>
      <c r="F51" s="22" t="s">
        <v>207</v>
      </c>
      <c r="G51" s="31">
        <f>13800+542</f>
        <v>14342</v>
      </c>
      <c r="H51" s="19">
        <f t="shared" si="0"/>
        <v>0</v>
      </c>
    </row>
    <row r="52" spans="1:8" ht="29.25" customHeight="1" x14ac:dyDescent="0.25">
      <c r="A52" s="13">
        <v>45146</v>
      </c>
      <c r="B52" s="14">
        <f t="shared" si="1"/>
        <v>1718</v>
      </c>
      <c r="C52" s="25"/>
      <c r="D52" s="20" t="s">
        <v>14</v>
      </c>
      <c r="E52" s="21">
        <v>4614</v>
      </c>
      <c r="F52" s="22">
        <v>45149</v>
      </c>
      <c r="G52" s="31">
        <v>4614</v>
      </c>
      <c r="H52" s="19">
        <f t="shared" si="0"/>
        <v>0</v>
      </c>
    </row>
    <row r="53" spans="1:8" ht="29.25" customHeight="1" x14ac:dyDescent="0.25">
      <c r="A53" s="13">
        <v>45146</v>
      </c>
      <c r="B53" s="14">
        <f t="shared" si="1"/>
        <v>1719</v>
      </c>
      <c r="C53" s="25"/>
      <c r="D53" s="20" t="s">
        <v>114</v>
      </c>
      <c r="E53" s="21">
        <v>9573</v>
      </c>
      <c r="F53" s="22" t="s">
        <v>203</v>
      </c>
      <c r="G53" s="31">
        <f>9573</f>
        <v>9573</v>
      </c>
      <c r="H53" s="19">
        <f t="shared" si="0"/>
        <v>0</v>
      </c>
    </row>
    <row r="54" spans="1:8" ht="27" customHeight="1" x14ac:dyDescent="0.3">
      <c r="A54" s="13">
        <v>45148</v>
      </c>
      <c r="B54" s="14">
        <f t="shared" si="1"/>
        <v>1720</v>
      </c>
      <c r="C54" s="25"/>
      <c r="D54" s="75" t="s">
        <v>12</v>
      </c>
      <c r="E54" s="21">
        <v>299</v>
      </c>
      <c r="F54" s="22" t="s">
        <v>203</v>
      </c>
      <c r="G54" s="31">
        <v>299</v>
      </c>
      <c r="H54" s="19">
        <f t="shared" si="0"/>
        <v>0</v>
      </c>
    </row>
    <row r="55" spans="1:8" s="33" customFormat="1" ht="33.75" customHeight="1" x14ac:dyDescent="0.25">
      <c r="A55" s="29">
        <v>45148</v>
      </c>
      <c r="B55" s="14">
        <f t="shared" si="1"/>
        <v>1721</v>
      </c>
      <c r="C55" s="25"/>
      <c r="D55" s="24" t="s">
        <v>183</v>
      </c>
      <c r="E55" s="30">
        <v>1508</v>
      </c>
      <c r="F55" s="22" t="s">
        <v>204</v>
      </c>
      <c r="G55" s="31">
        <f>1008+500</f>
        <v>1508</v>
      </c>
      <c r="H55" s="32">
        <f t="shared" si="0"/>
        <v>0</v>
      </c>
    </row>
    <row r="56" spans="1:8" ht="28.5" customHeight="1" x14ac:dyDescent="0.25">
      <c r="A56" s="13">
        <v>45148</v>
      </c>
      <c r="B56" s="14">
        <f t="shared" si="1"/>
        <v>1722</v>
      </c>
      <c r="C56" s="25"/>
      <c r="D56" s="20" t="s">
        <v>14</v>
      </c>
      <c r="E56" s="21">
        <v>1542</v>
      </c>
      <c r="F56" s="22" t="s">
        <v>205</v>
      </c>
      <c r="G56" s="31">
        <v>1542</v>
      </c>
      <c r="H56" s="19">
        <f t="shared" si="0"/>
        <v>0</v>
      </c>
    </row>
    <row r="57" spans="1:8" ht="42.75" customHeight="1" x14ac:dyDescent="0.25">
      <c r="A57" s="13">
        <v>45149</v>
      </c>
      <c r="B57" s="14">
        <f t="shared" si="1"/>
        <v>1723</v>
      </c>
      <c r="C57" s="25"/>
      <c r="D57" s="20" t="s">
        <v>15</v>
      </c>
      <c r="E57" s="21">
        <v>4571</v>
      </c>
      <c r="F57" s="22" t="s">
        <v>208</v>
      </c>
      <c r="G57" s="31">
        <f>4000+571</f>
        <v>4571</v>
      </c>
      <c r="H57" s="19">
        <f t="shared" si="0"/>
        <v>0</v>
      </c>
    </row>
    <row r="58" spans="1:8" ht="30" customHeight="1" x14ac:dyDescent="0.25">
      <c r="A58" s="13">
        <v>45149</v>
      </c>
      <c r="B58" s="14">
        <f t="shared" si="1"/>
        <v>1724</v>
      </c>
      <c r="C58" s="25"/>
      <c r="D58" s="20" t="s">
        <v>13</v>
      </c>
      <c r="E58" s="21">
        <v>4262</v>
      </c>
      <c r="F58" s="22">
        <v>45150</v>
      </c>
      <c r="G58" s="31">
        <v>4262</v>
      </c>
      <c r="H58" s="19">
        <f t="shared" si="0"/>
        <v>0</v>
      </c>
    </row>
    <row r="59" spans="1:8" ht="28.5" customHeight="1" x14ac:dyDescent="0.25">
      <c r="A59" s="13">
        <v>45149</v>
      </c>
      <c r="B59" s="14">
        <f t="shared" si="1"/>
        <v>1725</v>
      </c>
      <c r="C59" s="25"/>
      <c r="D59" s="20" t="s">
        <v>183</v>
      </c>
      <c r="E59" s="21">
        <v>10800</v>
      </c>
      <c r="F59" s="22">
        <v>45158</v>
      </c>
      <c r="G59" s="31">
        <v>10800</v>
      </c>
      <c r="H59" s="19">
        <f t="shared" si="0"/>
        <v>0</v>
      </c>
    </row>
    <row r="60" spans="1:8" ht="38.25" customHeight="1" x14ac:dyDescent="0.25">
      <c r="A60" s="13">
        <v>45149</v>
      </c>
      <c r="B60" s="14">
        <f t="shared" si="1"/>
        <v>1726</v>
      </c>
      <c r="C60" s="25"/>
      <c r="D60" s="20" t="s">
        <v>14</v>
      </c>
      <c r="E60" s="21">
        <v>4435</v>
      </c>
      <c r="F60" s="22">
        <v>45150</v>
      </c>
      <c r="G60" s="31">
        <v>4435</v>
      </c>
      <c r="H60" s="19">
        <f t="shared" si="0"/>
        <v>0</v>
      </c>
    </row>
    <row r="61" spans="1:8" ht="28.5" customHeight="1" x14ac:dyDescent="0.25">
      <c r="A61" s="13">
        <v>45149</v>
      </c>
      <c r="B61" s="14">
        <f t="shared" si="1"/>
        <v>1727</v>
      </c>
      <c r="C61" s="25"/>
      <c r="D61" s="20" t="s">
        <v>13</v>
      </c>
      <c r="E61" s="21">
        <v>1531</v>
      </c>
      <c r="F61" s="22">
        <v>45150</v>
      </c>
      <c r="G61" s="31">
        <v>1531</v>
      </c>
      <c r="H61" s="19">
        <f t="shared" si="0"/>
        <v>0</v>
      </c>
    </row>
    <row r="62" spans="1:8" ht="28.5" customHeight="1" x14ac:dyDescent="0.25">
      <c r="A62" s="13">
        <v>45149</v>
      </c>
      <c r="B62" s="14">
        <f t="shared" si="1"/>
        <v>1728</v>
      </c>
      <c r="C62" s="25"/>
      <c r="D62" s="20" t="s">
        <v>14</v>
      </c>
      <c r="E62" s="21">
        <v>623</v>
      </c>
      <c r="F62" s="22">
        <v>45151</v>
      </c>
      <c r="G62" s="31">
        <v>623</v>
      </c>
      <c r="H62" s="19">
        <f t="shared" si="0"/>
        <v>0</v>
      </c>
    </row>
    <row r="63" spans="1:8" ht="28.5" customHeight="1" x14ac:dyDescent="0.25">
      <c r="A63" s="13">
        <v>45149</v>
      </c>
      <c r="B63" s="14">
        <f t="shared" si="1"/>
        <v>1729</v>
      </c>
      <c r="C63" s="25"/>
      <c r="D63" s="20" t="s">
        <v>25</v>
      </c>
      <c r="E63" s="21">
        <v>10117</v>
      </c>
      <c r="F63" s="22">
        <v>45151</v>
      </c>
      <c r="G63" s="31">
        <v>10117</v>
      </c>
      <c r="H63" s="19">
        <f t="shared" si="0"/>
        <v>0</v>
      </c>
    </row>
    <row r="64" spans="1:8" ht="28.5" customHeight="1" x14ac:dyDescent="0.25">
      <c r="A64" s="13">
        <v>45150</v>
      </c>
      <c r="B64" s="14">
        <f t="shared" si="1"/>
        <v>1730</v>
      </c>
      <c r="C64" s="25"/>
      <c r="D64" s="20" t="s">
        <v>12</v>
      </c>
      <c r="E64" s="21">
        <v>287</v>
      </c>
      <c r="F64" s="22">
        <v>45150</v>
      </c>
      <c r="G64" s="31">
        <v>287</v>
      </c>
      <c r="H64" s="19">
        <f t="shared" si="0"/>
        <v>0</v>
      </c>
    </row>
    <row r="65" spans="1:8" ht="42" customHeight="1" x14ac:dyDescent="0.25">
      <c r="A65" s="23">
        <v>45150</v>
      </c>
      <c r="B65" s="14">
        <f t="shared" si="1"/>
        <v>1731</v>
      </c>
      <c r="C65" s="25"/>
      <c r="D65" s="34" t="s">
        <v>19</v>
      </c>
      <c r="E65" s="21">
        <v>41106</v>
      </c>
      <c r="F65" s="22" t="s">
        <v>209</v>
      </c>
      <c r="G65" s="31">
        <f>40000+1106</f>
        <v>41106</v>
      </c>
      <c r="H65" s="19">
        <f t="shared" si="0"/>
        <v>0</v>
      </c>
    </row>
    <row r="66" spans="1:8" ht="35.25" customHeight="1" x14ac:dyDescent="0.25">
      <c r="A66" s="23">
        <v>45150</v>
      </c>
      <c r="B66" s="14">
        <f t="shared" si="1"/>
        <v>1732</v>
      </c>
      <c r="C66" s="25"/>
      <c r="D66" s="34" t="s">
        <v>15</v>
      </c>
      <c r="E66" s="21">
        <v>5370</v>
      </c>
      <c r="F66" s="22">
        <v>45152</v>
      </c>
      <c r="G66" s="31">
        <f>3370</f>
        <v>3370</v>
      </c>
      <c r="H66" s="19">
        <f t="shared" si="0"/>
        <v>2000</v>
      </c>
    </row>
    <row r="67" spans="1:8" ht="47.25" customHeight="1" x14ac:dyDescent="0.25">
      <c r="A67" s="23">
        <v>45150</v>
      </c>
      <c r="B67" s="14">
        <f t="shared" si="1"/>
        <v>1733</v>
      </c>
      <c r="C67" s="25"/>
      <c r="D67" s="34" t="s">
        <v>13</v>
      </c>
      <c r="E67" s="21">
        <v>4349</v>
      </c>
      <c r="F67" s="22">
        <v>45151</v>
      </c>
      <c r="G67" s="31">
        <v>4349</v>
      </c>
      <c r="H67" s="19">
        <f t="shared" si="0"/>
        <v>0</v>
      </c>
    </row>
    <row r="68" spans="1:8" ht="38.25" customHeight="1" x14ac:dyDescent="0.3">
      <c r="A68" s="23">
        <v>45150</v>
      </c>
      <c r="B68" s="14">
        <f t="shared" si="1"/>
        <v>1734</v>
      </c>
      <c r="C68" s="25"/>
      <c r="D68" s="75" t="s">
        <v>93</v>
      </c>
      <c r="E68" s="21">
        <v>11541</v>
      </c>
      <c r="F68" s="22" t="s">
        <v>210</v>
      </c>
      <c r="G68" s="31">
        <f>5245+6296</f>
        <v>11541</v>
      </c>
      <c r="H68" s="19">
        <f t="shared" si="0"/>
        <v>0</v>
      </c>
    </row>
    <row r="69" spans="1:8" ht="41.25" customHeight="1" x14ac:dyDescent="0.3">
      <c r="A69" s="23">
        <v>45150</v>
      </c>
      <c r="B69" s="14">
        <f t="shared" si="1"/>
        <v>1735</v>
      </c>
      <c r="C69" s="25"/>
      <c r="D69" s="75" t="s">
        <v>13</v>
      </c>
      <c r="E69" s="21">
        <v>3379</v>
      </c>
      <c r="F69" s="22">
        <v>45151</v>
      </c>
      <c r="G69" s="31">
        <v>3379</v>
      </c>
      <c r="H69" s="19">
        <f t="shared" si="0"/>
        <v>0</v>
      </c>
    </row>
    <row r="70" spans="1:8" ht="28.5" customHeight="1" x14ac:dyDescent="0.3">
      <c r="A70" s="23">
        <v>45150</v>
      </c>
      <c r="B70" s="14">
        <f t="shared" ref="B70:B133" si="2">B69+1</f>
        <v>1736</v>
      </c>
      <c r="C70" s="25"/>
      <c r="D70" s="75" t="s">
        <v>14</v>
      </c>
      <c r="E70" s="21">
        <v>5598</v>
      </c>
      <c r="F70" s="22">
        <v>45151</v>
      </c>
      <c r="G70" s="31">
        <v>5598</v>
      </c>
      <c r="H70" s="19">
        <f t="shared" si="0"/>
        <v>0</v>
      </c>
    </row>
    <row r="71" spans="1:8" ht="28.5" customHeight="1" x14ac:dyDescent="0.25">
      <c r="A71" s="23">
        <v>45150</v>
      </c>
      <c r="B71" s="14">
        <f t="shared" si="2"/>
        <v>1737</v>
      </c>
      <c r="C71" s="25"/>
      <c r="D71" s="20" t="s">
        <v>241</v>
      </c>
      <c r="E71" s="21">
        <v>18129</v>
      </c>
      <c r="F71" s="22">
        <v>45151</v>
      </c>
      <c r="G71" s="31">
        <v>18129</v>
      </c>
      <c r="H71" s="19">
        <f t="shared" si="0"/>
        <v>0</v>
      </c>
    </row>
    <row r="72" spans="1:8" ht="47.25" x14ac:dyDescent="0.25">
      <c r="A72" s="23">
        <v>45151</v>
      </c>
      <c r="B72" s="14">
        <f t="shared" si="2"/>
        <v>1738</v>
      </c>
      <c r="C72" s="25"/>
      <c r="D72" s="20" t="s">
        <v>241</v>
      </c>
      <c r="E72" s="21">
        <v>28000</v>
      </c>
      <c r="F72" s="22" t="s">
        <v>211</v>
      </c>
      <c r="G72" s="31">
        <f>11871+15000+1129</f>
        <v>28000</v>
      </c>
      <c r="H72" s="19">
        <f t="shared" si="0"/>
        <v>0</v>
      </c>
    </row>
    <row r="73" spans="1:8" ht="35.25" customHeight="1" x14ac:dyDescent="0.25">
      <c r="A73" s="23">
        <v>45151</v>
      </c>
      <c r="B73" s="14">
        <f t="shared" si="2"/>
        <v>1739</v>
      </c>
      <c r="C73" s="25"/>
      <c r="D73" s="20" t="s">
        <v>14</v>
      </c>
      <c r="E73" s="21">
        <v>1167</v>
      </c>
      <c r="F73" s="22" t="s">
        <v>212</v>
      </c>
      <c r="G73" s="31">
        <f>679+90+398</f>
        <v>1167</v>
      </c>
      <c r="H73" s="19">
        <f t="shared" si="0"/>
        <v>0</v>
      </c>
    </row>
    <row r="74" spans="1:8" ht="36" customHeight="1" x14ac:dyDescent="0.25">
      <c r="A74" s="23">
        <v>45151</v>
      </c>
      <c r="B74" s="14">
        <f t="shared" si="2"/>
        <v>1740</v>
      </c>
      <c r="C74" s="25"/>
      <c r="D74" s="20" t="s">
        <v>15</v>
      </c>
      <c r="E74" s="21">
        <v>4176</v>
      </c>
      <c r="F74" s="22" t="s">
        <v>213</v>
      </c>
      <c r="G74" s="31">
        <f>3500+676</f>
        <v>4176</v>
      </c>
      <c r="H74" s="19">
        <f t="shared" si="0"/>
        <v>0</v>
      </c>
    </row>
    <row r="75" spans="1:8" ht="30" customHeight="1" x14ac:dyDescent="0.25">
      <c r="A75" s="23">
        <v>45151</v>
      </c>
      <c r="B75" s="14">
        <f t="shared" si="2"/>
        <v>1741</v>
      </c>
      <c r="C75" s="25"/>
      <c r="D75" s="20" t="s">
        <v>168</v>
      </c>
      <c r="E75" s="21">
        <v>8193</v>
      </c>
      <c r="F75" s="22">
        <v>45152</v>
      </c>
      <c r="G75" s="31">
        <v>8193</v>
      </c>
      <c r="H75" s="19">
        <f t="shared" si="0"/>
        <v>0</v>
      </c>
    </row>
    <row r="76" spans="1:8" ht="26.25" customHeight="1" x14ac:dyDescent="0.25">
      <c r="A76" s="23">
        <v>45151</v>
      </c>
      <c r="B76" s="14">
        <f t="shared" si="2"/>
        <v>1742</v>
      </c>
      <c r="C76" s="25"/>
      <c r="D76" s="20" t="s">
        <v>19</v>
      </c>
      <c r="E76" s="21">
        <v>4896</v>
      </c>
      <c r="F76" s="22">
        <v>45152</v>
      </c>
      <c r="G76" s="31">
        <v>4896</v>
      </c>
      <c r="H76" s="19">
        <f t="shared" si="0"/>
        <v>0</v>
      </c>
    </row>
    <row r="77" spans="1:8" ht="26.25" customHeight="1" x14ac:dyDescent="0.25">
      <c r="A77" s="23">
        <v>45151</v>
      </c>
      <c r="B77" s="14">
        <f t="shared" si="2"/>
        <v>1743</v>
      </c>
      <c r="C77" s="25"/>
      <c r="D77" s="20" t="s">
        <v>13</v>
      </c>
      <c r="E77" s="21">
        <v>4586</v>
      </c>
      <c r="F77" s="22">
        <v>45152</v>
      </c>
      <c r="G77" s="31">
        <v>4586</v>
      </c>
      <c r="H77" s="19">
        <f t="shared" si="0"/>
        <v>0</v>
      </c>
    </row>
    <row r="78" spans="1:8" ht="36" customHeight="1" x14ac:dyDescent="0.25">
      <c r="A78" s="23">
        <v>45151</v>
      </c>
      <c r="B78" s="14">
        <f t="shared" si="2"/>
        <v>1744</v>
      </c>
      <c r="C78" s="25"/>
      <c r="D78" s="20" t="s">
        <v>25</v>
      </c>
      <c r="E78" s="21">
        <v>2720</v>
      </c>
      <c r="F78" s="22">
        <v>45152</v>
      </c>
      <c r="G78" s="31">
        <v>2720</v>
      </c>
      <c r="H78" s="19">
        <f t="shared" si="0"/>
        <v>0</v>
      </c>
    </row>
    <row r="79" spans="1:8" ht="26.25" customHeight="1" x14ac:dyDescent="0.25">
      <c r="A79" s="23">
        <v>45152</v>
      </c>
      <c r="B79" s="14">
        <f t="shared" si="2"/>
        <v>1745</v>
      </c>
      <c r="C79" s="25"/>
      <c r="D79" s="20" t="s">
        <v>241</v>
      </c>
      <c r="E79" s="21">
        <v>42000</v>
      </c>
      <c r="F79" s="22">
        <v>45153</v>
      </c>
      <c r="G79" s="31">
        <v>42000</v>
      </c>
      <c r="H79" s="19">
        <f t="shared" si="0"/>
        <v>0</v>
      </c>
    </row>
    <row r="80" spans="1:8" ht="25.5" customHeight="1" x14ac:dyDescent="0.25">
      <c r="A80" s="23">
        <v>45152</v>
      </c>
      <c r="B80" s="14">
        <f t="shared" si="2"/>
        <v>1746</v>
      </c>
      <c r="C80" s="25"/>
      <c r="D80" s="20" t="s">
        <v>13</v>
      </c>
      <c r="E80" s="21">
        <v>3822</v>
      </c>
      <c r="F80" s="22">
        <v>45153</v>
      </c>
      <c r="G80" s="31">
        <v>3822</v>
      </c>
      <c r="H80" s="19">
        <f t="shared" si="0"/>
        <v>0</v>
      </c>
    </row>
    <row r="81" spans="1:8" ht="35.25" customHeight="1" x14ac:dyDescent="0.25">
      <c r="A81" s="23">
        <v>45152</v>
      </c>
      <c r="B81" s="14">
        <f t="shared" si="2"/>
        <v>1747</v>
      </c>
      <c r="C81" s="25"/>
      <c r="D81" s="20" t="s">
        <v>93</v>
      </c>
      <c r="E81" s="21">
        <v>12336</v>
      </c>
      <c r="F81" s="22" t="s">
        <v>220</v>
      </c>
      <c r="G81" s="31">
        <f>6204+6132</f>
        <v>12336</v>
      </c>
      <c r="H81" s="19">
        <f t="shared" si="0"/>
        <v>0</v>
      </c>
    </row>
    <row r="82" spans="1:8" ht="28.5" customHeight="1" x14ac:dyDescent="0.25">
      <c r="A82" s="23">
        <v>45152</v>
      </c>
      <c r="B82" s="14">
        <f t="shared" si="2"/>
        <v>1748</v>
      </c>
      <c r="C82" s="25"/>
      <c r="D82" s="20" t="s">
        <v>25</v>
      </c>
      <c r="E82" s="21">
        <v>2578</v>
      </c>
      <c r="F82" s="22">
        <v>45156</v>
      </c>
      <c r="G82" s="31">
        <v>2578</v>
      </c>
      <c r="H82" s="19">
        <f t="shared" si="0"/>
        <v>0</v>
      </c>
    </row>
    <row r="83" spans="1:8" ht="36" customHeight="1" x14ac:dyDescent="0.25">
      <c r="A83" s="23">
        <v>45153</v>
      </c>
      <c r="B83" s="14">
        <f t="shared" si="2"/>
        <v>1749</v>
      </c>
      <c r="C83" s="25"/>
      <c r="D83" s="20" t="s">
        <v>15</v>
      </c>
      <c r="E83" s="21">
        <v>4539</v>
      </c>
      <c r="F83" s="22" t="s">
        <v>214</v>
      </c>
      <c r="G83" s="31">
        <f>2500+2039</f>
        <v>4539</v>
      </c>
      <c r="H83" s="19">
        <f t="shared" si="0"/>
        <v>0</v>
      </c>
    </row>
    <row r="84" spans="1:8" ht="25.5" customHeight="1" x14ac:dyDescent="0.25">
      <c r="A84" s="23">
        <v>45153</v>
      </c>
      <c r="B84" s="14">
        <f t="shared" si="2"/>
        <v>1750</v>
      </c>
      <c r="C84" s="25"/>
      <c r="D84" s="20" t="s">
        <v>13</v>
      </c>
      <c r="E84" s="21">
        <v>4694</v>
      </c>
      <c r="F84" s="22">
        <v>45155</v>
      </c>
      <c r="G84" s="31">
        <v>4694</v>
      </c>
      <c r="H84" s="19">
        <f t="shared" si="0"/>
        <v>0</v>
      </c>
    </row>
    <row r="85" spans="1:8" ht="25.5" customHeight="1" x14ac:dyDescent="0.25">
      <c r="A85" s="23">
        <v>45153</v>
      </c>
      <c r="B85" s="14">
        <f t="shared" si="2"/>
        <v>1751</v>
      </c>
      <c r="C85" s="25"/>
      <c r="D85" s="20" t="s">
        <v>14</v>
      </c>
      <c r="E85" s="21">
        <v>5001</v>
      </c>
      <c r="F85" s="22">
        <v>45155</v>
      </c>
      <c r="G85" s="31">
        <v>5001</v>
      </c>
      <c r="H85" s="19">
        <f t="shared" si="0"/>
        <v>0</v>
      </c>
    </row>
    <row r="86" spans="1:8" ht="27.75" customHeight="1" x14ac:dyDescent="0.25">
      <c r="A86" s="23">
        <v>45153</v>
      </c>
      <c r="B86" s="14">
        <f t="shared" si="2"/>
        <v>1752</v>
      </c>
      <c r="C86" s="25"/>
      <c r="D86" s="20" t="s">
        <v>114</v>
      </c>
      <c r="E86" s="21">
        <v>9702</v>
      </c>
      <c r="F86" s="22">
        <v>45154</v>
      </c>
      <c r="G86" s="31">
        <v>9702</v>
      </c>
      <c r="H86" s="19">
        <f t="shared" si="0"/>
        <v>0</v>
      </c>
    </row>
    <row r="87" spans="1:8" ht="39.75" customHeight="1" x14ac:dyDescent="0.25">
      <c r="A87" s="23">
        <v>45153</v>
      </c>
      <c r="B87" s="14">
        <f t="shared" si="2"/>
        <v>1753</v>
      </c>
      <c r="C87" s="25"/>
      <c r="D87" s="20" t="s">
        <v>93</v>
      </c>
      <c r="E87" s="21">
        <v>5165</v>
      </c>
      <c r="F87" s="22" t="s">
        <v>233</v>
      </c>
      <c r="G87" s="31">
        <f>3868+1297</f>
        <v>5165</v>
      </c>
      <c r="H87" s="19">
        <f t="shared" si="0"/>
        <v>0</v>
      </c>
    </row>
    <row r="88" spans="1:8" ht="25.5" customHeight="1" x14ac:dyDescent="0.25">
      <c r="A88" s="23">
        <v>45155</v>
      </c>
      <c r="B88" s="14">
        <f t="shared" si="2"/>
        <v>1754</v>
      </c>
      <c r="C88" s="25"/>
      <c r="D88" s="20" t="s">
        <v>12</v>
      </c>
      <c r="E88" s="21">
        <v>278</v>
      </c>
      <c r="F88" s="22">
        <v>45155</v>
      </c>
      <c r="G88" s="31">
        <v>278</v>
      </c>
      <c r="H88" s="19">
        <f t="shared" si="0"/>
        <v>0</v>
      </c>
    </row>
    <row r="89" spans="1:8" ht="25.5" customHeight="1" x14ac:dyDescent="0.25">
      <c r="A89" s="23">
        <v>45155</v>
      </c>
      <c r="B89" s="14">
        <f t="shared" si="2"/>
        <v>1755</v>
      </c>
      <c r="C89" s="25"/>
      <c r="D89" s="20" t="s">
        <v>15</v>
      </c>
      <c r="E89" s="21">
        <v>3745</v>
      </c>
      <c r="F89" s="22">
        <v>45158</v>
      </c>
      <c r="G89" s="31">
        <v>3745</v>
      </c>
      <c r="H89" s="19">
        <f t="shared" si="0"/>
        <v>0</v>
      </c>
    </row>
    <row r="90" spans="1:8" ht="33" customHeight="1" x14ac:dyDescent="0.25">
      <c r="A90" s="23">
        <v>45155</v>
      </c>
      <c r="B90" s="14">
        <f t="shared" si="2"/>
        <v>1756</v>
      </c>
      <c r="C90" s="25"/>
      <c r="D90" s="34" t="s">
        <v>14</v>
      </c>
      <c r="E90" s="21">
        <v>5042</v>
      </c>
      <c r="F90" s="22">
        <v>45156</v>
      </c>
      <c r="G90" s="31">
        <v>5042</v>
      </c>
      <c r="H90" s="19">
        <f t="shared" si="0"/>
        <v>0</v>
      </c>
    </row>
    <row r="91" spans="1:8" ht="30.75" customHeight="1" x14ac:dyDescent="0.25">
      <c r="A91" s="23">
        <v>45155</v>
      </c>
      <c r="B91" s="14">
        <f t="shared" si="2"/>
        <v>1757</v>
      </c>
      <c r="C91" s="25"/>
      <c r="D91" s="34" t="s">
        <v>13</v>
      </c>
      <c r="E91" s="21">
        <v>4126</v>
      </c>
      <c r="F91" s="22">
        <v>45156</v>
      </c>
      <c r="G91" s="31">
        <v>4126</v>
      </c>
      <c r="H91" s="19">
        <f t="shared" si="0"/>
        <v>0</v>
      </c>
    </row>
    <row r="92" spans="1:8" ht="34.5" customHeight="1" x14ac:dyDescent="0.25">
      <c r="A92" s="23">
        <v>45155</v>
      </c>
      <c r="B92" s="14">
        <f t="shared" si="2"/>
        <v>1758</v>
      </c>
      <c r="C92" s="25"/>
      <c r="D92" s="81" t="s">
        <v>18</v>
      </c>
      <c r="E92" s="82">
        <v>0</v>
      </c>
      <c r="F92" s="22"/>
      <c r="G92" s="31"/>
      <c r="H92" s="19">
        <f t="shared" si="0"/>
        <v>0</v>
      </c>
    </row>
    <row r="93" spans="1:8" ht="26.25" customHeight="1" x14ac:dyDescent="0.25">
      <c r="A93" s="23">
        <v>45155</v>
      </c>
      <c r="B93" s="14">
        <f t="shared" si="2"/>
        <v>1759</v>
      </c>
      <c r="C93" s="25"/>
      <c r="D93" s="81" t="s">
        <v>18</v>
      </c>
      <c r="E93" s="82">
        <v>0</v>
      </c>
      <c r="F93" s="22"/>
      <c r="G93" s="31"/>
      <c r="H93" s="19">
        <f t="shared" si="0"/>
        <v>0</v>
      </c>
    </row>
    <row r="94" spans="1:8" ht="26.25" customHeight="1" x14ac:dyDescent="0.25">
      <c r="A94" s="23">
        <v>45155</v>
      </c>
      <c r="B94" s="14">
        <f t="shared" si="2"/>
        <v>1760</v>
      </c>
      <c r="C94" s="25"/>
      <c r="D94" s="81" t="s">
        <v>18</v>
      </c>
      <c r="E94" s="82">
        <v>0</v>
      </c>
      <c r="F94" s="22"/>
      <c r="G94" s="31"/>
      <c r="H94" s="19">
        <f t="shared" si="0"/>
        <v>0</v>
      </c>
    </row>
    <row r="95" spans="1:8" ht="26.25" customHeight="1" x14ac:dyDescent="0.25">
      <c r="A95" s="23">
        <v>45155</v>
      </c>
      <c r="B95" s="14">
        <f t="shared" si="2"/>
        <v>1761</v>
      </c>
      <c r="C95" s="25"/>
      <c r="D95" s="34" t="s">
        <v>13</v>
      </c>
      <c r="E95" s="21">
        <v>4577</v>
      </c>
      <c r="F95" s="22">
        <v>45157</v>
      </c>
      <c r="G95" s="31">
        <v>4577</v>
      </c>
      <c r="H95" s="19">
        <f t="shared" si="0"/>
        <v>0</v>
      </c>
    </row>
    <row r="96" spans="1:8" ht="26.25" customHeight="1" x14ac:dyDescent="0.25">
      <c r="A96" s="23">
        <v>45155</v>
      </c>
      <c r="B96" s="14">
        <f t="shared" si="2"/>
        <v>1762</v>
      </c>
      <c r="C96" s="25"/>
      <c r="D96" s="81" t="s">
        <v>18</v>
      </c>
      <c r="E96" s="21">
        <v>0</v>
      </c>
      <c r="F96" s="22"/>
      <c r="G96" s="31"/>
      <c r="H96" s="19">
        <f t="shared" si="0"/>
        <v>0</v>
      </c>
    </row>
    <row r="97" spans="1:8" ht="28.5" customHeight="1" x14ac:dyDescent="0.25">
      <c r="A97" s="23">
        <v>45155</v>
      </c>
      <c r="B97" s="14">
        <f t="shared" si="2"/>
        <v>1763</v>
      </c>
      <c r="C97" s="25"/>
      <c r="D97" s="34" t="s">
        <v>19</v>
      </c>
      <c r="E97" s="21">
        <v>15673</v>
      </c>
      <c r="F97" s="22">
        <v>45157</v>
      </c>
      <c r="G97" s="31">
        <v>15673</v>
      </c>
      <c r="H97" s="19">
        <f t="shared" si="0"/>
        <v>0</v>
      </c>
    </row>
    <row r="98" spans="1:8" ht="25.5" customHeight="1" x14ac:dyDescent="0.25">
      <c r="A98" s="23">
        <v>45155</v>
      </c>
      <c r="B98" s="14">
        <f t="shared" si="2"/>
        <v>1764</v>
      </c>
      <c r="C98" s="25"/>
      <c r="D98" s="34" t="s">
        <v>14</v>
      </c>
      <c r="E98" s="21">
        <v>4605</v>
      </c>
      <c r="F98" s="22">
        <v>45157</v>
      </c>
      <c r="G98" s="31">
        <v>4605</v>
      </c>
      <c r="H98" s="19">
        <f t="shared" si="0"/>
        <v>0</v>
      </c>
    </row>
    <row r="99" spans="1:8" ht="25.5" customHeight="1" x14ac:dyDescent="0.25">
      <c r="A99" s="23">
        <v>45155</v>
      </c>
      <c r="B99" s="14">
        <f t="shared" si="2"/>
        <v>1765</v>
      </c>
      <c r="C99" s="25"/>
      <c r="D99" s="81" t="s">
        <v>18</v>
      </c>
      <c r="E99" s="82">
        <v>0</v>
      </c>
      <c r="F99" s="22"/>
      <c r="G99" s="31"/>
      <c r="H99" s="19">
        <f t="shared" si="0"/>
        <v>0</v>
      </c>
    </row>
    <row r="100" spans="1:8" ht="25.5" customHeight="1" x14ac:dyDescent="0.25">
      <c r="A100" s="23">
        <v>45155</v>
      </c>
      <c r="B100" s="14">
        <f t="shared" si="2"/>
        <v>1766</v>
      </c>
      <c r="C100" s="25"/>
      <c r="D100" s="34" t="s">
        <v>15</v>
      </c>
      <c r="E100" s="21">
        <v>4689</v>
      </c>
      <c r="F100" s="22">
        <v>45158</v>
      </c>
      <c r="G100" s="31">
        <v>4689</v>
      </c>
      <c r="H100" s="19">
        <f t="shared" si="0"/>
        <v>0</v>
      </c>
    </row>
    <row r="101" spans="1:8" ht="25.5" customHeight="1" x14ac:dyDescent="0.25">
      <c r="A101" s="23">
        <v>45155</v>
      </c>
      <c r="B101" s="14">
        <f t="shared" si="2"/>
        <v>1767</v>
      </c>
      <c r="C101" s="25"/>
      <c r="D101" s="34" t="s">
        <v>12</v>
      </c>
      <c r="E101" s="21">
        <v>1</v>
      </c>
      <c r="F101" s="22">
        <v>45156</v>
      </c>
      <c r="G101" s="31">
        <v>1</v>
      </c>
      <c r="H101" s="19">
        <f t="shared" si="0"/>
        <v>0</v>
      </c>
    </row>
    <row r="102" spans="1:8" ht="40.5" customHeight="1" x14ac:dyDescent="0.25">
      <c r="A102" s="23">
        <v>45155</v>
      </c>
      <c r="B102" s="14">
        <f t="shared" si="2"/>
        <v>1768</v>
      </c>
      <c r="C102" s="25"/>
      <c r="D102" s="34" t="s">
        <v>114</v>
      </c>
      <c r="E102" s="21">
        <v>9563</v>
      </c>
      <c r="F102" s="22" t="s">
        <v>217</v>
      </c>
      <c r="G102" s="31">
        <f>8900+663</f>
        <v>9563</v>
      </c>
      <c r="H102" s="19">
        <f t="shared" si="0"/>
        <v>0</v>
      </c>
    </row>
    <row r="103" spans="1:8" ht="26.25" customHeight="1" x14ac:dyDescent="0.25">
      <c r="A103" s="23">
        <v>45155</v>
      </c>
      <c r="B103" s="14">
        <f t="shared" si="2"/>
        <v>1769</v>
      </c>
      <c r="C103" s="25"/>
      <c r="D103" s="34" t="s">
        <v>24</v>
      </c>
      <c r="E103" s="21">
        <v>13275</v>
      </c>
      <c r="F103" s="22">
        <v>45165</v>
      </c>
      <c r="G103" s="31">
        <v>13275</v>
      </c>
      <c r="H103" s="19">
        <f t="shared" si="0"/>
        <v>0</v>
      </c>
    </row>
    <row r="104" spans="1:8" ht="25.5" customHeight="1" x14ac:dyDescent="0.25">
      <c r="A104" s="23">
        <v>45155</v>
      </c>
      <c r="B104" s="14">
        <f t="shared" si="2"/>
        <v>1770</v>
      </c>
      <c r="C104" s="25"/>
      <c r="D104" s="34" t="s">
        <v>25</v>
      </c>
      <c r="E104" s="21">
        <v>10559</v>
      </c>
      <c r="F104" s="22">
        <v>45158</v>
      </c>
      <c r="G104" s="31">
        <v>10559</v>
      </c>
      <c r="H104" s="19">
        <f t="shared" si="0"/>
        <v>0</v>
      </c>
    </row>
    <row r="105" spans="1:8" ht="39" customHeight="1" x14ac:dyDescent="0.25">
      <c r="A105" s="23">
        <v>45157</v>
      </c>
      <c r="B105" s="14">
        <f t="shared" si="2"/>
        <v>1771</v>
      </c>
      <c r="C105" s="25"/>
      <c r="D105" s="34" t="s">
        <v>15</v>
      </c>
      <c r="E105" s="21">
        <v>7653</v>
      </c>
      <c r="F105" s="22" t="s">
        <v>219</v>
      </c>
      <c r="G105" s="31">
        <f>4600+3053</f>
        <v>7653</v>
      </c>
      <c r="H105" s="19">
        <f t="shared" si="0"/>
        <v>0</v>
      </c>
    </row>
    <row r="106" spans="1:8" ht="25.5" customHeight="1" x14ac:dyDescent="0.25">
      <c r="A106" s="23">
        <v>45157</v>
      </c>
      <c r="B106" s="14">
        <f t="shared" si="2"/>
        <v>1772</v>
      </c>
      <c r="C106" s="25"/>
      <c r="D106" s="34" t="s">
        <v>13</v>
      </c>
      <c r="E106" s="21">
        <v>4351</v>
      </c>
      <c r="F106" s="22">
        <v>45158</v>
      </c>
      <c r="G106" s="31">
        <v>4351</v>
      </c>
      <c r="H106" s="19">
        <f t="shared" si="0"/>
        <v>0</v>
      </c>
    </row>
    <row r="107" spans="1:8" ht="25.5" customHeight="1" x14ac:dyDescent="0.25">
      <c r="A107" s="23">
        <v>45157</v>
      </c>
      <c r="B107" s="14">
        <f t="shared" si="2"/>
        <v>1773</v>
      </c>
      <c r="C107" s="25"/>
      <c r="D107" s="34" t="s">
        <v>14</v>
      </c>
      <c r="E107" s="21">
        <v>1739</v>
      </c>
      <c r="F107" s="22" t="s">
        <v>218</v>
      </c>
      <c r="G107" s="31">
        <f>1739</f>
        <v>1739</v>
      </c>
      <c r="H107" s="19">
        <f t="shared" si="0"/>
        <v>0</v>
      </c>
    </row>
    <row r="108" spans="1:8" ht="25.5" customHeight="1" x14ac:dyDescent="0.25">
      <c r="A108" s="23">
        <v>45157</v>
      </c>
      <c r="B108" s="14">
        <f t="shared" si="2"/>
        <v>1774</v>
      </c>
      <c r="C108" s="25"/>
      <c r="D108" s="34" t="s">
        <v>114</v>
      </c>
      <c r="E108" s="21">
        <v>9122</v>
      </c>
      <c r="F108" s="22">
        <v>45158</v>
      </c>
      <c r="G108" s="31">
        <v>9122</v>
      </c>
      <c r="H108" s="19">
        <f t="shared" si="0"/>
        <v>0</v>
      </c>
    </row>
    <row r="109" spans="1:8" ht="39.75" customHeight="1" x14ac:dyDescent="0.25">
      <c r="A109" s="23">
        <v>45158</v>
      </c>
      <c r="B109" s="14">
        <f t="shared" si="2"/>
        <v>1775</v>
      </c>
      <c r="C109" s="25"/>
      <c r="D109" s="34" t="s">
        <v>15</v>
      </c>
      <c r="E109" s="21">
        <v>4900</v>
      </c>
      <c r="F109" s="22" t="s">
        <v>221</v>
      </c>
      <c r="G109" s="31">
        <f>2000+100+2800</f>
        <v>4900</v>
      </c>
      <c r="H109" s="19">
        <f t="shared" si="0"/>
        <v>0</v>
      </c>
    </row>
    <row r="110" spans="1:8" ht="25.5" customHeight="1" x14ac:dyDescent="0.25">
      <c r="A110" s="23">
        <v>45158</v>
      </c>
      <c r="B110" s="14">
        <f t="shared" si="2"/>
        <v>1776</v>
      </c>
      <c r="C110" s="25"/>
      <c r="D110" s="34" t="s">
        <v>13</v>
      </c>
      <c r="E110" s="21">
        <v>5380</v>
      </c>
      <c r="F110" s="22">
        <v>45159</v>
      </c>
      <c r="G110" s="31">
        <v>5380</v>
      </c>
      <c r="H110" s="19">
        <f t="shared" si="0"/>
        <v>0</v>
      </c>
    </row>
    <row r="111" spans="1:8" ht="25.5" customHeight="1" x14ac:dyDescent="0.25">
      <c r="A111" s="23">
        <v>45158</v>
      </c>
      <c r="B111" s="14">
        <f t="shared" si="2"/>
        <v>1777</v>
      </c>
      <c r="C111" s="25"/>
      <c r="D111" s="34" t="s">
        <v>25</v>
      </c>
      <c r="E111" s="21">
        <v>3258</v>
      </c>
      <c r="F111" s="22">
        <v>45160</v>
      </c>
      <c r="G111" s="31">
        <v>3258</v>
      </c>
      <c r="H111" s="19">
        <f t="shared" si="0"/>
        <v>0</v>
      </c>
    </row>
    <row r="112" spans="1:8" ht="39.75" customHeight="1" x14ac:dyDescent="0.25">
      <c r="A112" s="23">
        <v>45159</v>
      </c>
      <c r="B112" s="14">
        <f t="shared" si="2"/>
        <v>1778</v>
      </c>
      <c r="C112" s="25"/>
      <c r="D112" s="34" t="s">
        <v>14</v>
      </c>
      <c r="E112" s="21">
        <v>5171</v>
      </c>
      <c r="F112" s="22" t="s">
        <v>222</v>
      </c>
      <c r="G112" s="31">
        <f>4671+500</f>
        <v>5171</v>
      </c>
      <c r="H112" s="19">
        <f t="shared" si="0"/>
        <v>0</v>
      </c>
    </row>
    <row r="113" spans="1:8" ht="25.5" customHeight="1" x14ac:dyDescent="0.25">
      <c r="A113" s="23">
        <v>45159</v>
      </c>
      <c r="B113" s="14">
        <f t="shared" si="2"/>
        <v>1779</v>
      </c>
      <c r="C113" s="25"/>
      <c r="D113" s="34" t="s">
        <v>13</v>
      </c>
      <c r="E113" s="21">
        <v>5086</v>
      </c>
      <c r="F113" s="22">
        <v>45161</v>
      </c>
      <c r="G113" s="31">
        <v>5086</v>
      </c>
      <c r="H113" s="19">
        <f t="shared" si="0"/>
        <v>0</v>
      </c>
    </row>
    <row r="114" spans="1:8" ht="27" customHeight="1" x14ac:dyDescent="0.25">
      <c r="A114" s="23">
        <v>45159</v>
      </c>
      <c r="B114" s="14">
        <f t="shared" si="2"/>
        <v>1780</v>
      </c>
      <c r="C114" s="25"/>
      <c r="D114" s="34" t="s">
        <v>93</v>
      </c>
      <c r="E114" s="21">
        <v>9278</v>
      </c>
      <c r="F114" s="22">
        <v>45164</v>
      </c>
      <c r="G114" s="31">
        <v>9278</v>
      </c>
      <c r="H114" s="19">
        <f t="shared" si="0"/>
        <v>0</v>
      </c>
    </row>
    <row r="115" spans="1:8" ht="25.5" customHeight="1" x14ac:dyDescent="0.25">
      <c r="A115" s="23">
        <v>45159</v>
      </c>
      <c r="B115" s="14">
        <f t="shared" si="2"/>
        <v>1781</v>
      </c>
      <c r="C115" s="25"/>
      <c r="D115" s="34" t="s">
        <v>114</v>
      </c>
      <c r="E115" s="21">
        <v>9211</v>
      </c>
      <c r="F115" s="22">
        <v>45160</v>
      </c>
      <c r="G115" s="31">
        <v>9211</v>
      </c>
      <c r="H115" s="19">
        <f t="shared" si="0"/>
        <v>0</v>
      </c>
    </row>
    <row r="116" spans="1:8" ht="25.5" customHeight="1" x14ac:dyDescent="0.25">
      <c r="A116" s="23">
        <v>45159</v>
      </c>
      <c r="B116" s="14">
        <f t="shared" si="2"/>
        <v>1782</v>
      </c>
      <c r="C116" s="25"/>
      <c r="D116" s="34" t="s">
        <v>12</v>
      </c>
      <c r="E116" s="21">
        <v>3528</v>
      </c>
      <c r="F116" s="22">
        <v>45161</v>
      </c>
      <c r="G116" s="31">
        <v>3528</v>
      </c>
      <c r="H116" s="19">
        <f t="shared" si="0"/>
        <v>0</v>
      </c>
    </row>
    <row r="117" spans="1:8" ht="25.5" customHeight="1" x14ac:dyDescent="0.25">
      <c r="A117" s="23">
        <v>45160</v>
      </c>
      <c r="B117" s="14">
        <f t="shared" si="2"/>
        <v>1783</v>
      </c>
      <c r="C117" s="25"/>
      <c r="D117" s="84" t="s">
        <v>229</v>
      </c>
      <c r="E117" s="72">
        <v>2023</v>
      </c>
      <c r="F117" s="22">
        <v>45163</v>
      </c>
      <c r="G117" s="31">
        <v>2023</v>
      </c>
      <c r="H117" s="19">
        <f t="shared" si="0"/>
        <v>0</v>
      </c>
    </row>
    <row r="118" spans="1:8" ht="25.5" customHeight="1" x14ac:dyDescent="0.25">
      <c r="A118" s="23">
        <v>45160</v>
      </c>
      <c r="B118" s="14">
        <f t="shared" si="2"/>
        <v>1784</v>
      </c>
      <c r="C118" s="25"/>
      <c r="D118" s="34" t="s">
        <v>226</v>
      </c>
      <c r="E118" s="21">
        <v>117</v>
      </c>
      <c r="F118" s="22">
        <v>45161</v>
      </c>
      <c r="G118" s="31">
        <v>117</v>
      </c>
      <c r="H118" s="19">
        <f t="shared" si="0"/>
        <v>0</v>
      </c>
    </row>
    <row r="119" spans="1:8" ht="25.5" customHeight="1" x14ac:dyDescent="0.25">
      <c r="A119" s="23">
        <v>45160</v>
      </c>
      <c r="B119" s="14">
        <f t="shared" si="2"/>
        <v>1785</v>
      </c>
      <c r="C119" s="25"/>
      <c r="D119" s="34" t="s">
        <v>227</v>
      </c>
      <c r="E119" s="21">
        <v>8127</v>
      </c>
      <c r="F119" s="22">
        <v>45162</v>
      </c>
      <c r="G119" s="31">
        <v>8127</v>
      </c>
      <c r="H119" s="19">
        <f t="shared" si="0"/>
        <v>0</v>
      </c>
    </row>
    <row r="120" spans="1:8" ht="25.5" customHeight="1" x14ac:dyDescent="0.25">
      <c r="A120" s="23">
        <v>45160</v>
      </c>
      <c r="B120" s="14">
        <f t="shared" si="2"/>
        <v>1786</v>
      </c>
      <c r="C120" s="25"/>
      <c r="D120" s="85" t="s">
        <v>228</v>
      </c>
      <c r="E120" s="86">
        <v>3557</v>
      </c>
      <c r="F120" s="22">
        <v>45162</v>
      </c>
      <c r="G120" s="31">
        <v>3557</v>
      </c>
      <c r="H120" s="19">
        <f t="shared" si="0"/>
        <v>0</v>
      </c>
    </row>
    <row r="121" spans="1:8" ht="51" customHeight="1" x14ac:dyDescent="0.25">
      <c r="A121" s="23">
        <v>45160</v>
      </c>
      <c r="B121" s="14">
        <f>B120+1</f>
        <v>1787</v>
      </c>
      <c r="C121" s="25"/>
      <c r="D121" s="34" t="s">
        <v>223</v>
      </c>
      <c r="E121" s="21">
        <v>12412</v>
      </c>
      <c r="F121" s="88" t="s">
        <v>242</v>
      </c>
      <c r="G121" s="31">
        <f>8000+1435+2831+146</f>
        <v>12412</v>
      </c>
      <c r="H121" s="19">
        <f t="shared" si="0"/>
        <v>0</v>
      </c>
    </row>
    <row r="122" spans="1:8" ht="43.5" customHeight="1" x14ac:dyDescent="0.25">
      <c r="A122" s="23">
        <v>45160</v>
      </c>
      <c r="B122" s="14">
        <f t="shared" si="2"/>
        <v>1788</v>
      </c>
      <c r="C122" s="25"/>
      <c r="D122" s="34" t="s">
        <v>224</v>
      </c>
      <c r="E122" s="21">
        <v>7317</v>
      </c>
      <c r="F122" s="22" t="s">
        <v>234</v>
      </c>
      <c r="G122" s="31">
        <f>2317+5000</f>
        <v>7317</v>
      </c>
      <c r="H122" s="19">
        <f t="shared" si="0"/>
        <v>0</v>
      </c>
    </row>
    <row r="123" spans="1:8" ht="37.5" customHeight="1" x14ac:dyDescent="0.25">
      <c r="A123" s="23">
        <v>45160</v>
      </c>
      <c r="B123" s="14">
        <f t="shared" si="2"/>
        <v>1789</v>
      </c>
      <c r="C123" s="25"/>
      <c r="D123" s="34" t="s">
        <v>225</v>
      </c>
      <c r="E123" s="21">
        <v>5316</v>
      </c>
      <c r="F123" s="22" t="s">
        <v>230</v>
      </c>
      <c r="G123" s="31">
        <f>4516+800</f>
        <v>5316</v>
      </c>
      <c r="H123" s="19">
        <f t="shared" si="0"/>
        <v>0</v>
      </c>
    </row>
    <row r="124" spans="1:8" ht="25.5" customHeight="1" x14ac:dyDescent="0.25">
      <c r="A124" s="23">
        <v>45162</v>
      </c>
      <c r="B124" s="14">
        <f t="shared" si="2"/>
        <v>1790</v>
      </c>
      <c r="C124" s="25"/>
      <c r="D124" s="34" t="s">
        <v>12</v>
      </c>
      <c r="E124" s="21">
        <v>263</v>
      </c>
      <c r="F124" s="22">
        <v>45162</v>
      </c>
      <c r="G124" s="31">
        <v>263</v>
      </c>
      <c r="H124" s="19">
        <f t="shared" si="0"/>
        <v>0</v>
      </c>
    </row>
    <row r="125" spans="1:8" ht="31.5" x14ac:dyDescent="0.25">
      <c r="A125" s="23">
        <v>45162</v>
      </c>
      <c r="B125" s="14">
        <f t="shared" si="2"/>
        <v>1791</v>
      </c>
      <c r="C125" s="25"/>
      <c r="D125" s="34" t="s">
        <v>114</v>
      </c>
      <c r="E125" s="21">
        <v>13016</v>
      </c>
      <c r="F125" s="22" t="s">
        <v>231</v>
      </c>
      <c r="G125" s="31">
        <f>10000+3016</f>
        <v>13016</v>
      </c>
      <c r="H125" s="19">
        <f t="shared" si="0"/>
        <v>0</v>
      </c>
    </row>
    <row r="126" spans="1:8" ht="26.25" customHeight="1" x14ac:dyDescent="0.25">
      <c r="A126" s="23">
        <v>45162</v>
      </c>
      <c r="B126" s="14">
        <f t="shared" si="2"/>
        <v>1792</v>
      </c>
      <c r="C126" s="25"/>
      <c r="D126" s="34" t="s">
        <v>15</v>
      </c>
      <c r="E126" s="21">
        <v>3714</v>
      </c>
      <c r="F126" s="22">
        <v>45165</v>
      </c>
      <c r="G126" s="31">
        <v>3714</v>
      </c>
      <c r="H126" s="19">
        <f t="shared" si="0"/>
        <v>0</v>
      </c>
    </row>
    <row r="127" spans="1:8" ht="24.75" customHeight="1" x14ac:dyDescent="0.25">
      <c r="A127" s="23">
        <v>45162</v>
      </c>
      <c r="B127" s="14">
        <f t="shared" si="2"/>
        <v>1793</v>
      </c>
      <c r="C127" s="25"/>
      <c r="D127" s="34" t="s">
        <v>14</v>
      </c>
      <c r="E127" s="21">
        <v>4938</v>
      </c>
      <c r="F127" s="22">
        <v>45163</v>
      </c>
      <c r="G127" s="31">
        <v>4938</v>
      </c>
      <c r="H127" s="19">
        <f t="shared" si="0"/>
        <v>0</v>
      </c>
    </row>
    <row r="128" spans="1:8" ht="22.5" customHeight="1" x14ac:dyDescent="0.25">
      <c r="A128" s="23">
        <v>45162</v>
      </c>
      <c r="B128" s="14">
        <f t="shared" si="2"/>
        <v>1794</v>
      </c>
      <c r="C128" s="25"/>
      <c r="D128" s="34" t="s">
        <v>93</v>
      </c>
      <c r="E128" s="21">
        <v>9946</v>
      </c>
      <c r="F128" s="22">
        <v>45164</v>
      </c>
      <c r="G128" s="31">
        <v>9946</v>
      </c>
      <c r="H128" s="19">
        <f t="shared" si="0"/>
        <v>0</v>
      </c>
    </row>
    <row r="129" spans="1:8" ht="25.5" customHeight="1" x14ac:dyDescent="0.25">
      <c r="A129" s="23">
        <v>45162</v>
      </c>
      <c r="B129" s="14">
        <f t="shared" si="2"/>
        <v>1795</v>
      </c>
      <c r="C129" s="25"/>
      <c r="D129" s="34" t="s">
        <v>13</v>
      </c>
      <c r="E129" s="21">
        <v>3763</v>
      </c>
      <c r="F129" s="22">
        <v>45163</v>
      </c>
      <c r="G129" s="31">
        <v>3763</v>
      </c>
      <c r="H129" s="19">
        <f t="shared" si="0"/>
        <v>0</v>
      </c>
    </row>
    <row r="130" spans="1:8" ht="60" x14ac:dyDescent="0.25">
      <c r="A130" s="23">
        <v>45163</v>
      </c>
      <c r="B130" s="14">
        <f t="shared" si="2"/>
        <v>1796</v>
      </c>
      <c r="C130" s="25"/>
      <c r="D130" s="34" t="s">
        <v>14</v>
      </c>
      <c r="E130" s="21">
        <v>4401</v>
      </c>
      <c r="F130" s="78" t="s">
        <v>235</v>
      </c>
      <c r="G130" s="31">
        <f>3800+300+100+201</f>
        <v>4401</v>
      </c>
      <c r="H130" s="19">
        <f t="shared" si="0"/>
        <v>0</v>
      </c>
    </row>
    <row r="131" spans="1:8" ht="25.5" customHeight="1" x14ac:dyDescent="0.25">
      <c r="A131" s="23">
        <v>45163</v>
      </c>
      <c r="B131" s="14">
        <f t="shared" si="2"/>
        <v>1797</v>
      </c>
      <c r="C131" s="25"/>
      <c r="D131" s="34" t="s">
        <v>15</v>
      </c>
      <c r="E131" s="21">
        <v>5668</v>
      </c>
      <c r="F131" s="22">
        <v>45166</v>
      </c>
      <c r="G131" s="31">
        <v>5668</v>
      </c>
      <c r="H131" s="19">
        <f t="shared" si="0"/>
        <v>0</v>
      </c>
    </row>
    <row r="132" spans="1:8" ht="25.5" customHeight="1" x14ac:dyDescent="0.25">
      <c r="A132" s="23">
        <v>45163</v>
      </c>
      <c r="B132" s="14">
        <f t="shared" si="2"/>
        <v>1798</v>
      </c>
      <c r="C132" s="25"/>
      <c r="D132" s="34" t="s">
        <v>13</v>
      </c>
      <c r="E132" s="21">
        <v>4812</v>
      </c>
      <c r="F132" s="22">
        <v>45164</v>
      </c>
      <c r="G132" s="31">
        <v>4812</v>
      </c>
      <c r="H132" s="19">
        <f t="shared" si="0"/>
        <v>0</v>
      </c>
    </row>
    <row r="133" spans="1:8" ht="25.5" customHeight="1" x14ac:dyDescent="0.25">
      <c r="A133" s="23">
        <v>45163</v>
      </c>
      <c r="B133" s="14">
        <f t="shared" si="2"/>
        <v>1799</v>
      </c>
      <c r="C133" s="25"/>
      <c r="D133" s="34" t="s">
        <v>24</v>
      </c>
      <c r="E133" s="21">
        <v>9300</v>
      </c>
      <c r="F133" s="22">
        <v>45172</v>
      </c>
      <c r="G133" s="31">
        <v>9300</v>
      </c>
      <c r="H133" s="19">
        <f t="shared" si="0"/>
        <v>0</v>
      </c>
    </row>
    <row r="134" spans="1:8" ht="25.5" customHeight="1" x14ac:dyDescent="0.25">
      <c r="A134" s="23">
        <v>45163</v>
      </c>
      <c r="B134" s="14">
        <f t="shared" ref="B134:B191" si="3">B133+1</f>
        <v>1800</v>
      </c>
      <c r="C134" s="25"/>
      <c r="D134" s="34" t="s">
        <v>25</v>
      </c>
      <c r="E134" s="21">
        <v>9836</v>
      </c>
      <c r="F134" s="22">
        <v>45167</v>
      </c>
      <c r="G134" s="31">
        <v>9836</v>
      </c>
      <c r="H134" s="19">
        <f t="shared" si="0"/>
        <v>0</v>
      </c>
    </row>
    <row r="135" spans="1:8" ht="47.25" x14ac:dyDescent="0.25">
      <c r="A135" s="23">
        <v>45164</v>
      </c>
      <c r="B135" s="14">
        <f t="shared" si="3"/>
        <v>1801</v>
      </c>
      <c r="C135" s="25"/>
      <c r="D135" s="34" t="s">
        <v>93</v>
      </c>
      <c r="E135" s="21">
        <v>10186</v>
      </c>
      <c r="F135" s="87" t="s">
        <v>239</v>
      </c>
      <c r="G135" s="31">
        <f>1400+8100+686</f>
        <v>10186</v>
      </c>
      <c r="H135" s="19">
        <f t="shared" si="0"/>
        <v>0</v>
      </c>
    </row>
    <row r="136" spans="1:8" ht="25.5" customHeight="1" x14ac:dyDescent="0.25">
      <c r="A136" s="23">
        <v>45164</v>
      </c>
      <c r="B136" s="14">
        <f t="shared" si="3"/>
        <v>1802</v>
      </c>
      <c r="C136" s="25"/>
      <c r="D136" s="34" t="s">
        <v>15</v>
      </c>
      <c r="E136" s="21">
        <v>6273</v>
      </c>
      <c r="F136" s="22">
        <v>45166</v>
      </c>
      <c r="G136" s="31">
        <v>6273</v>
      </c>
      <c r="H136" s="19">
        <f t="shared" si="0"/>
        <v>0</v>
      </c>
    </row>
    <row r="137" spans="1:8" ht="24.75" customHeight="1" x14ac:dyDescent="0.25">
      <c r="A137" s="23">
        <v>45164</v>
      </c>
      <c r="B137" s="14">
        <f t="shared" si="3"/>
        <v>1803</v>
      </c>
      <c r="C137" s="25"/>
      <c r="D137" s="34" t="s">
        <v>19</v>
      </c>
      <c r="E137" s="21">
        <v>8770</v>
      </c>
      <c r="F137" s="22">
        <v>45165</v>
      </c>
      <c r="G137" s="31">
        <v>8770</v>
      </c>
      <c r="H137" s="19">
        <f t="shared" si="0"/>
        <v>0</v>
      </c>
    </row>
    <row r="138" spans="1:8" ht="24.75" customHeight="1" x14ac:dyDescent="0.25">
      <c r="A138" s="23">
        <v>45164</v>
      </c>
      <c r="B138" s="14">
        <f t="shared" si="3"/>
        <v>1804</v>
      </c>
      <c r="C138" s="25"/>
      <c r="D138" s="34" t="s">
        <v>13</v>
      </c>
      <c r="E138" s="21">
        <v>4400</v>
      </c>
      <c r="F138" s="22">
        <v>45165</v>
      </c>
      <c r="G138" s="31">
        <v>4400</v>
      </c>
      <c r="H138" s="19">
        <f t="shared" si="0"/>
        <v>0</v>
      </c>
    </row>
    <row r="139" spans="1:8" ht="24.75" customHeight="1" x14ac:dyDescent="0.25">
      <c r="A139" s="23">
        <v>45164</v>
      </c>
      <c r="B139" s="14">
        <f t="shared" si="3"/>
        <v>1805</v>
      </c>
      <c r="C139" s="25"/>
      <c r="D139" s="34" t="s">
        <v>232</v>
      </c>
      <c r="E139" s="21">
        <v>13843</v>
      </c>
      <c r="F139" s="22">
        <v>45164</v>
      </c>
      <c r="G139" s="31">
        <v>13843</v>
      </c>
      <c r="H139" s="19">
        <f t="shared" si="0"/>
        <v>0</v>
      </c>
    </row>
    <row r="140" spans="1:8" ht="24.75" customHeight="1" x14ac:dyDescent="0.25">
      <c r="A140" s="23">
        <v>45165</v>
      </c>
      <c r="B140" s="14">
        <f t="shared" si="3"/>
        <v>1806</v>
      </c>
      <c r="C140" s="25"/>
      <c r="D140" s="34" t="s">
        <v>15</v>
      </c>
      <c r="E140" s="21">
        <v>1276</v>
      </c>
      <c r="F140" s="22">
        <v>45167</v>
      </c>
      <c r="G140" s="31">
        <v>1276</v>
      </c>
      <c r="H140" s="19">
        <f t="shared" si="0"/>
        <v>0</v>
      </c>
    </row>
    <row r="141" spans="1:8" ht="24.75" customHeight="1" x14ac:dyDescent="0.25">
      <c r="A141" s="23">
        <v>45165</v>
      </c>
      <c r="B141" s="14">
        <f t="shared" si="3"/>
        <v>1807</v>
      </c>
      <c r="C141" s="25"/>
      <c r="D141" s="34" t="s">
        <v>13</v>
      </c>
      <c r="E141" s="21">
        <v>4349</v>
      </c>
      <c r="F141" s="22">
        <v>45166</v>
      </c>
      <c r="G141" s="31">
        <v>4349</v>
      </c>
      <c r="H141" s="19">
        <f t="shared" si="0"/>
        <v>0</v>
      </c>
    </row>
    <row r="142" spans="1:8" ht="24.75" customHeight="1" x14ac:dyDescent="0.25">
      <c r="A142" s="23">
        <v>45166</v>
      </c>
      <c r="B142" s="14">
        <f t="shared" si="3"/>
        <v>1808</v>
      </c>
      <c r="C142" s="25"/>
      <c r="D142" s="34" t="s">
        <v>19</v>
      </c>
      <c r="E142" s="21">
        <v>12337</v>
      </c>
      <c r="F142" s="22">
        <v>45167</v>
      </c>
      <c r="G142" s="31">
        <v>12337</v>
      </c>
      <c r="H142" s="19">
        <f t="shared" si="0"/>
        <v>0</v>
      </c>
    </row>
    <row r="143" spans="1:8" ht="24.75" customHeight="1" x14ac:dyDescent="0.25">
      <c r="A143" s="23">
        <v>45166</v>
      </c>
      <c r="B143" s="14">
        <f t="shared" si="3"/>
        <v>1809</v>
      </c>
      <c r="C143" s="25"/>
      <c r="D143" s="34" t="s">
        <v>15</v>
      </c>
      <c r="E143" s="21">
        <v>517</v>
      </c>
      <c r="F143" s="22">
        <v>45169</v>
      </c>
      <c r="G143" s="31">
        <v>517</v>
      </c>
      <c r="H143" s="19">
        <f t="shared" si="0"/>
        <v>0</v>
      </c>
    </row>
    <row r="144" spans="1:8" ht="24.75" customHeight="1" x14ac:dyDescent="0.25">
      <c r="A144" s="23">
        <v>45166</v>
      </c>
      <c r="B144" s="14">
        <f t="shared" si="3"/>
        <v>1810</v>
      </c>
      <c r="C144" s="25"/>
      <c r="D144" s="34" t="s">
        <v>13</v>
      </c>
      <c r="E144" s="21">
        <v>4118</v>
      </c>
      <c r="F144" s="22">
        <v>45167</v>
      </c>
      <c r="G144" s="31">
        <v>4118</v>
      </c>
      <c r="H144" s="19">
        <f t="shared" si="0"/>
        <v>0</v>
      </c>
    </row>
    <row r="145" spans="1:8" ht="36" customHeight="1" x14ac:dyDescent="0.25">
      <c r="A145" s="23">
        <v>45166</v>
      </c>
      <c r="B145" s="14">
        <f t="shared" si="3"/>
        <v>1811</v>
      </c>
      <c r="C145" s="25"/>
      <c r="D145" s="34" t="s">
        <v>14</v>
      </c>
      <c r="E145" s="21">
        <v>1540</v>
      </c>
      <c r="F145" s="22" t="s">
        <v>236</v>
      </c>
      <c r="G145" s="31">
        <f>742+798</f>
        <v>1540</v>
      </c>
      <c r="H145" s="19">
        <f t="shared" si="0"/>
        <v>0</v>
      </c>
    </row>
    <row r="146" spans="1:8" ht="24.75" customHeight="1" x14ac:dyDescent="0.25">
      <c r="A146" s="23">
        <v>45166</v>
      </c>
      <c r="B146" s="14">
        <f t="shared" si="3"/>
        <v>1812</v>
      </c>
      <c r="C146" s="25"/>
      <c r="D146" s="34" t="s">
        <v>12</v>
      </c>
      <c r="E146" s="21">
        <v>174</v>
      </c>
      <c r="F146" s="22">
        <v>45168</v>
      </c>
      <c r="G146" s="31">
        <v>174</v>
      </c>
      <c r="H146" s="19">
        <f t="shared" si="0"/>
        <v>0</v>
      </c>
    </row>
    <row r="147" spans="1:8" ht="24.75" customHeight="1" x14ac:dyDescent="0.25">
      <c r="A147" s="23">
        <v>45167</v>
      </c>
      <c r="B147" s="14">
        <f t="shared" si="3"/>
        <v>1813</v>
      </c>
      <c r="C147" s="25"/>
      <c r="D147" s="34" t="s">
        <v>12</v>
      </c>
      <c r="E147" s="21">
        <v>379</v>
      </c>
      <c r="F147" s="22">
        <v>45168</v>
      </c>
      <c r="G147" s="31">
        <v>379</v>
      </c>
      <c r="H147" s="19">
        <f t="shared" si="0"/>
        <v>0</v>
      </c>
    </row>
    <row r="148" spans="1:8" ht="31.5" x14ac:dyDescent="0.25">
      <c r="A148" s="23">
        <v>45167</v>
      </c>
      <c r="B148" s="14">
        <f t="shared" si="3"/>
        <v>1814</v>
      </c>
      <c r="C148" s="25"/>
      <c r="D148" s="34" t="s">
        <v>15</v>
      </c>
      <c r="E148" s="21">
        <v>5612</v>
      </c>
      <c r="F148" s="87" t="s">
        <v>238</v>
      </c>
      <c r="G148" s="31">
        <f>3500+2112</f>
        <v>5612</v>
      </c>
      <c r="H148" s="19">
        <f t="shared" si="0"/>
        <v>0</v>
      </c>
    </row>
    <row r="149" spans="1:8" ht="24.75" customHeight="1" x14ac:dyDescent="0.25">
      <c r="A149" s="23">
        <v>45167</v>
      </c>
      <c r="B149" s="14">
        <f t="shared" si="3"/>
        <v>1815</v>
      </c>
      <c r="C149" s="25"/>
      <c r="D149" s="34" t="s">
        <v>13</v>
      </c>
      <c r="E149" s="21">
        <v>2322</v>
      </c>
      <c r="F149" s="22">
        <v>45169</v>
      </c>
      <c r="G149" s="31">
        <v>2322</v>
      </c>
      <c r="H149" s="19">
        <f t="shared" si="0"/>
        <v>0</v>
      </c>
    </row>
    <row r="150" spans="1:8" ht="24.75" customHeight="1" x14ac:dyDescent="0.25">
      <c r="A150" s="23">
        <v>45167</v>
      </c>
      <c r="B150" s="14">
        <f t="shared" si="3"/>
        <v>1816</v>
      </c>
      <c r="C150" s="25"/>
      <c r="D150" s="34" t="s">
        <v>17</v>
      </c>
      <c r="E150" s="21">
        <v>11920</v>
      </c>
      <c r="F150" s="66" t="s">
        <v>245</v>
      </c>
      <c r="G150" s="67">
        <f>4854</f>
        <v>4854</v>
      </c>
      <c r="H150" s="19">
        <f t="shared" si="0"/>
        <v>7066</v>
      </c>
    </row>
    <row r="151" spans="1:8" ht="24.75" customHeight="1" x14ac:dyDescent="0.25">
      <c r="A151" s="23">
        <v>45167</v>
      </c>
      <c r="B151" s="14">
        <f t="shared" si="3"/>
        <v>1817</v>
      </c>
      <c r="C151" s="25"/>
      <c r="D151" s="34" t="s">
        <v>114</v>
      </c>
      <c r="E151" s="21">
        <v>8651</v>
      </c>
      <c r="F151" s="22">
        <v>45168</v>
      </c>
      <c r="G151" s="31">
        <v>8651</v>
      </c>
      <c r="H151" s="19">
        <f t="shared" si="0"/>
        <v>0</v>
      </c>
    </row>
    <row r="152" spans="1:8" ht="24.75" customHeight="1" x14ac:dyDescent="0.25">
      <c r="A152" s="23">
        <v>45168</v>
      </c>
      <c r="B152" s="14">
        <f t="shared" si="3"/>
        <v>1818</v>
      </c>
      <c r="C152" s="25"/>
      <c r="D152" s="34" t="s">
        <v>13</v>
      </c>
      <c r="E152" s="21">
        <v>2604</v>
      </c>
      <c r="F152" s="22">
        <v>45169</v>
      </c>
      <c r="G152" s="31">
        <v>2604</v>
      </c>
      <c r="H152" s="19">
        <f t="shared" si="0"/>
        <v>0</v>
      </c>
    </row>
    <row r="153" spans="1:8" ht="24.75" customHeight="1" x14ac:dyDescent="0.25">
      <c r="A153" s="23">
        <v>45169</v>
      </c>
      <c r="B153" s="14">
        <f t="shared" si="3"/>
        <v>1819</v>
      </c>
      <c r="C153" s="25"/>
      <c r="D153" s="34" t="s">
        <v>14</v>
      </c>
      <c r="E153" s="21">
        <v>4488</v>
      </c>
      <c r="F153" s="22">
        <v>45170</v>
      </c>
      <c r="G153" s="31">
        <v>4488</v>
      </c>
      <c r="H153" s="19">
        <f t="shared" si="0"/>
        <v>0</v>
      </c>
    </row>
    <row r="154" spans="1:8" ht="31.5" x14ac:dyDescent="0.25">
      <c r="A154" s="23">
        <v>45169</v>
      </c>
      <c r="B154" s="14">
        <f t="shared" si="3"/>
        <v>1820</v>
      </c>
      <c r="C154" s="25"/>
      <c r="D154" s="34" t="s">
        <v>15</v>
      </c>
      <c r="E154" s="21">
        <v>4374</v>
      </c>
      <c r="F154" s="87" t="s">
        <v>243</v>
      </c>
      <c r="G154" s="31">
        <f>1100+3274</f>
        <v>4374</v>
      </c>
      <c r="H154" s="19">
        <f t="shared" si="0"/>
        <v>0</v>
      </c>
    </row>
    <row r="155" spans="1:8" ht="24.75" customHeight="1" x14ac:dyDescent="0.25">
      <c r="A155" s="23">
        <v>45169</v>
      </c>
      <c r="B155" s="14">
        <f t="shared" si="3"/>
        <v>1821</v>
      </c>
      <c r="C155" s="25"/>
      <c r="D155" s="34" t="s">
        <v>15</v>
      </c>
      <c r="E155" s="21">
        <v>464</v>
      </c>
      <c r="F155" s="22">
        <v>45171</v>
      </c>
      <c r="G155" s="31">
        <v>464</v>
      </c>
      <c r="H155" s="19">
        <f t="shared" si="0"/>
        <v>0</v>
      </c>
    </row>
    <row r="156" spans="1:8" ht="24.75" customHeight="1" x14ac:dyDescent="0.25">
      <c r="A156" s="23">
        <v>45169</v>
      </c>
      <c r="B156" s="14">
        <f t="shared" si="3"/>
        <v>1822</v>
      </c>
      <c r="C156" s="25"/>
      <c r="D156" s="34" t="s">
        <v>13</v>
      </c>
      <c r="E156" s="21">
        <v>4000</v>
      </c>
      <c r="F156" s="22">
        <v>45170</v>
      </c>
      <c r="G156" s="31">
        <v>4000</v>
      </c>
      <c r="H156" s="19">
        <f t="shared" si="0"/>
        <v>0</v>
      </c>
    </row>
    <row r="157" spans="1:8" ht="45" x14ac:dyDescent="0.25">
      <c r="A157" s="23">
        <v>45169</v>
      </c>
      <c r="B157" s="14">
        <f t="shared" si="3"/>
        <v>1823</v>
      </c>
      <c r="C157" s="25"/>
      <c r="D157" s="34" t="s">
        <v>93</v>
      </c>
      <c r="E157" s="21">
        <v>13050</v>
      </c>
      <c r="F157" s="88" t="s">
        <v>244</v>
      </c>
      <c r="G157" s="31">
        <f>9000+3264+796</f>
        <v>13060</v>
      </c>
      <c r="H157" s="19">
        <f t="shared" si="0"/>
        <v>-10</v>
      </c>
    </row>
    <row r="158" spans="1:8" ht="24.75" customHeight="1" x14ac:dyDescent="0.25">
      <c r="A158" s="23">
        <v>45170</v>
      </c>
      <c r="B158" s="14">
        <f t="shared" si="3"/>
        <v>1824</v>
      </c>
      <c r="C158" s="25"/>
      <c r="D158" s="34" t="s">
        <v>12</v>
      </c>
      <c r="E158" s="21">
        <v>261</v>
      </c>
      <c r="F158" s="22">
        <v>45170</v>
      </c>
      <c r="G158" s="31">
        <v>261</v>
      </c>
      <c r="H158" s="19">
        <f t="shared" si="0"/>
        <v>0</v>
      </c>
    </row>
    <row r="159" spans="1:8" ht="31.5" x14ac:dyDescent="0.25">
      <c r="A159" s="23">
        <v>45170</v>
      </c>
      <c r="B159" s="14">
        <f t="shared" si="3"/>
        <v>1825</v>
      </c>
      <c r="C159" s="25"/>
      <c r="D159" s="34" t="s">
        <v>14</v>
      </c>
      <c r="E159" s="21">
        <v>3299</v>
      </c>
      <c r="F159" s="87" t="s">
        <v>240</v>
      </c>
      <c r="G159" s="31">
        <f>2054+1245</f>
        <v>3299</v>
      </c>
      <c r="H159" s="19">
        <f t="shared" si="0"/>
        <v>0</v>
      </c>
    </row>
    <row r="160" spans="1:8" ht="24.75" customHeight="1" x14ac:dyDescent="0.25">
      <c r="A160" s="23">
        <v>45170</v>
      </c>
      <c r="B160" s="14">
        <f t="shared" si="3"/>
        <v>1826</v>
      </c>
      <c r="C160" s="25"/>
      <c r="D160" s="34" t="s">
        <v>13</v>
      </c>
      <c r="E160" s="21">
        <v>4204</v>
      </c>
      <c r="F160" s="22">
        <v>45171</v>
      </c>
      <c r="G160" s="31">
        <v>4204</v>
      </c>
      <c r="H160" s="19">
        <f t="shared" si="0"/>
        <v>0</v>
      </c>
    </row>
    <row r="161" spans="1:8" ht="24.75" customHeight="1" x14ac:dyDescent="0.25">
      <c r="A161" s="23">
        <v>45170</v>
      </c>
      <c r="B161" s="14">
        <f t="shared" si="3"/>
        <v>1827</v>
      </c>
      <c r="C161" s="25"/>
      <c r="D161" s="34" t="s">
        <v>15</v>
      </c>
      <c r="E161" s="21">
        <v>4628</v>
      </c>
      <c r="F161" s="22" t="s">
        <v>245</v>
      </c>
      <c r="G161" s="31">
        <f>4628</f>
        <v>4628</v>
      </c>
      <c r="H161" s="19">
        <f t="shared" si="0"/>
        <v>0</v>
      </c>
    </row>
    <row r="162" spans="1:8" ht="24.75" customHeight="1" x14ac:dyDescent="0.25">
      <c r="A162" s="23">
        <v>45170</v>
      </c>
      <c r="B162" s="14">
        <f t="shared" si="3"/>
        <v>1828</v>
      </c>
      <c r="C162" s="25"/>
      <c r="D162" s="34" t="s">
        <v>93</v>
      </c>
      <c r="E162" s="21">
        <v>5060</v>
      </c>
      <c r="F162" s="22">
        <v>45171</v>
      </c>
      <c r="G162" s="31">
        <v>5060</v>
      </c>
      <c r="H162" s="19">
        <f t="shared" si="0"/>
        <v>0</v>
      </c>
    </row>
    <row r="163" spans="1:8" ht="24.75" customHeight="1" x14ac:dyDescent="0.25">
      <c r="A163" s="23">
        <v>45170</v>
      </c>
      <c r="B163" s="14">
        <f t="shared" si="3"/>
        <v>1829</v>
      </c>
      <c r="C163" s="25"/>
      <c r="D163" s="34" t="s">
        <v>19</v>
      </c>
      <c r="E163" s="21">
        <v>14756</v>
      </c>
      <c r="F163" s="22">
        <v>45171</v>
      </c>
      <c r="G163" s="31">
        <v>14756</v>
      </c>
      <c r="H163" s="19">
        <f t="shared" si="0"/>
        <v>0</v>
      </c>
    </row>
    <row r="164" spans="1:8" ht="24.75" customHeight="1" x14ac:dyDescent="0.25">
      <c r="A164" s="23">
        <v>45170</v>
      </c>
      <c r="B164" s="14">
        <f t="shared" si="3"/>
        <v>1830</v>
      </c>
      <c r="C164" s="25"/>
      <c r="D164" s="34" t="s">
        <v>24</v>
      </c>
      <c r="E164" s="21">
        <v>16800</v>
      </c>
      <c r="F164" s="64"/>
      <c r="G164" s="65"/>
      <c r="H164" s="19">
        <f t="shared" si="0"/>
        <v>16800</v>
      </c>
    </row>
    <row r="165" spans="1:8" ht="24.75" customHeight="1" x14ac:dyDescent="0.25">
      <c r="A165" s="23">
        <v>45170</v>
      </c>
      <c r="B165" s="14">
        <f t="shared" si="3"/>
        <v>1831</v>
      </c>
      <c r="C165" s="25"/>
      <c r="D165" s="34" t="s">
        <v>25</v>
      </c>
      <c r="E165" s="21">
        <v>10853</v>
      </c>
      <c r="F165" s="22">
        <v>45173</v>
      </c>
      <c r="G165" s="31">
        <v>10853</v>
      </c>
      <c r="H165" s="19">
        <f t="shared" si="0"/>
        <v>0</v>
      </c>
    </row>
    <row r="166" spans="1:8" ht="24.75" customHeight="1" x14ac:dyDescent="0.25">
      <c r="A166" s="23">
        <v>45170</v>
      </c>
      <c r="B166" s="14">
        <f t="shared" si="3"/>
        <v>1832</v>
      </c>
      <c r="C166" s="25"/>
      <c r="D166" s="34" t="s">
        <v>13</v>
      </c>
      <c r="E166" s="21">
        <v>543</v>
      </c>
      <c r="F166" s="22">
        <v>45171</v>
      </c>
      <c r="G166" s="31">
        <v>543</v>
      </c>
      <c r="H166" s="19">
        <f t="shared" si="0"/>
        <v>0</v>
      </c>
    </row>
    <row r="167" spans="1:8" ht="24.75" customHeight="1" x14ac:dyDescent="0.25">
      <c r="A167" s="23">
        <v>45170</v>
      </c>
      <c r="B167" s="14">
        <f t="shared" si="3"/>
        <v>1833</v>
      </c>
      <c r="C167" s="25"/>
      <c r="D167" s="34" t="s">
        <v>114</v>
      </c>
      <c r="E167" s="21">
        <v>11600</v>
      </c>
      <c r="F167" s="22">
        <v>45171</v>
      </c>
      <c r="G167" s="31">
        <v>11600</v>
      </c>
      <c r="H167" s="19">
        <f t="shared" si="0"/>
        <v>0</v>
      </c>
    </row>
    <row r="168" spans="1:8" ht="24.75" customHeight="1" x14ac:dyDescent="0.25">
      <c r="A168" s="23">
        <v>45170</v>
      </c>
      <c r="B168" s="14">
        <f t="shared" si="3"/>
        <v>1834</v>
      </c>
      <c r="C168" s="25"/>
      <c r="D168" s="34" t="s">
        <v>237</v>
      </c>
      <c r="E168" s="21">
        <v>116</v>
      </c>
      <c r="F168" s="64"/>
      <c r="G168" s="65"/>
      <c r="H168" s="19">
        <f t="shared" si="0"/>
        <v>116</v>
      </c>
    </row>
    <row r="169" spans="1:8" ht="24.75" customHeight="1" x14ac:dyDescent="0.25">
      <c r="A169" s="23">
        <v>45170</v>
      </c>
      <c r="B169" s="14">
        <f t="shared" si="3"/>
        <v>1835</v>
      </c>
      <c r="C169" s="25"/>
      <c r="D169" s="34" t="s">
        <v>114</v>
      </c>
      <c r="E169" s="21">
        <v>1150</v>
      </c>
      <c r="F169" s="22">
        <v>45171</v>
      </c>
      <c r="G169" s="31">
        <v>1150</v>
      </c>
      <c r="H169" s="19">
        <f t="shared" si="0"/>
        <v>0</v>
      </c>
    </row>
    <row r="170" spans="1:8" ht="31.5" x14ac:dyDescent="0.25">
      <c r="A170" s="23">
        <v>45171</v>
      </c>
      <c r="B170" s="14">
        <f t="shared" si="3"/>
        <v>1836</v>
      </c>
      <c r="C170" s="25"/>
      <c r="D170" s="34" t="s">
        <v>114</v>
      </c>
      <c r="E170" s="21">
        <v>8412</v>
      </c>
      <c r="F170" s="22" t="s">
        <v>243</v>
      </c>
      <c r="G170" s="31">
        <f>8302+110</f>
        <v>8412</v>
      </c>
      <c r="H170" s="19">
        <f t="shared" si="0"/>
        <v>0</v>
      </c>
    </row>
    <row r="171" spans="1:8" ht="24.75" customHeight="1" x14ac:dyDescent="0.25">
      <c r="A171" s="23">
        <v>45171</v>
      </c>
      <c r="B171" s="14">
        <f t="shared" si="3"/>
        <v>1837</v>
      </c>
      <c r="C171" s="25"/>
      <c r="D171" s="34" t="s">
        <v>15</v>
      </c>
      <c r="E171" s="21">
        <v>3411</v>
      </c>
      <c r="F171" s="66" t="s">
        <v>245</v>
      </c>
      <c r="G171" s="67">
        <f>2200</f>
        <v>2200</v>
      </c>
      <c r="H171" s="19">
        <f t="shared" si="0"/>
        <v>1211</v>
      </c>
    </row>
    <row r="172" spans="1:8" ht="24.75" customHeight="1" x14ac:dyDescent="0.25">
      <c r="A172" s="23">
        <v>45171</v>
      </c>
      <c r="B172" s="14">
        <f t="shared" si="3"/>
        <v>1838</v>
      </c>
      <c r="C172" s="25"/>
      <c r="D172" s="34" t="s">
        <v>17</v>
      </c>
      <c r="E172" s="21">
        <v>870</v>
      </c>
      <c r="F172" s="22">
        <v>45172</v>
      </c>
      <c r="G172" s="31">
        <v>870</v>
      </c>
      <c r="H172" s="19">
        <f t="shared" si="0"/>
        <v>0</v>
      </c>
    </row>
    <row r="173" spans="1:8" ht="24.75" customHeight="1" x14ac:dyDescent="0.25">
      <c r="A173" s="23">
        <v>45171</v>
      </c>
      <c r="B173" s="14">
        <f t="shared" si="3"/>
        <v>1839</v>
      </c>
      <c r="C173" s="25"/>
      <c r="D173" s="34" t="s">
        <v>15</v>
      </c>
      <c r="E173" s="21">
        <v>2130</v>
      </c>
      <c r="F173" s="22">
        <v>45172</v>
      </c>
      <c r="G173" s="31">
        <v>2130</v>
      </c>
      <c r="H173" s="19">
        <f t="shared" si="0"/>
        <v>0</v>
      </c>
    </row>
    <row r="174" spans="1:8" ht="24.75" customHeight="1" x14ac:dyDescent="0.25">
      <c r="A174" s="23">
        <v>45171</v>
      </c>
      <c r="B174" s="14">
        <f t="shared" si="3"/>
        <v>1840</v>
      </c>
      <c r="C174" s="25"/>
      <c r="D174" s="34" t="s">
        <v>13</v>
      </c>
      <c r="E174" s="21">
        <v>3855</v>
      </c>
      <c r="F174" s="22">
        <v>45172</v>
      </c>
      <c r="G174" s="31">
        <v>3855</v>
      </c>
      <c r="H174" s="19">
        <f t="shared" si="0"/>
        <v>0</v>
      </c>
    </row>
    <row r="175" spans="1:8" ht="24.75" customHeight="1" x14ac:dyDescent="0.25">
      <c r="A175" s="23">
        <v>45171</v>
      </c>
      <c r="B175" s="14">
        <f t="shared" si="3"/>
        <v>1841</v>
      </c>
      <c r="C175" s="25"/>
      <c r="D175" s="34" t="s">
        <v>93</v>
      </c>
      <c r="E175" s="21">
        <v>10400</v>
      </c>
      <c r="F175" s="66">
        <v>45174</v>
      </c>
      <c r="G175" s="67">
        <v>7204</v>
      </c>
      <c r="H175" s="19">
        <f t="shared" si="0"/>
        <v>3196</v>
      </c>
    </row>
    <row r="176" spans="1:8" ht="24.75" customHeight="1" x14ac:dyDescent="0.25">
      <c r="A176" s="23">
        <v>45171</v>
      </c>
      <c r="B176" s="14">
        <f t="shared" si="3"/>
        <v>1842</v>
      </c>
      <c r="C176" s="25"/>
      <c r="D176" s="34" t="s">
        <v>14</v>
      </c>
      <c r="E176" s="21">
        <v>838</v>
      </c>
      <c r="F176" s="22">
        <v>45172</v>
      </c>
      <c r="G176" s="31">
        <v>838</v>
      </c>
      <c r="H176" s="19">
        <f t="shared" si="0"/>
        <v>0</v>
      </c>
    </row>
    <row r="177" spans="1:8" ht="24.75" customHeight="1" x14ac:dyDescent="0.25">
      <c r="A177" s="23">
        <v>45172</v>
      </c>
      <c r="B177" s="14">
        <f t="shared" si="3"/>
        <v>1843</v>
      </c>
      <c r="C177" s="25"/>
      <c r="D177" s="34" t="s">
        <v>15</v>
      </c>
      <c r="E177" s="21">
        <v>2799</v>
      </c>
      <c r="F177" s="64"/>
      <c r="G177" s="65"/>
      <c r="H177" s="19">
        <f t="shared" si="0"/>
        <v>2799</v>
      </c>
    </row>
    <row r="178" spans="1:8" ht="24.75" customHeight="1" x14ac:dyDescent="0.25">
      <c r="A178" s="23">
        <v>45172</v>
      </c>
      <c r="B178" s="14">
        <f t="shared" si="3"/>
        <v>1844</v>
      </c>
      <c r="C178" s="25"/>
      <c r="D178" s="34" t="s">
        <v>19</v>
      </c>
      <c r="E178" s="21">
        <v>15744</v>
      </c>
      <c r="F178" s="22">
        <v>45173</v>
      </c>
      <c r="G178" s="31">
        <v>15744</v>
      </c>
      <c r="H178" s="19">
        <f t="shared" si="0"/>
        <v>0</v>
      </c>
    </row>
    <row r="179" spans="1:8" ht="24.75" customHeight="1" x14ac:dyDescent="0.25">
      <c r="A179" s="23">
        <v>45172</v>
      </c>
      <c r="B179" s="14">
        <f t="shared" si="3"/>
        <v>1845</v>
      </c>
      <c r="C179" s="25"/>
      <c r="D179" s="34" t="s">
        <v>13</v>
      </c>
      <c r="E179" s="21">
        <v>3846</v>
      </c>
      <c r="F179" s="22">
        <v>45173</v>
      </c>
      <c r="G179" s="31">
        <v>3846</v>
      </c>
      <c r="H179" s="19">
        <f t="shared" si="0"/>
        <v>0</v>
      </c>
    </row>
    <row r="180" spans="1:8" ht="24.75" customHeight="1" x14ac:dyDescent="0.25">
      <c r="A180" s="23">
        <v>45173</v>
      </c>
      <c r="B180" s="14">
        <f t="shared" si="3"/>
        <v>1846</v>
      </c>
      <c r="C180" s="25"/>
      <c r="D180" s="34" t="s">
        <v>13</v>
      </c>
      <c r="E180" s="21">
        <v>4158</v>
      </c>
      <c r="F180" s="22">
        <v>45174</v>
      </c>
      <c r="G180" s="31">
        <v>4158</v>
      </c>
      <c r="H180" s="19">
        <f t="shared" si="0"/>
        <v>0</v>
      </c>
    </row>
    <row r="181" spans="1:8" ht="24.75" customHeight="1" x14ac:dyDescent="0.25">
      <c r="A181" s="23">
        <v>45173</v>
      </c>
      <c r="B181" s="14">
        <f t="shared" si="3"/>
        <v>1847</v>
      </c>
      <c r="C181" s="25"/>
      <c r="D181" s="34" t="s">
        <v>25</v>
      </c>
      <c r="E181" s="21">
        <v>1778</v>
      </c>
      <c r="F181" s="22">
        <v>45174</v>
      </c>
      <c r="G181" s="31">
        <v>1778</v>
      </c>
      <c r="H181" s="19">
        <f t="shared" si="0"/>
        <v>0</v>
      </c>
    </row>
    <row r="182" spans="1:8" ht="24.75" customHeight="1" x14ac:dyDescent="0.25">
      <c r="A182" s="23">
        <v>45173</v>
      </c>
      <c r="B182" s="14">
        <f t="shared" si="3"/>
        <v>1848</v>
      </c>
      <c r="C182" s="25"/>
      <c r="D182" s="34" t="s">
        <v>241</v>
      </c>
      <c r="E182" s="21">
        <v>40900</v>
      </c>
      <c r="F182" s="66" t="s">
        <v>245</v>
      </c>
      <c r="G182" s="67">
        <f>25000</f>
        <v>25000</v>
      </c>
      <c r="H182" s="19">
        <f t="shared" si="0"/>
        <v>15900</v>
      </c>
    </row>
    <row r="183" spans="1:8" ht="24.75" customHeight="1" x14ac:dyDescent="0.25">
      <c r="A183" s="23">
        <v>45173</v>
      </c>
      <c r="B183" s="14">
        <f t="shared" si="3"/>
        <v>1849</v>
      </c>
      <c r="C183" s="25"/>
      <c r="D183" s="34" t="s">
        <v>14</v>
      </c>
      <c r="E183" s="21">
        <v>2281</v>
      </c>
      <c r="F183" s="66" t="s">
        <v>245</v>
      </c>
      <c r="G183" s="67">
        <f>1781</f>
        <v>1781</v>
      </c>
      <c r="H183" s="19">
        <f t="shared" si="0"/>
        <v>500</v>
      </c>
    </row>
    <row r="184" spans="1:8" ht="24.75" customHeight="1" x14ac:dyDescent="0.25">
      <c r="A184" s="23">
        <v>45173</v>
      </c>
      <c r="B184" s="14">
        <f t="shared" si="3"/>
        <v>1850</v>
      </c>
      <c r="C184" s="25"/>
      <c r="D184" s="34" t="s">
        <v>14</v>
      </c>
      <c r="E184" s="21">
        <v>94</v>
      </c>
      <c r="F184" s="22">
        <v>45174</v>
      </c>
      <c r="G184" s="31">
        <v>94</v>
      </c>
      <c r="H184" s="19">
        <f t="shared" si="0"/>
        <v>0</v>
      </c>
    </row>
    <row r="185" spans="1:8" ht="24.75" customHeight="1" x14ac:dyDescent="0.25">
      <c r="A185" s="23">
        <v>45173</v>
      </c>
      <c r="B185" s="14">
        <f t="shared" si="3"/>
        <v>1851</v>
      </c>
      <c r="C185" s="25"/>
      <c r="D185" s="34" t="s">
        <v>114</v>
      </c>
      <c r="E185" s="21">
        <v>8216</v>
      </c>
      <c r="F185" s="22">
        <v>45174</v>
      </c>
      <c r="G185" s="31">
        <v>8216</v>
      </c>
      <c r="H185" s="19">
        <f t="shared" si="0"/>
        <v>0</v>
      </c>
    </row>
    <row r="186" spans="1:8" ht="24.75" customHeight="1" x14ac:dyDescent="0.25">
      <c r="A186" s="23">
        <v>45174</v>
      </c>
      <c r="B186" s="14">
        <f t="shared" si="3"/>
        <v>1852</v>
      </c>
      <c r="C186" s="25"/>
      <c r="D186" s="34" t="s">
        <v>241</v>
      </c>
      <c r="E186" s="21">
        <v>29796</v>
      </c>
      <c r="F186" s="22">
        <v>45174</v>
      </c>
      <c r="G186" s="31">
        <v>29796</v>
      </c>
      <c r="H186" s="19">
        <f t="shared" si="0"/>
        <v>0</v>
      </c>
    </row>
    <row r="187" spans="1:8" ht="24.75" customHeight="1" x14ac:dyDescent="0.25">
      <c r="A187" s="23">
        <v>45174</v>
      </c>
      <c r="B187" s="14">
        <f t="shared" si="3"/>
        <v>1853</v>
      </c>
      <c r="C187" s="25"/>
      <c r="D187" s="34" t="s">
        <v>93</v>
      </c>
      <c r="E187" s="21">
        <v>5641</v>
      </c>
      <c r="F187" s="64"/>
      <c r="G187" s="65"/>
      <c r="H187" s="19">
        <f t="shared" si="0"/>
        <v>5641</v>
      </c>
    </row>
    <row r="188" spans="1:8" ht="24.75" customHeight="1" x14ac:dyDescent="0.25">
      <c r="A188" s="23">
        <v>45174</v>
      </c>
      <c r="B188" s="14">
        <f t="shared" si="3"/>
        <v>1854</v>
      </c>
      <c r="C188" s="25"/>
      <c r="D188" s="34" t="s">
        <v>15</v>
      </c>
      <c r="E188" s="21">
        <v>3600</v>
      </c>
      <c r="F188" s="64"/>
      <c r="G188" s="65"/>
      <c r="H188" s="19">
        <f t="shared" si="0"/>
        <v>3600</v>
      </c>
    </row>
    <row r="189" spans="1:8" ht="24.75" customHeight="1" x14ac:dyDescent="0.25">
      <c r="A189" s="23">
        <v>45174</v>
      </c>
      <c r="B189" s="14">
        <f t="shared" si="3"/>
        <v>1855</v>
      </c>
      <c r="C189" s="25"/>
      <c r="D189" s="34" t="s">
        <v>13</v>
      </c>
      <c r="E189" s="21">
        <v>4131</v>
      </c>
      <c r="F189" s="64"/>
      <c r="G189" s="65"/>
      <c r="H189" s="19">
        <f t="shared" si="0"/>
        <v>4131</v>
      </c>
    </row>
    <row r="190" spans="1:8" ht="24.75" customHeight="1" x14ac:dyDescent="0.25">
      <c r="A190" s="23">
        <v>45174</v>
      </c>
      <c r="B190" s="14">
        <f t="shared" si="3"/>
        <v>1856</v>
      </c>
      <c r="C190" s="25"/>
      <c r="D190" s="34" t="s">
        <v>17</v>
      </c>
      <c r="E190" s="21">
        <v>11200</v>
      </c>
      <c r="F190" s="64"/>
      <c r="G190" s="65"/>
      <c r="H190" s="19">
        <f t="shared" si="0"/>
        <v>11200</v>
      </c>
    </row>
    <row r="191" spans="1:8" ht="24.75" customHeight="1" x14ac:dyDescent="0.25">
      <c r="A191" s="23">
        <v>45174</v>
      </c>
      <c r="B191" s="14">
        <f t="shared" si="3"/>
        <v>1857</v>
      </c>
      <c r="C191" s="25"/>
      <c r="D191" s="34" t="s">
        <v>15</v>
      </c>
      <c r="E191" s="21">
        <v>4682</v>
      </c>
      <c r="F191" s="64"/>
      <c r="G191" s="65"/>
      <c r="H191" s="19">
        <f t="shared" si="0"/>
        <v>4682</v>
      </c>
    </row>
    <row r="192" spans="1:8" ht="18.75" customHeight="1" x14ac:dyDescent="0.25">
      <c r="A192" s="23"/>
      <c r="B192" s="14"/>
      <c r="C192" s="25"/>
      <c r="D192" s="34"/>
      <c r="E192" s="21"/>
      <c r="F192" s="22"/>
      <c r="G192" s="31"/>
      <c r="H192" s="19">
        <f t="shared" si="0"/>
        <v>0</v>
      </c>
    </row>
    <row r="193" spans="1:9" x14ac:dyDescent="0.25">
      <c r="B193" s="41"/>
      <c r="C193" s="42"/>
      <c r="D193" s="2"/>
      <c r="E193" s="43">
        <f>SUM(E4:E192)</f>
        <v>1358292</v>
      </c>
      <c r="F193" s="44"/>
      <c r="G193" s="44">
        <f>SUM(G4:G192)</f>
        <v>1279460</v>
      </c>
      <c r="H193" s="45">
        <f>SUM(H4:H192)</f>
        <v>78832</v>
      </c>
      <c r="I193" s="2"/>
    </row>
    <row r="194" spans="1:9" x14ac:dyDescent="0.25">
      <c r="B194" s="41"/>
      <c r="C194" s="42"/>
      <c r="D194" s="2"/>
      <c r="E194" s="46"/>
      <c r="F194" s="47"/>
      <c r="G194" s="61"/>
      <c r="H194" s="48"/>
      <c r="I194" s="2"/>
    </row>
    <row r="195" spans="1:9" ht="31.5" x14ac:dyDescent="0.25">
      <c r="B195" s="41"/>
      <c r="C195" s="42"/>
      <c r="D195" s="2"/>
      <c r="E195" s="49" t="s">
        <v>8</v>
      </c>
      <c r="F195" s="47"/>
      <c r="G195" s="50" t="s">
        <v>9</v>
      </c>
      <c r="H195" s="48"/>
      <c r="I195" s="2"/>
    </row>
    <row r="196" spans="1:9" ht="16.5" thickBot="1" x14ac:dyDescent="0.3">
      <c r="B196" s="41"/>
      <c r="C196" s="42"/>
      <c r="D196" s="2"/>
      <c r="E196" s="49"/>
      <c r="F196" s="47"/>
      <c r="G196" s="50"/>
      <c r="H196" s="48"/>
      <c r="I196" s="2"/>
    </row>
    <row r="197" spans="1:9" ht="21.75" thickBot="1" x14ac:dyDescent="0.4">
      <c r="B197" s="41"/>
      <c r="C197" s="42"/>
      <c r="D197" s="2"/>
      <c r="E197" s="93">
        <f>E193-G193</f>
        <v>78832</v>
      </c>
      <c r="F197" s="94"/>
      <c r="G197" s="95"/>
      <c r="I197" s="2"/>
    </row>
    <row r="198" spans="1:9" x14ac:dyDescent="0.25">
      <c r="B198" s="41"/>
      <c r="C198" s="42"/>
      <c r="D198" s="2"/>
      <c r="E198" s="46"/>
      <c r="F198" s="47"/>
      <c r="G198" s="61"/>
      <c r="I198" s="2"/>
    </row>
    <row r="199" spans="1:9" ht="18.75" x14ac:dyDescent="0.3">
      <c r="B199" s="41"/>
      <c r="C199" s="42"/>
      <c r="D199" s="2"/>
      <c r="E199" s="96" t="s">
        <v>10</v>
      </c>
      <c r="F199" s="96"/>
      <c r="G199" s="96"/>
      <c r="I199" s="2"/>
    </row>
    <row r="200" spans="1:9" x14ac:dyDescent="0.25">
      <c r="B200" s="41"/>
      <c r="C200" s="42"/>
      <c r="D200" s="2"/>
      <c r="E200" s="46"/>
      <c r="F200" s="47"/>
      <c r="G200" s="61"/>
      <c r="I200" s="2"/>
    </row>
    <row r="201" spans="1:9" ht="18.75" x14ac:dyDescent="0.3">
      <c r="A201" s="23"/>
      <c r="B201" s="14"/>
      <c r="C201" s="25"/>
      <c r="D201" s="51"/>
      <c r="E201" s="52"/>
      <c r="F201" s="53"/>
      <c r="G201" s="62"/>
      <c r="I201" s="2"/>
    </row>
    <row r="202" spans="1:9" x14ac:dyDescent="0.25">
      <c r="B202" s="41"/>
      <c r="C202" s="42"/>
      <c r="D202" s="2"/>
      <c r="E202" s="46"/>
      <c r="F202" s="47"/>
      <c r="G202" s="61"/>
      <c r="I202" s="2"/>
    </row>
    <row r="203" spans="1:9" x14ac:dyDescent="0.25">
      <c r="B203" s="41"/>
      <c r="C203" s="42"/>
      <c r="D203" s="2"/>
      <c r="E203" s="46"/>
      <c r="F203" s="47"/>
      <c r="G203" s="61"/>
      <c r="I203" s="2"/>
    </row>
    <row r="204" spans="1:9" x14ac:dyDescent="0.25">
      <c r="B204" s="41"/>
      <c r="C204" s="42"/>
      <c r="D204" s="2"/>
      <c r="E204" s="46"/>
      <c r="F204" s="47"/>
      <c r="G204" s="61"/>
      <c r="I204" s="2"/>
    </row>
    <row r="205" spans="1:9" x14ac:dyDescent="0.25">
      <c r="B205" s="41"/>
      <c r="C205" s="42"/>
      <c r="D205" s="2"/>
      <c r="E205" s="46"/>
      <c r="F205" s="47"/>
      <c r="G205" s="61"/>
      <c r="I205" s="2"/>
    </row>
    <row r="206" spans="1:9" x14ac:dyDescent="0.25">
      <c r="B206" s="41"/>
      <c r="C206" s="42"/>
      <c r="D206" s="2"/>
      <c r="E206" s="46"/>
      <c r="F206" s="47"/>
      <c r="G206" s="61"/>
      <c r="I206" s="2"/>
    </row>
    <row r="207" spans="1:9" x14ac:dyDescent="0.25">
      <c r="B207" s="41"/>
      <c r="C207" s="42"/>
      <c r="D207" s="2"/>
      <c r="E207" s="46"/>
      <c r="F207" s="47"/>
      <c r="G207" s="61"/>
      <c r="I207" s="2"/>
    </row>
    <row r="208" spans="1:9" x14ac:dyDescent="0.25">
      <c r="B208" s="41"/>
      <c r="C208" s="42"/>
      <c r="D208" s="2"/>
      <c r="E208" s="46"/>
      <c r="F208" s="47"/>
      <c r="G208" s="61"/>
      <c r="I208" s="2"/>
    </row>
    <row r="209" spans="2:9" x14ac:dyDescent="0.25">
      <c r="B209" s="41"/>
      <c r="C209" s="42"/>
      <c r="D209" s="2"/>
      <c r="E209" s="46"/>
      <c r="F209" s="47"/>
      <c r="G209" s="61"/>
      <c r="I209" s="2"/>
    </row>
    <row r="210" spans="2:9" x14ac:dyDescent="0.25">
      <c r="B210" s="41"/>
      <c r="C210" s="42"/>
      <c r="D210" s="2"/>
      <c r="E210" s="46"/>
      <c r="F210" s="47"/>
      <c r="G210" s="61"/>
      <c r="I210" s="2"/>
    </row>
  </sheetData>
  <mergeCells count="4">
    <mergeCell ref="B1:G1"/>
    <mergeCell ref="B2:F2"/>
    <mergeCell ref="E197:G197"/>
    <mergeCell ref="E199:G199"/>
  </mergeCell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REMISIONES  ENERO  2023     </vt:lpstr>
      <vt:lpstr>REMISIONES  FEBRERO  2023</vt:lpstr>
      <vt:lpstr>   REMISIONES     MARZO   2023 </vt:lpstr>
      <vt:lpstr> REMISIONES   ABRIL  2023    </vt:lpstr>
      <vt:lpstr>   REMISIONES   MAYO   2023    </vt:lpstr>
      <vt:lpstr>REMISIONES  JUNIO   2023  </vt:lpstr>
      <vt:lpstr>   REMISIONES   JULIO    2023  </vt:lpstr>
      <vt:lpstr> REMISONES  AGOSTO 2023   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2023-02-08T18:53:38Z</cp:lastPrinted>
  <dcterms:created xsi:type="dcterms:W3CDTF">2023-02-08T17:54:21Z</dcterms:created>
  <dcterms:modified xsi:type="dcterms:W3CDTF">2023-11-20T17:47:42Z</dcterms:modified>
</cp:coreProperties>
</file>