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3"/>
  </bookViews>
  <sheets>
    <sheet name="Hoja5" sheetId="7" r:id="rId1"/>
    <sheet name="Hoja2" sheetId="12" r:id="rId2"/>
    <sheet name="Hoja8" sheetId="13" r:id="rId3"/>
    <sheet name="GASTOS COMEDOR OCT-2023 " sheetId="14" r:id="rId4"/>
    <sheet name="GASTOS POR SEMANA  SEPT-23 " sheetId="1" r:id="rId5"/>
    <sheet name="CONSENTRADO X SEMANAS   " sheetId="5" r:id="rId6"/>
    <sheet name="GASTO X  MES " sheetId="6" r:id="rId7"/>
    <sheet name="Hoja7" sheetId="10" r:id="rId8"/>
    <sheet name="   GASTOS  POR MES        02   " sheetId="11" r:id="rId9"/>
    <sheet name="GASTOS POR MES          01     " sheetId="2" r:id="rId10"/>
    <sheet name="Hoja3" sheetId="3" r:id="rId11"/>
    <sheet name="Hoja1" sheetId="8" r:id="rId12"/>
    <sheet name="Hoja6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4" l="1"/>
  <c r="H11" i="14"/>
  <c r="H19" i="14" s="1"/>
  <c r="J10" i="14"/>
  <c r="J19" i="14" s="1"/>
  <c r="D7" i="14"/>
  <c r="D19" i="14"/>
  <c r="F6" i="14"/>
  <c r="F19" i="14"/>
  <c r="K5" i="14"/>
  <c r="K19" i="14"/>
  <c r="T13" i="14"/>
  <c r="S6" i="14"/>
  <c r="S19" i="14" s="1"/>
  <c r="V12" i="14"/>
  <c r="V10" i="14"/>
  <c r="R9" i="14"/>
  <c r="W8" i="14"/>
  <c r="W19" i="14"/>
  <c r="Q7" i="14"/>
  <c r="X5" i="14"/>
  <c r="X19" i="14" s="1"/>
  <c r="U19" i="14"/>
  <c r="R19" i="14"/>
  <c r="Q19" i="14"/>
  <c r="L19" i="14"/>
  <c r="I19" i="14"/>
  <c r="G19" i="14"/>
  <c r="E19" i="14"/>
  <c r="T19" i="14"/>
  <c r="V19" i="14"/>
  <c r="V3" i="14"/>
  <c r="F21" i="14" l="1"/>
  <c r="S21" i="14"/>
  <c r="F8" i="6"/>
  <c r="H8" i="6"/>
  <c r="I8" i="6"/>
  <c r="K8" i="6"/>
  <c r="G8" i="6"/>
  <c r="L8" i="6"/>
  <c r="J8" i="6"/>
  <c r="H20" i="6"/>
  <c r="I20" i="6"/>
  <c r="F20" i="6"/>
  <c r="G20" i="6"/>
  <c r="K20" i="6"/>
  <c r="L20" i="6"/>
  <c r="J20" i="6"/>
  <c r="O21" i="6"/>
  <c r="O19" i="6"/>
  <c r="O18" i="6"/>
  <c r="O17" i="6"/>
  <c r="O9" i="6"/>
  <c r="O7" i="6"/>
  <c r="O6" i="6"/>
  <c r="O5" i="6"/>
  <c r="AD18" i="6"/>
  <c r="AD17" i="6"/>
  <c r="AD7" i="6"/>
  <c r="AD6" i="6"/>
  <c r="AD5" i="6"/>
  <c r="O8" i="6" l="1"/>
  <c r="O11" i="6" s="1"/>
  <c r="O20" i="6"/>
  <c r="O23" i="6" s="1"/>
  <c r="AD21" i="6"/>
  <c r="AD9" i="6"/>
  <c r="N23" i="5"/>
  <c r="N22" i="5"/>
  <c r="N21" i="5"/>
  <c r="N20" i="5"/>
  <c r="N19" i="5"/>
  <c r="N9" i="5"/>
  <c r="N8" i="5"/>
  <c r="N7" i="5"/>
  <c r="N6" i="5"/>
  <c r="N5" i="5"/>
  <c r="N11" i="5" l="1"/>
  <c r="N25" i="5"/>
  <c r="V36" i="14"/>
  <c r="S32" i="14"/>
  <c r="T39" i="14"/>
  <c r="T45" i="14" s="1"/>
  <c r="W34" i="14"/>
  <c r="Q33" i="14"/>
  <c r="Q45" i="14"/>
  <c r="S45" i="14"/>
  <c r="K31" i="14"/>
  <c r="E45" i="14"/>
  <c r="F45" i="14"/>
  <c r="G45" i="14"/>
  <c r="H45" i="14"/>
  <c r="I45" i="14"/>
  <c r="J45" i="14"/>
  <c r="K45" i="14"/>
  <c r="F47" i="14" s="1"/>
  <c r="L45" i="14"/>
  <c r="D45" i="14"/>
  <c r="F32" i="14"/>
  <c r="D33" i="14"/>
  <c r="J36" i="14"/>
  <c r="V38" i="14"/>
  <c r="W45" i="14"/>
  <c r="X31" i="14"/>
  <c r="H39" i="14"/>
  <c r="H38" i="14"/>
  <c r="E37" i="14"/>
  <c r="V29" i="14"/>
  <c r="U45" i="14"/>
  <c r="V45" i="14"/>
  <c r="R45" i="14"/>
  <c r="X45" i="14"/>
  <c r="U101" i="14"/>
  <c r="T101" i="14"/>
  <c r="R101" i="14"/>
  <c r="L101" i="14"/>
  <c r="K101" i="14"/>
  <c r="I101" i="14"/>
  <c r="G101" i="14"/>
  <c r="E101" i="14"/>
  <c r="V96" i="14"/>
  <c r="H96" i="14"/>
  <c r="V95" i="14"/>
  <c r="V101" i="14" s="1"/>
  <c r="H95" i="14"/>
  <c r="H101" i="14" s="1"/>
  <c r="W93" i="14"/>
  <c r="W101" i="14" s="1"/>
  <c r="J93" i="14"/>
  <c r="J101" i="14" s="1"/>
  <c r="Q89" i="14"/>
  <c r="Q101" i="14" s="1"/>
  <c r="D89" i="14"/>
  <c r="D101" i="14" s="1"/>
  <c r="S88" i="14"/>
  <c r="S101" i="14" s="1"/>
  <c r="F88" i="14"/>
  <c r="F101" i="14" s="1"/>
  <c r="X87" i="14"/>
  <c r="X101" i="14" s="1"/>
  <c r="K87" i="14"/>
  <c r="U73" i="14"/>
  <c r="R73" i="14"/>
  <c r="L73" i="14"/>
  <c r="J73" i="14"/>
  <c r="I73" i="14"/>
  <c r="F73" i="14"/>
  <c r="E73" i="14"/>
  <c r="D73" i="14"/>
  <c r="V68" i="14"/>
  <c r="H68" i="14"/>
  <c r="H73" i="14" s="1"/>
  <c r="H67" i="14"/>
  <c r="W65" i="14"/>
  <c r="W73" i="14" s="1"/>
  <c r="J65" i="14"/>
  <c r="V64" i="14"/>
  <c r="V73" i="14" s="1"/>
  <c r="R63" i="14"/>
  <c r="T62" i="14"/>
  <c r="T73" i="14" s="1"/>
  <c r="G62" i="14"/>
  <c r="G73" i="14" s="1"/>
  <c r="Q61" i="14"/>
  <c r="Q73" i="14" s="1"/>
  <c r="D61" i="14"/>
  <c r="S60" i="14"/>
  <c r="S73" i="14" s="1"/>
  <c r="F60" i="14"/>
  <c r="X59" i="14"/>
  <c r="X73" i="14" s="1"/>
  <c r="K59" i="14"/>
  <c r="K73" i="14" s="1"/>
  <c r="F75" i="14" s="1"/>
  <c r="S47" i="14" l="1"/>
  <c r="S103" i="14"/>
  <c r="S75" i="14"/>
  <c r="F103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16" i="1" l="1"/>
  <c r="V15" i="1"/>
  <c r="W11" i="1"/>
  <c r="Q10" i="1"/>
  <c r="S8" i="1"/>
  <c r="T9" i="1"/>
  <c r="X7" i="1"/>
  <c r="H15" i="1"/>
  <c r="F8" i="1"/>
  <c r="D9" i="1"/>
  <c r="H16" i="1"/>
  <c r="K7" i="1"/>
  <c r="U21" i="1" l="1"/>
  <c r="T21" i="1"/>
  <c r="R21" i="1"/>
  <c r="Q21" i="1"/>
  <c r="L21" i="1"/>
  <c r="I21" i="1"/>
  <c r="G21" i="1"/>
  <c r="F21" i="1"/>
  <c r="E21" i="1"/>
  <c r="V21" i="1"/>
  <c r="H21" i="1"/>
  <c r="J21" i="1"/>
  <c r="S21" i="1"/>
  <c r="W21" i="1"/>
  <c r="K21" i="1"/>
  <c r="X21" i="1"/>
  <c r="D21" i="1"/>
  <c r="F23" i="1" l="1"/>
  <c r="S23" i="1"/>
  <c r="S44" i="1"/>
  <c r="R52" i="1" l="1"/>
  <c r="S52" i="1"/>
  <c r="T52" i="1"/>
  <c r="U52" i="1"/>
  <c r="W39" i="1"/>
  <c r="W52" i="1" s="1"/>
  <c r="X38" i="1"/>
  <c r="X52" i="1" s="1"/>
  <c r="V46" i="1"/>
  <c r="V47" i="1"/>
  <c r="Q40" i="1"/>
  <c r="Q52" i="1" s="1"/>
  <c r="V52" i="1" l="1"/>
  <c r="S54" i="1" s="1"/>
  <c r="K39" i="1"/>
  <c r="K52" i="1" s="1"/>
  <c r="J44" i="1"/>
  <c r="J52" i="1" s="1"/>
  <c r="H49" i="1"/>
  <c r="H47" i="1"/>
  <c r="H52" i="1" s="1"/>
  <c r="J45" i="1"/>
  <c r="F46" i="1"/>
  <c r="F52" i="1" s="1"/>
  <c r="D38" i="1"/>
  <c r="D52" i="1" s="1"/>
  <c r="S28" i="8"/>
  <c r="R10" i="8"/>
  <c r="R28" i="8" s="1"/>
  <c r="F10" i="8"/>
  <c r="F28" i="8" s="1"/>
  <c r="V9" i="8"/>
  <c r="C9" i="8"/>
  <c r="U8" i="8"/>
  <c r="U28" i="8" s="1"/>
  <c r="D8" i="8"/>
  <c r="D28" i="8" s="1"/>
  <c r="L52" i="1"/>
  <c r="I52" i="1"/>
  <c r="G52" i="1"/>
  <c r="E52" i="1"/>
  <c r="F54" i="1" l="1"/>
  <c r="X71" i="1"/>
  <c r="W5" i="8" s="1"/>
  <c r="W28" i="8" s="1"/>
  <c r="V80" i="1"/>
  <c r="T14" i="8" s="1"/>
  <c r="S77" i="1"/>
  <c r="Q11" i="8" s="1"/>
  <c r="Q28" i="8" s="1"/>
  <c r="R75" i="1"/>
  <c r="P12" i="8" s="1"/>
  <c r="P28" i="8" s="1"/>
  <c r="W72" i="1"/>
  <c r="V6" i="8" s="1"/>
  <c r="V28" i="8" s="1"/>
  <c r="K72" i="1"/>
  <c r="J6" i="8" s="1"/>
  <c r="J28" i="8" s="1"/>
  <c r="J77" i="1"/>
  <c r="F79" i="1"/>
  <c r="E13" i="8" s="1"/>
  <c r="E28" i="8" s="1"/>
  <c r="H73" i="1"/>
  <c r="G7" i="8" s="1"/>
  <c r="L81" i="1"/>
  <c r="K15" i="8" s="1"/>
  <c r="K28" i="8" s="1"/>
  <c r="Q99" i="1" l="1"/>
  <c r="S103" i="1"/>
  <c r="I74" i="1"/>
  <c r="L17" i="2"/>
  <c r="L85" i="1"/>
  <c r="H8" i="8" l="1"/>
  <c r="H28" i="8" s="1"/>
  <c r="V79" i="1"/>
  <c r="Q73" i="1"/>
  <c r="H80" i="1"/>
  <c r="J78" i="1"/>
  <c r="D71" i="1"/>
  <c r="O7" i="8" l="1"/>
  <c r="O28" i="8" s="1"/>
  <c r="C5" i="8"/>
  <c r="C28" i="8" s="1"/>
  <c r="G14" i="8"/>
  <c r="G28" i="8" s="1"/>
  <c r="T13" i="8"/>
  <c r="T28" i="8" s="1"/>
  <c r="I11" i="8"/>
  <c r="I28" i="8" s="1"/>
  <c r="U85" i="1"/>
  <c r="T85" i="1"/>
  <c r="R85" i="1"/>
  <c r="K85" i="1"/>
  <c r="G85" i="1"/>
  <c r="E85" i="1"/>
  <c r="D85" i="1"/>
  <c r="V85" i="1"/>
  <c r="S85" i="1"/>
  <c r="J85" i="1"/>
  <c r="F85" i="1"/>
  <c r="I85" i="1"/>
  <c r="Q85" i="1"/>
  <c r="H85" i="1"/>
  <c r="W85" i="1"/>
  <c r="X85" i="1"/>
  <c r="F105" i="1"/>
  <c r="H106" i="1"/>
  <c r="V105" i="1"/>
  <c r="V106" i="1"/>
  <c r="F101" i="1"/>
  <c r="E30" i="8" l="1"/>
  <c r="Q30" i="8"/>
  <c r="F87" i="1"/>
  <c r="S87" i="1"/>
  <c r="U120" i="1"/>
  <c r="S120" i="1"/>
  <c r="R120" i="1"/>
  <c r="E120" i="1"/>
  <c r="D120" i="1"/>
  <c r="V120" i="1"/>
  <c r="J103" i="1"/>
  <c r="J120" i="1" s="1"/>
  <c r="T102" i="1"/>
  <c r="T120" i="1" s="1"/>
  <c r="G102" i="1"/>
  <c r="G120" i="1" s="1"/>
  <c r="W101" i="1"/>
  <c r="I100" i="1"/>
  <c r="I120" i="1" s="1"/>
  <c r="Q120" i="1"/>
  <c r="H99" i="1"/>
  <c r="W98" i="1"/>
  <c r="W120" i="1" s="1"/>
  <c r="K98" i="1"/>
  <c r="K120" i="1" s="1"/>
  <c r="X97" i="1"/>
  <c r="X120" i="1" s="1"/>
  <c r="S122" i="1" l="1"/>
  <c r="F120" i="1"/>
  <c r="H120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22" i="1"/>
</calcChain>
</file>

<file path=xl/sharedStrings.xml><?xml version="1.0" encoding="utf-8"?>
<sst xmlns="http://schemas.openxmlformats.org/spreadsheetml/2006/main" count="932" uniqueCount="208">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</sst>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FF"/>
      <color rgb="FF990033"/>
      <color rgb="FFCC99FF"/>
      <color rgb="FFFFCCFF"/>
      <color rgb="FF99FF99"/>
      <color rgb="FF800000"/>
      <color rgb="FF66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62" t="s">
        <v>121</v>
      </c>
      <c r="D2" s="263"/>
      <c r="E2" s="263"/>
      <c r="F2" s="263"/>
      <c r="G2" s="263"/>
      <c r="H2" s="263"/>
      <c r="I2" s="263"/>
      <c r="J2" s="263"/>
      <c r="K2" s="263"/>
      <c r="L2" s="123"/>
      <c r="M2" s="124"/>
      <c r="N2" s="125"/>
      <c r="O2" s="125"/>
      <c r="P2" s="264" t="s">
        <v>122</v>
      </c>
      <c r="Q2" s="265"/>
      <c r="R2" s="265"/>
      <c r="S2" s="265"/>
      <c r="T2" s="265"/>
      <c r="U2" s="265"/>
      <c r="V2" s="265"/>
      <c r="W2" s="265"/>
      <c r="X2" s="265"/>
      <c r="Y2" s="265"/>
      <c r="Z2" s="266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41">
        <f>K17+J17+I17+H17+G17+F17+E17+D17+L17</f>
        <v>50513</v>
      </c>
      <c r="G19" s="242"/>
      <c r="H19" s="243"/>
      <c r="I19" s="5"/>
      <c r="J19" s="5"/>
      <c r="K19" s="5"/>
      <c r="L19" s="5"/>
      <c r="M19" s="74"/>
      <c r="N19" s="74"/>
      <c r="O19" s="74"/>
      <c r="R19" s="5"/>
      <c r="S19" s="5"/>
      <c r="T19" s="244">
        <f>R17+S17+T17+U17+W17+X17+Y17+Z17</f>
        <v>78100</v>
      </c>
      <c r="U19" s="245"/>
      <c r="V19" s="246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34" t="s">
        <v>17</v>
      </c>
      <c r="C2" s="235"/>
      <c r="D2" s="235"/>
      <c r="E2" s="235"/>
      <c r="F2" s="235"/>
      <c r="G2" s="235"/>
      <c r="H2" s="235"/>
      <c r="I2" s="235"/>
      <c r="J2" s="235"/>
      <c r="K2" s="101"/>
      <c r="L2" s="39"/>
      <c r="M2" s="247" t="s">
        <v>19</v>
      </c>
      <c r="N2" s="248"/>
      <c r="O2" s="248"/>
      <c r="P2" s="248"/>
      <c r="Q2" s="248"/>
      <c r="R2" s="248"/>
      <c r="S2" s="248"/>
      <c r="T2" s="248"/>
      <c r="U2" s="248"/>
      <c r="V2" s="248"/>
      <c r="W2" s="256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'!D71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'!X71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'!K72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'!W72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'!H73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'!Q73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'!E74</f>
        <v>492</v>
      </c>
      <c r="E8" s="11">
        <v>0</v>
      </c>
      <c r="F8" s="11">
        <v>0</v>
      </c>
      <c r="G8" s="11">
        <v>0</v>
      </c>
      <c r="H8" s="105">
        <f>391+81+'GASTOS POR SEMANA  SEPT-23 '!I74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'!U74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'!T76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'!J77+'GASTOS POR SEMANA  SEPT-23 '!J78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'!S77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'!R75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'!F79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'!V79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'!H80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'!V80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'!L81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41">
        <f>J28+I28+H28+G28+F28+E28+D28+C28+K28</f>
        <v>27026.5</v>
      </c>
      <c r="F30" s="242"/>
      <c r="G30" s="243"/>
      <c r="H30" s="5"/>
      <c r="I30" s="5"/>
      <c r="J30" s="5"/>
      <c r="K30" s="5"/>
      <c r="L30" s="3"/>
      <c r="O30" s="5"/>
      <c r="P30" s="5"/>
      <c r="Q30" s="244">
        <f>O28+P28+Q28+R28+T28+U28+V28+W28</f>
        <v>39532.5</v>
      </c>
      <c r="R30" s="245"/>
      <c r="S30" s="246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106"/>
  <sheetViews>
    <sheetView tabSelected="1" topLeftCell="L1" zoomScaleNormal="100" workbookViewId="0">
      <selection activeCell="AA5" sqref="AA5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6.75" customHeight="1" thickBot="1" x14ac:dyDescent="0.3"/>
    <row r="2" spans="2:25" ht="22.5" thickTop="1" thickBot="1" x14ac:dyDescent="0.4">
      <c r="B2" s="7"/>
      <c r="C2" s="234" t="s">
        <v>36</v>
      </c>
      <c r="D2" s="235"/>
      <c r="E2" s="235"/>
      <c r="F2" s="235"/>
      <c r="G2" s="235"/>
      <c r="H2" s="235"/>
      <c r="I2" s="235"/>
      <c r="J2" s="235"/>
      <c r="K2" s="235"/>
      <c r="L2" s="128" t="s">
        <v>88</v>
      </c>
      <c r="M2" s="133"/>
      <c r="N2" s="81"/>
      <c r="O2" s="236" t="s">
        <v>19</v>
      </c>
      <c r="P2" s="237"/>
      <c r="Q2" s="237"/>
      <c r="R2" s="237"/>
      <c r="S2" s="237"/>
      <c r="T2" s="237"/>
      <c r="U2" s="237"/>
      <c r="V2" s="237"/>
      <c r="W2" s="237"/>
      <c r="X2" s="190" t="s">
        <v>88</v>
      </c>
    </row>
    <row r="3" spans="2:25" ht="16.5" thickBot="1" x14ac:dyDescent="0.3">
      <c r="B3" s="7"/>
      <c r="C3" s="1"/>
      <c r="I3" s="238" t="s">
        <v>194</v>
      </c>
      <c r="J3" s="239"/>
      <c r="K3" s="240"/>
      <c r="L3" s="68"/>
      <c r="M3" s="134"/>
      <c r="N3" s="74"/>
      <c r="O3" s="7"/>
      <c r="V3" s="238" t="str">
        <f>I3</f>
        <v>del       07--- al  13    OCTUBRE-2023</v>
      </c>
      <c r="W3" s="239"/>
      <c r="X3" s="24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42.75" customHeight="1" x14ac:dyDescent="0.25">
      <c r="B5" s="93" t="s">
        <v>201</v>
      </c>
      <c r="C5" s="267" t="s">
        <v>202</v>
      </c>
      <c r="D5" s="72"/>
      <c r="E5" s="72"/>
      <c r="F5" s="72"/>
      <c r="G5" s="72"/>
      <c r="H5" s="72"/>
      <c r="I5" s="72"/>
      <c r="J5" s="72"/>
      <c r="K5" s="72">
        <f>1358+469+1088+1049</f>
        <v>3964</v>
      </c>
      <c r="L5" s="71"/>
      <c r="M5" s="131"/>
      <c r="N5" s="74"/>
      <c r="O5" s="93" t="s">
        <v>201</v>
      </c>
      <c r="P5" s="86" t="s">
        <v>195</v>
      </c>
      <c r="Q5" s="72"/>
      <c r="R5" s="72"/>
      <c r="S5" s="72"/>
      <c r="T5" s="72"/>
      <c r="U5" s="72"/>
      <c r="V5" s="72"/>
      <c r="W5" s="72"/>
      <c r="X5" s="72">
        <f>1592+544+1586+1136</f>
        <v>4858</v>
      </c>
    </row>
    <row r="6" spans="2:25" ht="67.5" customHeight="1" x14ac:dyDescent="0.25">
      <c r="B6" s="93" t="s">
        <v>201</v>
      </c>
      <c r="C6" s="44" t="s">
        <v>203</v>
      </c>
      <c r="D6" s="67"/>
      <c r="E6" s="67"/>
      <c r="F6" s="67">
        <f>2134+45+70+55+30+90</f>
        <v>2424</v>
      </c>
      <c r="G6" s="67"/>
      <c r="H6" s="67"/>
      <c r="I6" s="67"/>
      <c r="J6" s="67"/>
      <c r="K6" s="67"/>
      <c r="L6" s="67"/>
      <c r="M6" s="131"/>
      <c r="N6" s="74"/>
      <c r="O6" s="93" t="s">
        <v>201</v>
      </c>
      <c r="P6" s="89" t="s">
        <v>196</v>
      </c>
      <c r="Q6" s="72"/>
      <c r="R6" s="72"/>
      <c r="S6" s="72">
        <f>2864+30+45+50+60+20</f>
        <v>3069</v>
      </c>
      <c r="T6" s="72"/>
      <c r="U6" s="72"/>
      <c r="V6" s="72"/>
      <c r="W6" s="72"/>
      <c r="X6" s="67"/>
    </row>
    <row r="7" spans="2:25" ht="34.5" customHeight="1" x14ac:dyDescent="0.25">
      <c r="B7" s="93" t="s">
        <v>201</v>
      </c>
      <c r="C7" s="44" t="s">
        <v>204</v>
      </c>
      <c r="D7" s="67">
        <f>115+195+65+217+150+214</f>
        <v>956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201</v>
      </c>
      <c r="P7" s="87" t="s">
        <v>197</v>
      </c>
      <c r="Q7" s="72">
        <f>271+240+310</f>
        <v>821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201</v>
      </c>
      <c r="C8" s="96" t="s">
        <v>205</v>
      </c>
      <c r="D8" s="67"/>
      <c r="E8" s="67"/>
      <c r="F8" s="67"/>
      <c r="G8" s="67"/>
      <c r="H8" s="67"/>
      <c r="I8" s="67"/>
      <c r="J8" s="67">
        <v>112</v>
      </c>
      <c r="K8" s="67"/>
      <c r="L8" s="67"/>
      <c r="M8" s="131"/>
      <c r="N8" s="74"/>
      <c r="O8" s="93" t="s">
        <v>201</v>
      </c>
      <c r="P8" s="89" t="s">
        <v>198</v>
      </c>
      <c r="Q8" s="72"/>
      <c r="R8" s="72"/>
      <c r="S8" s="72"/>
      <c r="T8" s="72"/>
      <c r="U8" s="72"/>
      <c r="V8" s="72"/>
      <c r="W8" s="72">
        <f>393+1291+64.5+360+302</f>
        <v>2410.5</v>
      </c>
      <c r="X8" s="67"/>
    </row>
    <row r="9" spans="2:25" ht="39" customHeight="1" x14ac:dyDescent="0.25">
      <c r="B9" s="93" t="s">
        <v>201</v>
      </c>
      <c r="C9" s="44" t="s">
        <v>172</v>
      </c>
      <c r="D9" s="67"/>
      <c r="E9" s="67"/>
      <c r="F9" s="67"/>
      <c r="G9" s="67"/>
      <c r="H9" s="67"/>
      <c r="I9" s="67">
        <v>704</v>
      </c>
      <c r="J9" s="67"/>
      <c r="K9" s="67"/>
      <c r="L9" s="67"/>
      <c r="M9" s="131"/>
      <c r="N9" s="74"/>
      <c r="O9" s="93" t="s">
        <v>201</v>
      </c>
      <c r="P9" s="89" t="s">
        <v>199</v>
      </c>
      <c r="Q9" s="72"/>
      <c r="R9" s="72">
        <f>941+931</f>
        <v>1872</v>
      </c>
      <c r="S9" s="72"/>
      <c r="T9" s="72"/>
      <c r="U9" s="72"/>
      <c r="V9" s="72"/>
      <c r="W9" s="72"/>
      <c r="X9" s="67"/>
    </row>
    <row r="10" spans="2:25" ht="38.25" customHeight="1" x14ac:dyDescent="0.25">
      <c r="B10" s="93" t="s">
        <v>201</v>
      </c>
      <c r="C10" s="44" t="s">
        <v>206</v>
      </c>
      <c r="D10" s="67"/>
      <c r="E10" s="67"/>
      <c r="F10" s="67"/>
      <c r="G10" s="67"/>
      <c r="H10" s="67"/>
      <c r="I10" s="67"/>
      <c r="J10" s="67">
        <f>266+1719+26+38+264</f>
        <v>2313</v>
      </c>
      <c r="K10" s="67"/>
      <c r="L10" s="67"/>
      <c r="M10" s="131"/>
      <c r="N10" s="74"/>
      <c r="O10" s="93" t="s">
        <v>201</v>
      </c>
      <c r="P10" s="195" t="s">
        <v>164</v>
      </c>
      <c r="Q10" s="72"/>
      <c r="R10" s="72"/>
      <c r="S10" s="72"/>
      <c r="T10" s="72"/>
      <c r="U10" s="72"/>
      <c r="V10" s="72">
        <f>170+204+204+204</f>
        <v>782</v>
      </c>
      <c r="W10" s="72"/>
      <c r="X10" s="67"/>
    </row>
    <row r="11" spans="2:25" ht="33" customHeight="1" x14ac:dyDescent="0.25">
      <c r="B11" s="93" t="s">
        <v>201</v>
      </c>
      <c r="C11" s="44" t="s">
        <v>96</v>
      </c>
      <c r="D11" s="67"/>
      <c r="E11" s="67"/>
      <c r="F11" s="67"/>
      <c r="G11" s="67"/>
      <c r="H11" s="67">
        <f>17+68+68+85+68</f>
        <v>306</v>
      </c>
      <c r="I11" s="67"/>
      <c r="J11" s="94"/>
      <c r="K11" s="67"/>
      <c r="L11" s="67"/>
      <c r="M11" s="131"/>
      <c r="N11" s="74"/>
      <c r="O11" s="93" t="s">
        <v>201</v>
      </c>
      <c r="P11" s="194" t="s">
        <v>4</v>
      </c>
      <c r="Q11" s="72"/>
      <c r="R11" s="72"/>
      <c r="S11" s="72"/>
      <c r="T11" s="72"/>
      <c r="U11" s="72">
        <v>704</v>
      </c>
      <c r="V11" s="72"/>
      <c r="W11" s="72"/>
      <c r="X11" s="67"/>
      <c r="Y11" s="129"/>
    </row>
    <row r="12" spans="2:25" ht="37.5" customHeight="1" x14ac:dyDescent="0.25">
      <c r="B12" s="93" t="s">
        <v>201</v>
      </c>
      <c r="C12" s="42" t="s">
        <v>11</v>
      </c>
      <c r="D12" s="67"/>
      <c r="E12" s="67"/>
      <c r="F12" s="67"/>
      <c r="G12" s="67"/>
      <c r="H12" s="67">
        <f>330+330+420</f>
        <v>1080</v>
      </c>
      <c r="I12" s="67"/>
      <c r="J12" s="67"/>
      <c r="K12" s="67"/>
      <c r="L12" s="67"/>
      <c r="M12" s="131"/>
      <c r="N12" s="74"/>
      <c r="O12" s="93" t="s">
        <v>201</v>
      </c>
      <c r="P12" s="194" t="s">
        <v>140</v>
      </c>
      <c r="Q12" s="72"/>
      <c r="R12" s="72"/>
      <c r="S12" s="72"/>
      <c r="T12" s="72"/>
      <c r="U12" s="72"/>
      <c r="V12" s="72">
        <f>750+750+760+1335</f>
        <v>3595</v>
      </c>
      <c r="W12" s="72"/>
      <c r="X12" s="67"/>
    </row>
    <row r="13" spans="2:25" ht="44.25" customHeight="1" x14ac:dyDescent="0.25">
      <c r="B13" s="93" t="s">
        <v>201</v>
      </c>
      <c r="C13" s="95" t="s">
        <v>207</v>
      </c>
      <c r="D13" s="67"/>
      <c r="E13" s="67"/>
      <c r="F13" s="67"/>
      <c r="G13" s="67"/>
      <c r="H13" s="67"/>
      <c r="I13" s="67"/>
      <c r="J13" s="67"/>
      <c r="K13" s="67"/>
      <c r="L13" s="67">
        <v>500</v>
      </c>
      <c r="M13" s="131"/>
      <c r="N13" s="74"/>
      <c r="O13" s="93" t="s">
        <v>201</v>
      </c>
      <c r="P13" s="192" t="s">
        <v>200</v>
      </c>
      <c r="Q13" s="72"/>
      <c r="R13" s="72"/>
      <c r="S13" s="72"/>
      <c r="T13" s="72">
        <f>115+30</f>
        <v>145</v>
      </c>
      <c r="U13" s="72"/>
      <c r="V13" s="72"/>
      <c r="W13" s="72"/>
      <c r="X13" s="67"/>
    </row>
    <row r="14" spans="2:25" ht="24" customHeight="1" thickBot="1" x14ac:dyDescent="0.3">
      <c r="B14" s="93"/>
      <c r="C14" s="42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191"/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956</v>
      </c>
      <c r="E19" s="30">
        <f t="shared" ref="E19:L19" si="0">SUM(E5:E18)</f>
        <v>0</v>
      </c>
      <c r="F19" s="30">
        <f t="shared" si="0"/>
        <v>2424</v>
      </c>
      <c r="G19" s="30">
        <f t="shared" si="0"/>
        <v>0</v>
      </c>
      <c r="H19" s="30">
        <f t="shared" si="0"/>
        <v>1386</v>
      </c>
      <c r="I19" s="30">
        <f t="shared" si="0"/>
        <v>704</v>
      </c>
      <c r="J19" s="30">
        <f t="shared" si="0"/>
        <v>2425</v>
      </c>
      <c r="K19" s="30">
        <f t="shared" si="0"/>
        <v>3964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821</v>
      </c>
      <c r="R19" s="21">
        <f t="shared" si="1"/>
        <v>1872</v>
      </c>
      <c r="S19" s="21">
        <f t="shared" si="1"/>
        <v>3069</v>
      </c>
      <c r="T19" s="21">
        <f t="shared" si="1"/>
        <v>145</v>
      </c>
      <c r="U19" s="21">
        <f t="shared" si="1"/>
        <v>704</v>
      </c>
      <c r="V19" s="21">
        <f t="shared" si="1"/>
        <v>4377</v>
      </c>
      <c r="W19" s="21">
        <f t="shared" si="1"/>
        <v>2410.5</v>
      </c>
      <c r="X19" s="21">
        <f t="shared" si="1"/>
        <v>4858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41">
        <f>K19+J19+I19+H19+G19+F19+E19+D19+L19</f>
        <v>12359</v>
      </c>
      <c r="G21" s="242"/>
      <c r="H21" s="243"/>
      <c r="I21" s="5"/>
      <c r="J21" s="5"/>
      <c r="K21" s="5"/>
      <c r="L21" s="71"/>
      <c r="M21" s="74"/>
      <c r="N21" s="74"/>
      <c r="O21" s="7"/>
      <c r="Q21" s="5"/>
      <c r="R21" s="5"/>
      <c r="S21" s="244">
        <f>Q19+R19+S19+T19+U19+V19+W19+X19</f>
        <v>18256.5</v>
      </c>
      <c r="T21" s="245"/>
      <c r="U21" s="246"/>
      <c r="V21" s="5"/>
      <c r="W21" s="5"/>
      <c r="X21" s="5"/>
    </row>
    <row r="22" spans="2:24" x14ac:dyDescent="0.25">
      <c r="B22" s="7"/>
      <c r="C22" s="1"/>
      <c r="D22" s="5"/>
      <c r="E22" s="5"/>
      <c r="F22" s="5"/>
      <c r="G22" s="5"/>
      <c r="H22" s="5"/>
      <c r="J22" s="5"/>
      <c r="K22" s="5"/>
      <c r="L22" s="71"/>
      <c r="M22" s="74"/>
      <c r="N22" s="74"/>
      <c r="O22" s="7"/>
      <c r="Q22" s="5"/>
      <c r="R22" s="5"/>
      <c r="S22" s="5"/>
      <c r="T22" s="5"/>
      <c r="U22" s="5"/>
      <c r="V22" s="5"/>
      <c r="W22" s="5"/>
      <c r="X22" s="5"/>
    </row>
    <row r="27" spans="2:24" ht="15.75" thickBot="1" x14ac:dyDescent="0.3"/>
    <row r="28" spans="2:24" ht="22.5" thickTop="1" thickBot="1" x14ac:dyDescent="0.4">
      <c r="B28" s="7"/>
      <c r="C28" s="234" t="s">
        <v>36</v>
      </c>
      <c r="D28" s="235"/>
      <c r="E28" s="235"/>
      <c r="F28" s="235"/>
      <c r="G28" s="235"/>
      <c r="H28" s="235"/>
      <c r="I28" s="235"/>
      <c r="J28" s="235"/>
      <c r="K28" s="235"/>
      <c r="L28" s="128" t="s">
        <v>66</v>
      </c>
      <c r="M28" s="133"/>
      <c r="N28" s="81"/>
      <c r="O28" s="236" t="s">
        <v>19</v>
      </c>
      <c r="P28" s="237"/>
      <c r="Q28" s="237"/>
      <c r="R28" s="237"/>
      <c r="S28" s="237"/>
      <c r="T28" s="237"/>
      <c r="U28" s="237"/>
      <c r="V28" s="237"/>
      <c r="W28" s="237"/>
      <c r="X28" s="190" t="s">
        <v>66</v>
      </c>
    </row>
    <row r="29" spans="2:24" ht="16.5" thickBot="1" x14ac:dyDescent="0.3">
      <c r="B29" s="7"/>
      <c r="C29" s="1"/>
      <c r="I29" s="238" t="s">
        <v>167</v>
      </c>
      <c r="J29" s="239"/>
      <c r="K29" s="240"/>
      <c r="L29" s="68"/>
      <c r="M29" s="134"/>
      <c r="N29" s="74"/>
      <c r="O29" s="7"/>
      <c r="V29" s="238" t="str">
        <f>I29</f>
        <v>del       30--- al  06    OCTUBRE-2023</v>
      </c>
      <c r="W29" s="239"/>
      <c r="X29" s="240"/>
    </row>
    <row r="30" spans="2:24" ht="64.5" thickTop="1" thickBot="1" x14ac:dyDescent="0.3">
      <c r="B30" s="6" t="s">
        <v>0</v>
      </c>
      <c r="C30" s="24" t="s">
        <v>1</v>
      </c>
      <c r="D30" s="25" t="s">
        <v>2</v>
      </c>
      <c r="E30" s="26" t="s">
        <v>7</v>
      </c>
      <c r="F30" s="56" t="s">
        <v>38</v>
      </c>
      <c r="G30" s="25" t="s">
        <v>3</v>
      </c>
      <c r="H30" s="27" t="s">
        <v>22</v>
      </c>
      <c r="I30" s="184" t="s">
        <v>4</v>
      </c>
      <c r="J30" s="61" t="s">
        <v>8</v>
      </c>
      <c r="K30" s="183" t="s">
        <v>5</v>
      </c>
      <c r="L30" s="99" t="s">
        <v>46</v>
      </c>
      <c r="M30" s="135"/>
      <c r="N30" s="82"/>
      <c r="O30" s="36" t="s">
        <v>0</v>
      </c>
      <c r="P30" s="143" t="s">
        <v>1</v>
      </c>
      <c r="Q30" s="137" t="s">
        <v>2</v>
      </c>
      <c r="R30" s="138" t="s">
        <v>16</v>
      </c>
      <c r="S30" s="138" t="s">
        <v>38</v>
      </c>
      <c r="T30" s="137" t="s">
        <v>3</v>
      </c>
      <c r="U30" s="137" t="s">
        <v>4</v>
      </c>
      <c r="V30" s="141" t="s">
        <v>25</v>
      </c>
      <c r="W30" s="136" t="s">
        <v>8</v>
      </c>
      <c r="X30" s="142" t="s">
        <v>5</v>
      </c>
    </row>
    <row r="31" spans="2:24" ht="60" x14ac:dyDescent="0.25">
      <c r="B31" s="93" t="s">
        <v>168</v>
      </c>
      <c r="C31" s="107" t="s">
        <v>169</v>
      </c>
      <c r="D31" s="72"/>
      <c r="E31" s="72"/>
      <c r="F31" s="72"/>
      <c r="G31" s="72"/>
      <c r="H31" s="72"/>
      <c r="I31" s="72"/>
      <c r="J31" s="72"/>
      <c r="K31" s="104">
        <f>1150+1167+1554+234+1684</f>
        <v>5789</v>
      </c>
      <c r="L31" s="70"/>
      <c r="M31" s="131"/>
      <c r="N31" s="74"/>
      <c r="O31" s="93" t="s">
        <v>168</v>
      </c>
      <c r="P31" s="86" t="s">
        <v>174</v>
      </c>
      <c r="Q31" s="72"/>
      <c r="R31" s="72"/>
      <c r="S31" s="72"/>
      <c r="T31" s="72"/>
      <c r="U31" s="72"/>
      <c r="V31" s="72"/>
      <c r="W31" s="72"/>
      <c r="X31" s="104">
        <f>1459+1661+1598+779+1647</f>
        <v>7144</v>
      </c>
    </row>
    <row r="32" spans="2:24" ht="48.75" x14ac:dyDescent="0.25">
      <c r="B32" s="93" t="s">
        <v>168</v>
      </c>
      <c r="C32" s="44" t="s">
        <v>178</v>
      </c>
      <c r="D32" s="67"/>
      <c r="E32" s="67"/>
      <c r="F32" s="105">
        <f>45+18+1601+60+30</f>
        <v>1754</v>
      </c>
      <c r="G32" s="67"/>
      <c r="H32" s="67"/>
      <c r="I32" s="67"/>
      <c r="J32" s="67"/>
      <c r="K32" s="67"/>
      <c r="L32" s="67"/>
      <c r="M32" s="131"/>
      <c r="N32" s="74"/>
      <c r="O32" s="93" t="s">
        <v>168</v>
      </c>
      <c r="P32" s="89" t="s">
        <v>181</v>
      </c>
      <c r="Q32" s="72"/>
      <c r="R32" s="72"/>
      <c r="S32" s="104">
        <f>30+70+56+1967+36+60</f>
        <v>2219</v>
      </c>
      <c r="T32" s="72"/>
      <c r="U32" s="72"/>
      <c r="V32" s="72"/>
      <c r="W32" s="72"/>
      <c r="X32" s="67"/>
    </row>
    <row r="33" spans="2:25" ht="34.5" customHeight="1" x14ac:dyDescent="0.25">
      <c r="B33" s="93" t="s">
        <v>168</v>
      </c>
      <c r="C33" s="44" t="s">
        <v>171</v>
      </c>
      <c r="D33" s="105">
        <f>220+221+100+155+190</f>
        <v>886</v>
      </c>
      <c r="E33" s="67"/>
      <c r="F33" s="67"/>
      <c r="G33" s="67"/>
      <c r="H33" s="67"/>
      <c r="I33" s="67"/>
      <c r="J33" s="67"/>
      <c r="K33" s="67"/>
      <c r="L33" s="11"/>
      <c r="M33" s="131"/>
      <c r="N33" s="74"/>
      <c r="O33" s="93" t="s">
        <v>168</v>
      </c>
      <c r="P33" s="87" t="s">
        <v>179</v>
      </c>
      <c r="Q33" s="104">
        <f>200+100+253+35+215</f>
        <v>803</v>
      </c>
      <c r="R33" s="72"/>
      <c r="S33" s="72"/>
      <c r="T33" s="72"/>
      <c r="U33" s="72"/>
      <c r="V33" s="72"/>
      <c r="W33" s="72"/>
      <c r="X33" s="67"/>
    </row>
    <row r="34" spans="2:25" ht="43.5" customHeight="1" x14ac:dyDescent="0.25">
      <c r="B34" s="93" t="s">
        <v>168</v>
      </c>
      <c r="C34" s="96" t="s">
        <v>170</v>
      </c>
      <c r="D34" s="67"/>
      <c r="E34" s="67"/>
      <c r="F34" s="67"/>
      <c r="G34" s="105">
        <v>15</v>
      </c>
      <c r="H34" s="67"/>
      <c r="I34" s="67"/>
      <c r="J34" s="67"/>
      <c r="K34" s="67"/>
      <c r="L34" s="11"/>
      <c r="M34" s="131"/>
      <c r="N34" s="74"/>
      <c r="O34" s="93" t="s">
        <v>168</v>
      </c>
      <c r="P34" s="89" t="s">
        <v>175</v>
      </c>
      <c r="Q34" s="72"/>
      <c r="R34" s="72"/>
      <c r="S34" s="72"/>
      <c r="T34" s="72"/>
      <c r="U34" s="72"/>
      <c r="V34" s="72"/>
      <c r="W34" s="104">
        <f>1390+343+55+40+88</f>
        <v>1916</v>
      </c>
      <c r="X34" s="67"/>
    </row>
    <row r="35" spans="2:25" ht="39" customHeight="1" x14ac:dyDescent="0.25">
      <c r="B35" s="93" t="s">
        <v>168</v>
      </c>
      <c r="C35" s="44" t="s">
        <v>172</v>
      </c>
      <c r="D35" s="67"/>
      <c r="E35" s="67"/>
      <c r="F35" s="67"/>
      <c r="G35" s="67"/>
      <c r="H35" s="67"/>
      <c r="I35" s="105">
        <v>352</v>
      </c>
      <c r="J35" s="67"/>
      <c r="K35" s="67"/>
      <c r="L35" s="11"/>
      <c r="M35" s="131"/>
      <c r="N35" s="74"/>
      <c r="O35" s="93" t="s">
        <v>168</v>
      </c>
      <c r="P35" s="194" t="s">
        <v>176</v>
      </c>
      <c r="Q35" s="72"/>
      <c r="R35" s="104">
        <v>590</v>
      </c>
      <c r="S35" s="72"/>
      <c r="T35" s="72"/>
      <c r="U35" s="72"/>
      <c r="V35" s="72"/>
      <c r="W35" s="72"/>
      <c r="X35" s="67"/>
    </row>
    <row r="36" spans="2:25" ht="38.25" customHeight="1" x14ac:dyDescent="0.25">
      <c r="B36" s="93" t="s">
        <v>168</v>
      </c>
      <c r="C36" s="44" t="s">
        <v>177</v>
      </c>
      <c r="D36" s="67"/>
      <c r="E36" s="67"/>
      <c r="F36" s="67"/>
      <c r="G36" s="67"/>
      <c r="H36" s="67"/>
      <c r="I36" s="67"/>
      <c r="J36" s="105">
        <f>578+127</f>
        <v>705</v>
      </c>
      <c r="K36" s="67"/>
      <c r="L36" s="11"/>
      <c r="M36" s="131"/>
      <c r="N36" s="74"/>
      <c r="O36" s="93" t="s">
        <v>168</v>
      </c>
      <c r="P36" s="195" t="s">
        <v>164</v>
      </c>
      <c r="Q36" s="72"/>
      <c r="R36" s="72"/>
      <c r="S36" s="72"/>
      <c r="T36" s="72"/>
      <c r="U36" s="72"/>
      <c r="V36" s="104">
        <f>68+238+204+204+270+238</f>
        <v>1222</v>
      </c>
      <c r="W36" s="72"/>
      <c r="X36" s="67"/>
    </row>
    <row r="37" spans="2:25" ht="33" customHeight="1" x14ac:dyDescent="0.25">
      <c r="B37" s="93" t="s">
        <v>168</v>
      </c>
      <c r="C37" s="44" t="s">
        <v>173</v>
      </c>
      <c r="D37" s="67"/>
      <c r="E37" s="105">
        <f>180+641</f>
        <v>821</v>
      </c>
      <c r="F37" s="67"/>
      <c r="G37" s="67"/>
      <c r="H37" s="67"/>
      <c r="I37" s="67"/>
      <c r="J37" s="94"/>
      <c r="K37" s="67"/>
      <c r="L37" s="11"/>
      <c r="M37" s="131"/>
      <c r="N37" s="74"/>
      <c r="O37" s="93" t="s">
        <v>168</v>
      </c>
      <c r="P37" s="194" t="s">
        <v>4</v>
      </c>
      <c r="Q37" s="72"/>
      <c r="R37" s="72"/>
      <c r="S37" s="72"/>
      <c r="T37" s="72"/>
      <c r="U37" s="104">
        <v>714</v>
      </c>
      <c r="V37" s="72"/>
      <c r="W37" s="72"/>
      <c r="X37" s="67"/>
      <c r="Y37" s="129"/>
    </row>
    <row r="38" spans="2:25" ht="37.5" customHeight="1" x14ac:dyDescent="0.25">
      <c r="B38" s="93" t="s">
        <v>168</v>
      </c>
      <c r="C38" s="42" t="s">
        <v>96</v>
      </c>
      <c r="D38" s="67"/>
      <c r="E38" s="67"/>
      <c r="F38" s="67"/>
      <c r="G38" s="67"/>
      <c r="H38" s="105">
        <f>51+204+85+85+68+68</f>
        <v>561</v>
      </c>
      <c r="I38" s="67"/>
      <c r="J38" s="67"/>
      <c r="K38" s="67"/>
      <c r="L38" s="11"/>
      <c r="M38" s="131"/>
      <c r="N38" s="74"/>
      <c r="O38" s="93" t="s">
        <v>168</v>
      </c>
      <c r="P38" s="194" t="s">
        <v>140</v>
      </c>
      <c r="Q38" s="72"/>
      <c r="R38" s="72"/>
      <c r="S38" s="72"/>
      <c r="T38" s="72"/>
      <c r="U38" s="72"/>
      <c r="V38" s="104">
        <f>2650+700+700+710</f>
        <v>4760</v>
      </c>
      <c r="W38" s="72"/>
      <c r="X38" s="67"/>
    </row>
    <row r="39" spans="2:25" ht="44.25" customHeight="1" x14ac:dyDescent="0.25">
      <c r="B39" s="93" t="s">
        <v>168</v>
      </c>
      <c r="C39" s="95" t="s">
        <v>11</v>
      </c>
      <c r="D39" s="67"/>
      <c r="E39" s="67"/>
      <c r="F39" s="67"/>
      <c r="G39" s="67"/>
      <c r="H39" s="105">
        <f>380+380+470</f>
        <v>1230</v>
      </c>
      <c r="I39" s="67"/>
      <c r="J39" s="67"/>
      <c r="K39" s="67"/>
      <c r="L39" s="11"/>
      <c r="M39" s="131"/>
      <c r="N39" s="74"/>
      <c r="O39" s="93" t="s">
        <v>168</v>
      </c>
      <c r="P39" s="192" t="s">
        <v>180</v>
      </c>
      <c r="Q39" s="72"/>
      <c r="R39" s="72"/>
      <c r="S39" s="72"/>
      <c r="T39" s="104">
        <f>40+35</f>
        <v>75</v>
      </c>
      <c r="U39" s="72"/>
      <c r="V39" s="72"/>
      <c r="W39" s="72"/>
      <c r="X39" s="67"/>
    </row>
    <row r="40" spans="2:25" ht="24" customHeight="1" thickBot="1" x14ac:dyDescent="0.3">
      <c r="B40" s="93"/>
      <c r="C40" s="42"/>
      <c r="D40" s="67"/>
      <c r="E40" s="67"/>
      <c r="F40" s="67"/>
      <c r="G40" s="67"/>
      <c r="H40" s="67"/>
      <c r="I40" s="67"/>
      <c r="J40" s="67"/>
      <c r="K40" s="67"/>
      <c r="L40" s="11"/>
      <c r="M40" s="131"/>
      <c r="N40" s="74"/>
      <c r="O40" s="191"/>
      <c r="P40" s="193"/>
      <c r="Q40" s="72"/>
      <c r="R40" s="72"/>
      <c r="S40" s="72"/>
      <c r="T40" s="72"/>
      <c r="U40" s="72"/>
      <c r="V40" s="72"/>
      <c r="W40" s="72"/>
      <c r="X40" s="67"/>
    </row>
    <row r="41" spans="2:25" hidden="1" x14ac:dyDescent="0.25">
      <c r="B41" s="93"/>
      <c r="C41" s="95"/>
      <c r="D41" s="67"/>
      <c r="E41" s="67"/>
      <c r="F41" s="67"/>
      <c r="G41" s="67"/>
      <c r="H41" s="67"/>
      <c r="I41" s="67"/>
      <c r="J41" s="67"/>
      <c r="K41" s="67"/>
      <c r="L41" s="11"/>
      <c r="M41" s="131"/>
      <c r="N41" s="74"/>
      <c r="O41" s="93"/>
      <c r="P41" s="88"/>
      <c r="Q41" s="72"/>
      <c r="R41" s="72"/>
      <c r="S41" s="72"/>
      <c r="T41" s="72"/>
      <c r="U41" s="72"/>
      <c r="V41" s="72"/>
      <c r="W41" s="72"/>
      <c r="X41" s="67"/>
    </row>
    <row r="42" spans="2:25" hidden="1" x14ac:dyDescent="0.25">
      <c r="B42" s="93"/>
      <c r="C42" s="10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91"/>
      <c r="Q42" s="67"/>
      <c r="R42" s="67"/>
      <c r="S42" s="67"/>
      <c r="T42" s="67"/>
      <c r="U42" s="67"/>
      <c r="V42" s="67"/>
      <c r="W42" s="67"/>
      <c r="X42" s="67"/>
    </row>
    <row r="43" spans="2:25" hidden="1" x14ac:dyDescent="0.25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"/>
      <c r="C44" s="34"/>
      <c r="D44" s="73"/>
      <c r="E44" s="73"/>
      <c r="F44" s="73"/>
      <c r="G44" s="73"/>
      <c r="H44" s="73"/>
      <c r="I44" s="73"/>
      <c r="J44" s="73"/>
      <c r="K44" s="73"/>
      <c r="L44" s="20"/>
      <c r="M44" s="131"/>
      <c r="N44" s="74"/>
      <c r="O44" s="46"/>
      <c r="P44" s="51"/>
      <c r="Q44" s="73">
        <v>0</v>
      </c>
      <c r="R44" s="73"/>
      <c r="S44" s="73"/>
      <c r="T44" s="73"/>
      <c r="U44" s="73"/>
      <c r="V44" s="73"/>
      <c r="W44" s="73"/>
      <c r="X44" s="73"/>
    </row>
    <row r="45" spans="2:25" ht="24" thickBot="1" x14ac:dyDescent="0.3">
      <c r="B45" s="7"/>
      <c r="C45" s="35" t="s">
        <v>18</v>
      </c>
      <c r="D45" s="30">
        <f>SUM(D31:D44)</f>
        <v>886</v>
      </c>
      <c r="E45" s="30">
        <f t="shared" ref="E45:L45" si="2">SUM(E31:E44)</f>
        <v>821</v>
      </c>
      <c r="F45" s="30">
        <f t="shared" si="2"/>
        <v>1754</v>
      </c>
      <c r="G45" s="30">
        <f t="shared" si="2"/>
        <v>15</v>
      </c>
      <c r="H45" s="30">
        <f t="shared" si="2"/>
        <v>1791</v>
      </c>
      <c r="I45" s="30">
        <f t="shared" si="2"/>
        <v>352</v>
      </c>
      <c r="J45" s="30">
        <f t="shared" si="2"/>
        <v>705</v>
      </c>
      <c r="K45" s="30">
        <f t="shared" si="2"/>
        <v>5789</v>
      </c>
      <c r="L45" s="30">
        <f t="shared" si="2"/>
        <v>0</v>
      </c>
      <c r="M45" s="132"/>
      <c r="N45" s="74"/>
      <c r="O45" s="7"/>
      <c r="P45" s="33" t="s">
        <v>18</v>
      </c>
      <c r="Q45" s="21">
        <f t="shared" ref="Q45:X45" si="3">SUM(Q31:Q44)</f>
        <v>803</v>
      </c>
      <c r="R45" s="21">
        <f t="shared" si="3"/>
        <v>590</v>
      </c>
      <c r="S45" s="21">
        <f t="shared" si="3"/>
        <v>2219</v>
      </c>
      <c r="T45" s="21">
        <f t="shared" si="3"/>
        <v>75</v>
      </c>
      <c r="U45" s="21">
        <f t="shared" si="3"/>
        <v>714</v>
      </c>
      <c r="V45" s="21">
        <f t="shared" si="3"/>
        <v>5982</v>
      </c>
      <c r="W45" s="21">
        <f t="shared" si="3"/>
        <v>1916</v>
      </c>
      <c r="X45" s="21">
        <f t="shared" si="3"/>
        <v>7144</v>
      </c>
    </row>
    <row r="46" spans="2:25" ht="15.75" thickBot="1" x14ac:dyDescent="0.3">
      <c r="B46" s="7"/>
      <c r="C46" s="1"/>
      <c r="D46" s="5"/>
      <c r="E46" s="5"/>
      <c r="F46" s="5"/>
      <c r="G46" s="5"/>
      <c r="H46" s="5"/>
      <c r="I46" s="5"/>
      <c r="J46" s="5"/>
      <c r="K46" s="5"/>
      <c r="L46" s="78"/>
      <c r="M46" s="76"/>
      <c r="N46" s="74"/>
      <c r="O46" s="7"/>
      <c r="Q46" s="5"/>
      <c r="R46" s="5"/>
      <c r="S46" s="5"/>
      <c r="T46" s="5"/>
      <c r="U46" s="5"/>
      <c r="V46" s="5"/>
      <c r="W46" s="5"/>
      <c r="X46" s="5"/>
    </row>
    <row r="47" spans="2:25" ht="21.75" thickBot="1" x14ac:dyDescent="0.4">
      <c r="B47" s="7"/>
      <c r="C47" s="1"/>
      <c r="D47" s="5"/>
      <c r="E47" s="5"/>
      <c r="F47" s="241">
        <f>K45+J45+I45+H45+G45+F45+E45+D45+L45</f>
        <v>12113</v>
      </c>
      <c r="G47" s="242"/>
      <c r="H47" s="243"/>
      <c r="I47" s="5"/>
      <c r="J47" s="5"/>
      <c r="K47" s="5"/>
      <c r="L47" s="71"/>
      <c r="M47" s="74"/>
      <c r="N47" s="74"/>
      <c r="O47" s="7"/>
      <c r="Q47" s="5"/>
      <c r="R47" s="5"/>
      <c r="S47" s="244">
        <f>Q45+R45+S45+T45+U45+V45+W45+X45</f>
        <v>19443</v>
      </c>
      <c r="T47" s="245"/>
      <c r="U47" s="246"/>
      <c r="V47" s="5"/>
      <c r="W47" s="5"/>
      <c r="X47" s="5"/>
    </row>
    <row r="48" spans="2:25" x14ac:dyDescent="0.25">
      <c r="B48" s="7"/>
      <c r="C48" s="1"/>
      <c r="D48" s="5"/>
      <c r="E48" s="5"/>
      <c r="F48" s="5"/>
      <c r="G48" s="5"/>
      <c r="H48" s="5"/>
      <c r="J48" s="5"/>
      <c r="K48" s="5"/>
      <c r="L48" s="71"/>
      <c r="M48" s="74"/>
      <c r="N48" s="74"/>
      <c r="O48" s="7"/>
      <c r="Q48" s="5"/>
      <c r="R48" s="5"/>
      <c r="S48" s="5"/>
      <c r="T48" s="5"/>
      <c r="U48" s="5"/>
      <c r="V48" s="5"/>
      <c r="W48" s="5"/>
      <c r="X48" s="5"/>
    </row>
    <row r="55" spans="2:24" ht="27.75" customHeight="1" thickBot="1" x14ac:dyDescent="0.3">
      <c r="B55" s="7"/>
      <c r="C55" s="1"/>
      <c r="N55" s="80"/>
      <c r="O55" s="188"/>
      <c r="P55" s="189"/>
      <c r="Q55" s="189"/>
      <c r="R55" s="189"/>
      <c r="S55" s="189"/>
      <c r="T55" s="189"/>
      <c r="U55" s="189"/>
      <c r="V55" s="189"/>
      <c r="W55" s="189"/>
      <c r="X55" s="189"/>
    </row>
    <row r="56" spans="2:24" ht="22.5" thickTop="1" thickBot="1" x14ac:dyDescent="0.4">
      <c r="B56" s="7"/>
      <c r="C56" s="234" t="s">
        <v>36</v>
      </c>
      <c r="D56" s="235"/>
      <c r="E56" s="235"/>
      <c r="F56" s="235"/>
      <c r="G56" s="235"/>
      <c r="H56" s="235"/>
      <c r="I56" s="235"/>
      <c r="J56" s="235"/>
      <c r="K56" s="235"/>
      <c r="L56" s="185" t="s">
        <v>42</v>
      </c>
      <c r="M56" s="133"/>
      <c r="N56" s="81"/>
      <c r="O56" s="236" t="s">
        <v>19</v>
      </c>
      <c r="P56" s="237"/>
      <c r="Q56" s="237"/>
      <c r="R56" s="237"/>
      <c r="S56" s="237"/>
      <c r="T56" s="237"/>
      <c r="U56" s="237"/>
      <c r="V56" s="237"/>
      <c r="W56" s="237"/>
      <c r="X56" s="187" t="s">
        <v>42</v>
      </c>
    </row>
    <row r="57" spans="2:24" ht="16.5" thickBot="1" x14ac:dyDescent="0.3">
      <c r="B57" s="7"/>
      <c r="C57" s="1"/>
      <c r="I57" s="238" t="s">
        <v>148</v>
      </c>
      <c r="J57" s="239"/>
      <c r="K57" s="240"/>
      <c r="L57" s="68"/>
      <c r="M57" s="134"/>
      <c r="N57" s="74"/>
      <c r="O57" s="7"/>
      <c r="V57" s="238" t="s">
        <v>151</v>
      </c>
      <c r="W57" s="239"/>
      <c r="X57" s="240"/>
    </row>
    <row r="58" spans="2:24" ht="64.5" thickTop="1" thickBot="1" x14ac:dyDescent="0.3">
      <c r="B58" s="6" t="s">
        <v>0</v>
      </c>
      <c r="C58" s="24" t="s">
        <v>1</v>
      </c>
      <c r="D58" s="25" t="s">
        <v>2</v>
      </c>
      <c r="E58" s="26" t="s">
        <v>7</v>
      </c>
      <c r="F58" s="56" t="s">
        <v>38</v>
      </c>
      <c r="G58" s="25" t="s">
        <v>3</v>
      </c>
      <c r="H58" s="27" t="s">
        <v>22</v>
      </c>
      <c r="I58" s="184" t="s">
        <v>4</v>
      </c>
      <c r="J58" s="61" t="s">
        <v>8</v>
      </c>
      <c r="K58" s="183" t="s">
        <v>5</v>
      </c>
      <c r="L58" s="99" t="s">
        <v>46</v>
      </c>
      <c r="M58" s="135"/>
      <c r="N58" s="82"/>
      <c r="O58" s="36" t="s">
        <v>0</v>
      </c>
      <c r="P58" s="143" t="s">
        <v>1</v>
      </c>
      <c r="Q58" s="137" t="s">
        <v>2</v>
      </c>
      <c r="R58" s="138" t="s">
        <v>16</v>
      </c>
      <c r="S58" s="139" t="s">
        <v>38</v>
      </c>
      <c r="T58" s="140" t="s">
        <v>3</v>
      </c>
      <c r="U58" s="140" t="s">
        <v>4</v>
      </c>
      <c r="V58" s="141" t="s">
        <v>25</v>
      </c>
      <c r="W58" s="136" t="s">
        <v>8</v>
      </c>
      <c r="X58" s="144" t="s">
        <v>5</v>
      </c>
    </row>
    <row r="59" spans="2:24" ht="45" x14ac:dyDescent="0.25">
      <c r="B59" s="93" t="s">
        <v>149</v>
      </c>
      <c r="C59" s="107" t="s">
        <v>152</v>
      </c>
      <c r="D59" s="72"/>
      <c r="E59" s="72"/>
      <c r="F59" s="72"/>
      <c r="G59" s="72"/>
      <c r="H59" s="72"/>
      <c r="I59" s="72"/>
      <c r="J59" s="72"/>
      <c r="K59" s="72">
        <f>1777+1054+1013+1333+1334</f>
        <v>6511</v>
      </c>
      <c r="L59" s="70"/>
      <c r="M59" s="131"/>
      <c r="N59" s="74"/>
      <c r="O59" s="93" t="s">
        <v>149</v>
      </c>
      <c r="P59" s="86" t="s">
        <v>160</v>
      </c>
      <c r="Q59" s="72"/>
      <c r="R59" s="72"/>
      <c r="S59" s="72"/>
      <c r="T59" s="72"/>
      <c r="U59" s="72"/>
      <c r="V59" s="72"/>
      <c r="W59" s="72"/>
      <c r="X59" s="104">
        <f>1805+1908+939+1193+1386</f>
        <v>7231</v>
      </c>
    </row>
    <row r="60" spans="2:24" ht="48.75" x14ac:dyDescent="0.25">
      <c r="B60" s="93" t="s">
        <v>149</v>
      </c>
      <c r="C60" s="44" t="s">
        <v>153</v>
      </c>
      <c r="D60" s="67"/>
      <c r="E60" s="67"/>
      <c r="F60" s="67">
        <f>1970</f>
        <v>1970</v>
      </c>
      <c r="G60" s="67"/>
      <c r="H60" s="67"/>
      <c r="I60" s="67"/>
      <c r="J60" s="67"/>
      <c r="K60" s="67"/>
      <c r="L60" s="67"/>
      <c r="M60" s="131"/>
      <c r="N60" s="74"/>
      <c r="O60" s="93" t="s">
        <v>149</v>
      </c>
      <c r="P60" s="89" t="s">
        <v>161</v>
      </c>
      <c r="Q60" s="72"/>
      <c r="R60" s="72"/>
      <c r="S60" s="104">
        <f>3020+87+41</f>
        <v>3148</v>
      </c>
      <c r="T60" s="72"/>
      <c r="U60" s="72"/>
      <c r="V60" s="72"/>
      <c r="W60" s="72"/>
      <c r="X60" s="67"/>
    </row>
    <row r="61" spans="2:24" ht="34.5" customHeight="1" x14ac:dyDescent="0.25">
      <c r="B61" s="93" t="s">
        <v>149</v>
      </c>
      <c r="C61" s="43" t="s">
        <v>154</v>
      </c>
      <c r="D61" s="67">
        <f>85+324+280+202</f>
        <v>891</v>
      </c>
      <c r="E61" s="67"/>
      <c r="F61" s="67"/>
      <c r="G61" s="67"/>
      <c r="H61" s="67"/>
      <c r="I61" s="67"/>
      <c r="J61" s="67"/>
      <c r="K61" s="67"/>
      <c r="L61" s="11"/>
      <c r="M61" s="131"/>
      <c r="N61" s="74"/>
      <c r="O61" s="93" t="s">
        <v>149</v>
      </c>
      <c r="P61" s="89" t="s">
        <v>162</v>
      </c>
      <c r="Q61" s="104">
        <f>385+160+285</f>
        <v>830</v>
      </c>
      <c r="R61" s="72"/>
      <c r="S61" s="72"/>
      <c r="T61" s="72"/>
      <c r="U61" s="72"/>
      <c r="V61" s="72"/>
      <c r="W61" s="72"/>
      <c r="X61" s="67"/>
    </row>
    <row r="62" spans="2:24" ht="43.5" customHeight="1" x14ac:dyDescent="0.25">
      <c r="B62" s="93" t="s">
        <v>149</v>
      </c>
      <c r="C62" s="96" t="s">
        <v>155</v>
      </c>
      <c r="D62" s="67"/>
      <c r="E62" s="67"/>
      <c r="F62" s="67"/>
      <c r="G62" s="67">
        <f>55+20</f>
        <v>75</v>
      </c>
      <c r="H62" s="67"/>
      <c r="I62" s="67"/>
      <c r="J62" s="67"/>
      <c r="K62" s="67"/>
      <c r="L62" s="11"/>
      <c r="M62" s="131"/>
      <c r="N62" s="74"/>
      <c r="O62" s="93" t="s">
        <v>149</v>
      </c>
      <c r="P62" s="87" t="s">
        <v>163</v>
      </c>
      <c r="Q62" s="72"/>
      <c r="R62" s="72"/>
      <c r="S62" s="72"/>
      <c r="T62" s="104">
        <f>55+121</f>
        <v>176</v>
      </c>
      <c r="U62" s="72"/>
      <c r="V62" s="72"/>
      <c r="W62" s="72"/>
      <c r="X62" s="67"/>
    </row>
    <row r="63" spans="2:24" ht="39" customHeight="1" x14ac:dyDescent="0.25">
      <c r="B63" s="93" t="s">
        <v>149</v>
      </c>
      <c r="C63" s="44" t="s">
        <v>46</v>
      </c>
      <c r="D63" s="67"/>
      <c r="E63" s="67"/>
      <c r="F63" s="67"/>
      <c r="G63" s="67"/>
      <c r="H63" s="67"/>
      <c r="I63" s="67"/>
      <c r="J63" s="67"/>
      <c r="K63" s="67"/>
      <c r="L63" s="11">
        <v>500</v>
      </c>
      <c r="M63" s="131"/>
      <c r="N63" s="74"/>
      <c r="O63" s="93" t="s">
        <v>149</v>
      </c>
      <c r="P63" s="89" t="s">
        <v>166</v>
      </c>
      <c r="Q63" s="72"/>
      <c r="R63" s="104">
        <f>50+443+432+130</f>
        <v>1055</v>
      </c>
      <c r="S63" s="72"/>
      <c r="T63" s="72"/>
      <c r="U63" s="72"/>
      <c r="V63" s="72"/>
      <c r="W63" s="72"/>
      <c r="X63" s="67"/>
    </row>
    <row r="64" spans="2:24" ht="24" customHeight="1" x14ac:dyDescent="0.25">
      <c r="B64" s="93" t="s">
        <v>149</v>
      </c>
      <c r="C64" s="44" t="s">
        <v>156</v>
      </c>
      <c r="D64" s="67"/>
      <c r="E64" s="67"/>
      <c r="F64" s="67"/>
      <c r="G64" s="67"/>
      <c r="H64" s="67"/>
      <c r="I64" s="67">
        <v>716</v>
      </c>
      <c r="J64" s="67"/>
      <c r="K64" s="67"/>
      <c r="L64" s="11"/>
      <c r="M64" s="131"/>
      <c r="N64" s="74"/>
      <c r="O64" s="93" t="s">
        <v>149</v>
      </c>
      <c r="P64" s="98" t="s">
        <v>164</v>
      </c>
      <c r="Q64" s="72"/>
      <c r="R64" s="72"/>
      <c r="S64" s="72"/>
      <c r="T64" s="72"/>
      <c r="U64" s="72"/>
      <c r="V64" s="104">
        <f>170+170+221+170+204</f>
        <v>935</v>
      </c>
      <c r="W64" s="72"/>
      <c r="X64" s="67"/>
    </row>
    <row r="65" spans="2:25" ht="45" x14ac:dyDescent="0.25">
      <c r="B65" s="93" t="s">
        <v>149</v>
      </c>
      <c r="C65" s="44" t="s">
        <v>158</v>
      </c>
      <c r="D65" s="67"/>
      <c r="E65" s="67"/>
      <c r="F65" s="67"/>
      <c r="G65" s="67"/>
      <c r="H65" s="67"/>
      <c r="I65" s="67"/>
      <c r="J65" s="94">
        <f>440+19+261</f>
        <v>720</v>
      </c>
      <c r="K65" s="67"/>
      <c r="L65" s="11"/>
      <c r="M65" s="131"/>
      <c r="N65" s="74"/>
      <c r="O65" s="93" t="s">
        <v>149</v>
      </c>
      <c r="P65" s="87" t="s">
        <v>165</v>
      </c>
      <c r="Q65" s="72"/>
      <c r="R65" s="72"/>
      <c r="S65" s="72"/>
      <c r="T65" s="72"/>
      <c r="U65" s="72"/>
      <c r="V65" s="72"/>
      <c r="W65" s="104">
        <f>805+473+669</f>
        <v>1947</v>
      </c>
      <c r="X65" s="67"/>
      <c r="Y65" s="129"/>
    </row>
    <row r="66" spans="2:25" ht="24" customHeight="1" x14ac:dyDescent="0.25">
      <c r="B66" s="93" t="s">
        <v>149</v>
      </c>
      <c r="C66" s="204" t="s">
        <v>157</v>
      </c>
      <c r="D66" s="67"/>
      <c r="E66" s="67"/>
      <c r="F66" s="67"/>
      <c r="G66" s="67"/>
      <c r="H66" s="67"/>
      <c r="I66" s="67"/>
      <c r="J66" s="67">
        <v>1500</v>
      </c>
      <c r="K66" s="67"/>
      <c r="L66" s="11"/>
      <c r="M66" s="131"/>
      <c r="N66" s="74"/>
      <c r="O66" s="93" t="s">
        <v>149</v>
      </c>
      <c r="P66" s="90" t="s">
        <v>4</v>
      </c>
      <c r="Q66" s="72"/>
      <c r="R66" s="72"/>
      <c r="S66" s="72"/>
      <c r="T66" s="72"/>
      <c r="U66" s="72"/>
      <c r="V66" s="104">
        <v>688</v>
      </c>
      <c r="W66" s="72"/>
      <c r="X66" s="67"/>
    </row>
    <row r="67" spans="2:25" ht="44.25" customHeight="1" x14ac:dyDescent="0.25">
      <c r="B67" s="93" t="s">
        <v>149</v>
      </c>
      <c r="C67" s="95" t="s">
        <v>96</v>
      </c>
      <c r="D67" s="67"/>
      <c r="E67" s="67"/>
      <c r="F67" s="67"/>
      <c r="G67" s="67"/>
      <c r="H67" s="67">
        <f>102+68+238+85+204</f>
        <v>697</v>
      </c>
      <c r="I67" s="67"/>
      <c r="J67" s="67"/>
      <c r="K67" s="67"/>
      <c r="L67" s="11"/>
      <c r="M67" s="131"/>
      <c r="N67" s="74"/>
      <c r="O67" s="93" t="s">
        <v>149</v>
      </c>
      <c r="P67" s="186" t="s">
        <v>188</v>
      </c>
      <c r="Q67" s="72"/>
      <c r="R67" s="72"/>
      <c r="S67" s="72"/>
      <c r="T67" s="72"/>
      <c r="U67" s="72"/>
      <c r="V67" s="104">
        <v>1440</v>
      </c>
      <c r="W67" s="72"/>
      <c r="X67" s="67"/>
    </row>
    <row r="68" spans="2:25" ht="24" customHeight="1" x14ac:dyDescent="0.25">
      <c r="B68" s="93" t="s">
        <v>149</v>
      </c>
      <c r="C68" s="42" t="s">
        <v>11</v>
      </c>
      <c r="D68" s="67"/>
      <c r="E68" s="67"/>
      <c r="F68" s="67"/>
      <c r="G68" s="67"/>
      <c r="H68" s="67">
        <f>380+380+470</f>
        <v>1230</v>
      </c>
      <c r="I68" s="67"/>
      <c r="J68" s="67"/>
      <c r="K68" s="67"/>
      <c r="L68" s="11"/>
      <c r="M68" s="131"/>
      <c r="N68" s="74"/>
      <c r="O68" s="93" t="s">
        <v>149</v>
      </c>
      <c r="P68" s="88" t="s">
        <v>140</v>
      </c>
      <c r="Q68" s="72"/>
      <c r="R68" s="72"/>
      <c r="S68" s="72"/>
      <c r="T68" s="72"/>
      <c r="U68" s="72"/>
      <c r="V68" s="104">
        <f>700+700+710+3464</f>
        <v>5574</v>
      </c>
      <c r="W68" s="72"/>
      <c r="X68" s="67"/>
    </row>
    <row r="69" spans="2:25" ht="24" x14ac:dyDescent="0.25">
      <c r="B69" s="93" t="s">
        <v>149</v>
      </c>
      <c r="C69" s="95" t="s">
        <v>159</v>
      </c>
      <c r="D69" s="67"/>
      <c r="E69" s="67">
        <v>212</v>
      </c>
      <c r="F69" s="67"/>
      <c r="G69" s="67"/>
      <c r="H69" s="67"/>
      <c r="I69" s="67"/>
      <c r="J69" s="67"/>
      <c r="K69" s="67"/>
      <c r="L69" s="11"/>
      <c r="M69" s="131"/>
      <c r="N69" s="74"/>
      <c r="O69" s="93"/>
      <c r="P69" s="88"/>
      <c r="Q69" s="72"/>
      <c r="R69" s="72"/>
      <c r="S69" s="72"/>
      <c r="T69" s="72"/>
      <c r="U69" s="72"/>
      <c r="V69" s="72"/>
      <c r="W69" s="72"/>
      <c r="X69" s="67"/>
    </row>
    <row r="70" spans="2:25" x14ac:dyDescent="0.25">
      <c r="B70" s="93"/>
      <c r="C70" s="10"/>
      <c r="D70" s="67"/>
      <c r="E70" s="67"/>
      <c r="F70" s="67"/>
      <c r="G70" s="67"/>
      <c r="H70" s="67"/>
      <c r="I70" s="67"/>
      <c r="J70" s="67"/>
      <c r="K70" s="67"/>
      <c r="L70" s="11"/>
      <c r="M70" s="131"/>
      <c r="N70" s="74"/>
      <c r="O70" s="93"/>
      <c r="P70" s="91"/>
      <c r="Q70" s="67"/>
      <c r="R70" s="67"/>
      <c r="S70" s="67"/>
      <c r="T70" s="67"/>
      <c r="U70" s="67"/>
      <c r="V70" s="67"/>
      <c r="W70" s="67"/>
      <c r="X70" s="67"/>
    </row>
    <row r="71" spans="2:25" x14ac:dyDescent="0.25">
      <c r="B71" s="93"/>
      <c r="C71" s="10"/>
      <c r="D71" s="67"/>
      <c r="E71" s="67"/>
      <c r="F71" s="67"/>
      <c r="G71" s="67"/>
      <c r="H71" s="67"/>
      <c r="I71" s="67"/>
      <c r="J71" s="67"/>
      <c r="K71" s="67"/>
      <c r="L71" s="11"/>
      <c r="M71" s="131"/>
      <c r="N71" s="74"/>
      <c r="O71" s="93"/>
      <c r="P71" s="91"/>
      <c r="Q71" s="67"/>
      <c r="R71" s="67"/>
      <c r="S71" s="67"/>
      <c r="T71" s="67"/>
      <c r="U71" s="67"/>
      <c r="V71" s="67"/>
      <c r="W71" s="67"/>
      <c r="X71" s="67"/>
    </row>
    <row r="72" spans="2:25" ht="15.75" thickBot="1" x14ac:dyDescent="0.3">
      <c r="B72" s="9"/>
      <c r="C72" s="34"/>
      <c r="D72" s="73">
        <v>0</v>
      </c>
      <c r="E72" s="73"/>
      <c r="F72" s="73"/>
      <c r="G72" s="73"/>
      <c r="H72" s="73"/>
      <c r="I72" s="73"/>
      <c r="J72" s="73"/>
      <c r="K72" s="73"/>
      <c r="L72" s="20"/>
      <c r="M72" s="131"/>
      <c r="N72" s="74"/>
      <c r="O72" s="46"/>
      <c r="P72" s="51"/>
      <c r="Q72" s="73">
        <v>0</v>
      </c>
      <c r="R72" s="73"/>
      <c r="S72" s="73"/>
      <c r="T72" s="73"/>
      <c r="U72" s="73"/>
      <c r="V72" s="73"/>
      <c r="W72" s="73"/>
      <c r="X72" s="73"/>
    </row>
    <row r="73" spans="2:25" ht="24" thickBot="1" x14ac:dyDescent="0.3">
      <c r="B73" s="7"/>
      <c r="C73" s="35" t="s">
        <v>18</v>
      </c>
      <c r="D73" s="30">
        <f t="shared" ref="D73:L73" si="4">SUM(D59:D72)</f>
        <v>891</v>
      </c>
      <c r="E73" s="31">
        <f t="shared" si="4"/>
        <v>212</v>
      </c>
      <c r="F73" s="31">
        <f t="shared" si="4"/>
        <v>1970</v>
      </c>
      <c r="G73" s="31">
        <f t="shared" si="4"/>
        <v>75</v>
      </c>
      <c r="H73" s="31">
        <f t="shared" si="4"/>
        <v>1927</v>
      </c>
      <c r="I73" s="31">
        <f t="shared" si="4"/>
        <v>716</v>
      </c>
      <c r="J73" s="22">
        <f t="shared" si="4"/>
        <v>2220</v>
      </c>
      <c r="K73" s="32">
        <f t="shared" si="4"/>
        <v>6511</v>
      </c>
      <c r="L73" s="100">
        <f t="shared" si="4"/>
        <v>500</v>
      </c>
      <c r="M73" s="132"/>
      <c r="N73" s="74"/>
      <c r="O73" s="7"/>
      <c r="P73" s="33" t="s">
        <v>18</v>
      </c>
      <c r="Q73" s="21">
        <f t="shared" ref="Q73:X73" si="5">SUM(Q59:Q72)</f>
        <v>830</v>
      </c>
      <c r="R73" s="21">
        <f t="shared" si="5"/>
        <v>1055</v>
      </c>
      <c r="S73" s="21">
        <f t="shared" si="5"/>
        <v>3148</v>
      </c>
      <c r="T73" s="21">
        <f t="shared" si="5"/>
        <v>176</v>
      </c>
      <c r="U73" s="21">
        <f t="shared" si="5"/>
        <v>0</v>
      </c>
      <c r="V73" s="21">
        <f t="shared" si="5"/>
        <v>8637</v>
      </c>
      <c r="W73" s="21">
        <f t="shared" si="5"/>
        <v>1947</v>
      </c>
      <c r="X73" s="21">
        <f t="shared" si="5"/>
        <v>7231</v>
      </c>
    </row>
    <row r="74" spans="2:25" ht="15.75" thickBot="1" x14ac:dyDescent="0.3">
      <c r="B74" s="7"/>
      <c r="C74" s="1"/>
      <c r="D74" s="5"/>
      <c r="E74" s="5"/>
      <c r="F74" s="5"/>
      <c r="G74" s="5"/>
      <c r="H74" s="5"/>
      <c r="I74" s="5"/>
      <c r="J74" s="5"/>
      <c r="K74" s="5"/>
      <c r="L74" s="78"/>
      <c r="M74" s="76"/>
      <c r="N74" s="74"/>
      <c r="O74" s="7"/>
      <c r="Q74" s="5"/>
      <c r="R74" s="5"/>
      <c r="S74" s="5"/>
      <c r="T74" s="5"/>
      <c r="U74" s="5"/>
      <c r="V74" s="5"/>
      <c r="W74" s="5"/>
      <c r="X74" s="5"/>
    </row>
    <row r="75" spans="2:25" ht="21.75" thickBot="1" x14ac:dyDescent="0.4">
      <c r="B75" s="7"/>
      <c r="C75" s="1"/>
      <c r="D75" s="5"/>
      <c r="E75" s="5"/>
      <c r="F75" s="241">
        <f>K73+J73+I73+H73+G73+F73+E73+D73+L73</f>
        <v>15022</v>
      </c>
      <c r="G75" s="242"/>
      <c r="H75" s="243"/>
      <c r="I75" s="5"/>
      <c r="J75" s="5"/>
      <c r="K75" s="5"/>
      <c r="L75" s="71"/>
      <c r="M75" s="74"/>
      <c r="N75" s="74"/>
      <c r="O75" s="7"/>
      <c r="Q75" s="5"/>
      <c r="R75" s="5"/>
      <c r="S75" s="244">
        <f>Q73+R73+S73+T73+U73+V73+W73+X73</f>
        <v>23024</v>
      </c>
      <c r="T75" s="245"/>
      <c r="U75" s="246"/>
      <c r="V75" s="5"/>
      <c r="W75" s="5"/>
      <c r="X75" s="5"/>
    </row>
    <row r="76" spans="2:25" x14ac:dyDescent="0.25">
      <c r="B76" s="7"/>
      <c r="C76" s="1"/>
      <c r="D76" s="5"/>
      <c r="E76" s="5"/>
      <c r="F76" s="5"/>
      <c r="G76" s="5"/>
      <c r="H76" s="5"/>
      <c r="J76" s="5"/>
      <c r="K76" s="5"/>
      <c r="L76" s="71"/>
      <c r="M76" s="74"/>
      <c r="N76" s="74"/>
      <c r="O76" s="7"/>
      <c r="Q76" s="5"/>
      <c r="R76" s="5"/>
      <c r="S76" s="5"/>
      <c r="T76" s="5"/>
      <c r="U76" s="5"/>
      <c r="V76" s="5"/>
      <c r="W76" s="5"/>
      <c r="X76" s="5"/>
    </row>
    <row r="77" spans="2:25" x14ac:dyDescent="0.25">
      <c r="B77" s="7"/>
      <c r="C77" s="1"/>
      <c r="D77" s="5"/>
      <c r="E77" s="5"/>
      <c r="F77" s="5"/>
      <c r="G77" s="5"/>
      <c r="H77" s="5"/>
      <c r="I77" s="5"/>
      <c r="J77" s="5"/>
      <c r="K77" s="5"/>
      <c r="L77" s="71"/>
      <c r="M77" s="74"/>
      <c r="N77" s="74"/>
      <c r="O77" s="7"/>
    </row>
    <row r="78" spans="2:25" x14ac:dyDescent="0.25">
      <c r="B78" s="7"/>
      <c r="C78" s="1"/>
      <c r="D78" s="5"/>
      <c r="E78" s="5"/>
      <c r="F78" s="5"/>
      <c r="G78" s="5"/>
      <c r="H78" s="5"/>
      <c r="I78" s="5"/>
      <c r="J78" s="5"/>
      <c r="K78" s="5"/>
      <c r="L78" s="71"/>
      <c r="M78" s="74"/>
      <c r="N78" s="74"/>
      <c r="O78" s="7"/>
    </row>
    <row r="79" spans="2:25" x14ac:dyDescent="0.25">
      <c r="B79" s="7"/>
      <c r="C79" s="1"/>
      <c r="N79" s="80"/>
      <c r="O79" s="7"/>
    </row>
    <row r="80" spans="2:25" x14ac:dyDescent="0.25">
      <c r="B80" s="7"/>
      <c r="C80" s="1"/>
      <c r="N80" s="80"/>
      <c r="O80" s="7"/>
    </row>
    <row r="81" spans="2:27" x14ac:dyDescent="0.25">
      <c r="B81" s="7"/>
      <c r="C81" s="1"/>
      <c r="N81" s="80"/>
      <c r="O81" s="7"/>
    </row>
    <row r="82" spans="2:27" x14ac:dyDescent="0.25">
      <c r="B82" s="7"/>
      <c r="C82" s="1"/>
      <c r="N82" s="80"/>
      <c r="O82" s="7"/>
    </row>
    <row r="83" spans="2:27" ht="15.75" thickBot="1" x14ac:dyDescent="0.3">
      <c r="B83" s="7"/>
      <c r="C83" s="1"/>
      <c r="N83" s="80"/>
      <c r="O83" s="7"/>
    </row>
    <row r="84" spans="2:27" ht="22.5" thickTop="1" thickBot="1" x14ac:dyDescent="0.4">
      <c r="B84" s="7"/>
      <c r="C84" s="234" t="s">
        <v>36</v>
      </c>
      <c r="D84" s="235"/>
      <c r="E84" s="235"/>
      <c r="F84" s="235"/>
      <c r="G84" s="235"/>
      <c r="H84" s="235"/>
      <c r="I84" s="235"/>
      <c r="J84" s="235"/>
      <c r="K84" s="235"/>
      <c r="L84" s="185" t="s">
        <v>41</v>
      </c>
      <c r="M84" s="133"/>
      <c r="N84" s="81"/>
      <c r="O84" s="247" t="s">
        <v>19</v>
      </c>
      <c r="P84" s="248"/>
      <c r="Q84" s="248"/>
      <c r="R84" s="248"/>
      <c r="S84" s="248"/>
      <c r="T84" s="248"/>
      <c r="U84" s="248"/>
      <c r="V84" s="248"/>
      <c r="W84" s="248"/>
      <c r="X84" s="128" t="s">
        <v>41</v>
      </c>
    </row>
    <row r="85" spans="2:27" ht="16.5" thickBot="1" x14ac:dyDescent="0.3">
      <c r="B85" s="7"/>
      <c r="C85" s="1"/>
      <c r="I85" s="238" t="s">
        <v>129</v>
      </c>
      <c r="J85" s="239"/>
      <c r="K85" s="240"/>
      <c r="L85" s="68"/>
      <c r="M85" s="134"/>
      <c r="N85" s="74"/>
      <c r="O85" s="7"/>
      <c r="V85" s="238" t="s">
        <v>150</v>
      </c>
      <c r="W85" s="239"/>
      <c r="X85" s="240"/>
    </row>
    <row r="86" spans="2:27" ht="64.5" thickTop="1" thickBot="1" x14ac:dyDescent="0.3">
      <c r="B86" s="6" t="s">
        <v>0</v>
      </c>
      <c r="C86" s="24" t="s">
        <v>1</v>
      </c>
      <c r="D86" s="25" t="s">
        <v>2</v>
      </c>
      <c r="E86" s="26" t="s">
        <v>7</v>
      </c>
      <c r="F86" s="56" t="s">
        <v>38</v>
      </c>
      <c r="G86" s="25" t="s">
        <v>3</v>
      </c>
      <c r="H86" s="27" t="s">
        <v>22</v>
      </c>
      <c r="I86" s="60" t="s">
        <v>4</v>
      </c>
      <c r="J86" s="61" t="s">
        <v>8</v>
      </c>
      <c r="K86" s="62" t="s">
        <v>5</v>
      </c>
      <c r="L86" s="99" t="s">
        <v>46</v>
      </c>
      <c r="M86" s="135"/>
      <c r="N86" s="82"/>
      <c r="O86" s="36" t="s">
        <v>0</v>
      </c>
      <c r="P86" s="143" t="s">
        <v>1</v>
      </c>
      <c r="Q86" s="137" t="s">
        <v>2</v>
      </c>
      <c r="R86" s="138" t="s">
        <v>16</v>
      </c>
      <c r="S86" s="139" t="s">
        <v>38</v>
      </c>
      <c r="T86" s="140" t="s">
        <v>3</v>
      </c>
      <c r="U86" s="140" t="s">
        <v>4</v>
      </c>
      <c r="V86" s="141" t="s">
        <v>25</v>
      </c>
      <c r="W86" s="136" t="s">
        <v>8</v>
      </c>
      <c r="X86" s="144" t="s">
        <v>5</v>
      </c>
    </row>
    <row r="87" spans="2:27" ht="60" x14ac:dyDescent="0.25">
      <c r="B87" s="93" t="s">
        <v>123</v>
      </c>
      <c r="C87" s="107" t="s">
        <v>130</v>
      </c>
      <c r="D87" s="72"/>
      <c r="E87" s="72"/>
      <c r="F87" s="72"/>
      <c r="G87" s="72"/>
      <c r="H87" s="72"/>
      <c r="I87" s="72"/>
      <c r="J87" s="72"/>
      <c r="K87" s="72">
        <f>2361+1550+386+1883+642+964</f>
        <v>7786</v>
      </c>
      <c r="L87" s="70"/>
      <c r="M87" s="131"/>
      <c r="N87" s="74"/>
      <c r="O87" s="93" t="s">
        <v>133</v>
      </c>
      <c r="P87" s="86" t="s">
        <v>134</v>
      </c>
      <c r="Q87" s="72"/>
      <c r="R87" s="72"/>
      <c r="S87" s="72"/>
      <c r="T87" s="72"/>
      <c r="U87" s="72"/>
      <c r="V87" s="72"/>
      <c r="W87" s="72"/>
      <c r="X87" s="72">
        <f>2377+2781+1874+429+754</f>
        <v>8215</v>
      </c>
    </row>
    <row r="88" spans="2:27" ht="51.75" customHeight="1" x14ac:dyDescent="0.25">
      <c r="B88" s="93" t="s">
        <v>123</v>
      </c>
      <c r="C88" s="44" t="s">
        <v>131</v>
      </c>
      <c r="D88" s="67"/>
      <c r="E88" s="67"/>
      <c r="F88" s="67">
        <f>1380+370+88+238</f>
        <v>2076</v>
      </c>
      <c r="G88" s="67"/>
      <c r="H88" s="67"/>
      <c r="I88" s="67"/>
      <c r="J88" s="67"/>
      <c r="K88" s="67"/>
      <c r="L88" s="67"/>
      <c r="M88" s="131"/>
      <c r="N88" s="74"/>
      <c r="O88" s="93" t="s">
        <v>133</v>
      </c>
      <c r="P88" s="89" t="s">
        <v>136</v>
      </c>
      <c r="Q88" s="72"/>
      <c r="R88" s="72"/>
      <c r="S88" s="72">
        <f>180+148+36+2475</f>
        <v>2839</v>
      </c>
      <c r="T88" s="72"/>
      <c r="U88" s="72"/>
      <c r="V88" s="72"/>
      <c r="W88" s="72"/>
      <c r="X88" s="67"/>
    </row>
    <row r="89" spans="2:27" ht="29.25" customHeight="1" x14ac:dyDescent="0.25">
      <c r="B89" s="93" t="s">
        <v>123</v>
      </c>
      <c r="C89" s="43" t="s">
        <v>124</v>
      </c>
      <c r="D89" s="67">
        <f>47+72.5+247+54+245</f>
        <v>665.5</v>
      </c>
      <c r="E89" s="67"/>
      <c r="F89" s="67"/>
      <c r="G89" s="67"/>
      <c r="H89" s="67"/>
      <c r="I89" s="67"/>
      <c r="J89" s="67"/>
      <c r="K89" s="67"/>
      <c r="L89" s="11"/>
      <c r="M89" s="131"/>
      <c r="N89" s="74"/>
      <c r="O89" s="93" t="s">
        <v>133</v>
      </c>
      <c r="P89" s="89" t="s">
        <v>137</v>
      </c>
      <c r="Q89" s="72">
        <f>330+158+288+87</f>
        <v>863</v>
      </c>
      <c r="R89" s="72"/>
      <c r="S89" s="72"/>
      <c r="T89" s="72"/>
      <c r="U89" s="72"/>
      <c r="V89" s="72"/>
      <c r="W89" s="72"/>
      <c r="X89" s="67"/>
    </row>
    <row r="90" spans="2:27" ht="60" x14ac:dyDescent="0.25">
      <c r="B90" s="93" t="s">
        <v>123</v>
      </c>
      <c r="C90" s="96" t="s">
        <v>125</v>
      </c>
      <c r="D90" s="67"/>
      <c r="E90" s="67"/>
      <c r="F90" s="67"/>
      <c r="G90" s="67">
        <v>140</v>
      </c>
      <c r="H90" s="67"/>
      <c r="I90" s="67"/>
      <c r="J90" s="67"/>
      <c r="K90" s="67"/>
      <c r="L90" s="11"/>
      <c r="M90" s="131"/>
      <c r="N90" s="74"/>
      <c r="O90" s="93" t="s">
        <v>133</v>
      </c>
      <c r="P90" s="87" t="s">
        <v>135</v>
      </c>
      <c r="Q90" s="72"/>
      <c r="R90" s="72"/>
      <c r="S90" s="72"/>
      <c r="T90" s="72">
        <v>145</v>
      </c>
      <c r="U90" s="72"/>
      <c r="V90" s="72"/>
      <c r="W90" s="72"/>
      <c r="X90" s="67"/>
    </row>
    <row r="91" spans="2:27" ht="36" customHeight="1" x14ac:dyDescent="0.25">
      <c r="B91" s="93" t="s">
        <v>123</v>
      </c>
      <c r="C91" s="44" t="s">
        <v>46</v>
      </c>
      <c r="D91" s="67"/>
      <c r="E91" s="67"/>
      <c r="F91" s="67"/>
      <c r="G91" s="67"/>
      <c r="H91" s="67"/>
      <c r="I91" s="67"/>
      <c r="J91" s="67"/>
      <c r="K91" s="67"/>
      <c r="L91" s="11">
        <v>500</v>
      </c>
      <c r="M91" s="131"/>
      <c r="N91" s="74"/>
      <c r="O91" s="93" t="s">
        <v>133</v>
      </c>
      <c r="P91" s="89" t="s">
        <v>138</v>
      </c>
      <c r="Q91" s="72"/>
      <c r="R91" s="72">
        <v>1081</v>
      </c>
      <c r="S91" s="72"/>
      <c r="T91" s="72"/>
      <c r="U91" s="72"/>
      <c r="V91" s="72"/>
      <c r="W91" s="72"/>
      <c r="X91" s="67"/>
    </row>
    <row r="92" spans="2:27" ht="28.5" customHeight="1" x14ac:dyDescent="0.25">
      <c r="B92" s="93" t="s">
        <v>123</v>
      </c>
      <c r="C92" s="44" t="s">
        <v>126</v>
      </c>
      <c r="D92" s="67"/>
      <c r="E92" s="67">
        <v>68</v>
      </c>
      <c r="F92" s="67"/>
      <c r="G92" s="67"/>
      <c r="H92" s="67"/>
      <c r="I92" s="67"/>
      <c r="J92" s="67"/>
      <c r="K92" s="67"/>
      <c r="L92" s="11"/>
      <c r="M92" s="131"/>
      <c r="N92" s="74"/>
      <c r="O92" s="93" t="s">
        <v>133</v>
      </c>
      <c r="P92" s="89"/>
      <c r="Q92" s="72"/>
      <c r="R92" s="72"/>
      <c r="S92" s="72"/>
      <c r="T92" s="72"/>
      <c r="U92" s="72"/>
      <c r="V92" s="72"/>
      <c r="W92" s="72"/>
      <c r="X92" s="67"/>
    </row>
    <row r="93" spans="2:27" ht="31.5" customHeight="1" x14ac:dyDescent="0.25">
      <c r="B93" s="93" t="s">
        <v>123</v>
      </c>
      <c r="C93" s="44" t="s">
        <v>128</v>
      </c>
      <c r="D93" s="67"/>
      <c r="E93" s="67"/>
      <c r="F93" s="67"/>
      <c r="G93" s="67"/>
      <c r="H93" s="67"/>
      <c r="I93" s="67"/>
      <c r="J93" s="94">
        <f>155+626</f>
        <v>781</v>
      </c>
      <c r="K93" s="67"/>
      <c r="L93" s="11"/>
      <c r="M93" s="131"/>
      <c r="N93" s="74"/>
      <c r="O93" s="93" t="s">
        <v>133</v>
      </c>
      <c r="P93" s="87" t="s">
        <v>139</v>
      </c>
      <c r="Q93" s="72"/>
      <c r="R93" s="72"/>
      <c r="S93" s="72"/>
      <c r="T93" s="72"/>
      <c r="U93" s="72"/>
      <c r="V93" s="72"/>
      <c r="W93" s="72">
        <f>900+345</f>
        <v>1245</v>
      </c>
      <c r="X93" s="67"/>
      <c r="Y93" s="129"/>
      <c r="Z93" s="80"/>
      <c r="AA93" s="80"/>
    </row>
    <row r="94" spans="2:27" ht="24" x14ac:dyDescent="0.25">
      <c r="B94" s="93" t="s">
        <v>123</v>
      </c>
      <c r="C94" s="42" t="s">
        <v>127</v>
      </c>
      <c r="D94" s="67"/>
      <c r="E94" s="67"/>
      <c r="F94" s="67"/>
      <c r="G94" s="67"/>
      <c r="H94" s="67"/>
      <c r="I94" s="67">
        <v>850</v>
      </c>
      <c r="J94" s="67"/>
      <c r="K94" s="67"/>
      <c r="L94" s="11"/>
      <c r="M94" s="131"/>
      <c r="N94" s="74"/>
      <c r="O94" s="93" t="s">
        <v>133</v>
      </c>
      <c r="P94" s="90" t="s">
        <v>4</v>
      </c>
      <c r="Q94" s="72"/>
      <c r="R94" s="72"/>
      <c r="S94" s="72"/>
      <c r="T94" s="72"/>
      <c r="U94" s="72">
        <v>729</v>
      </c>
      <c r="V94" s="72"/>
      <c r="W94" s="72"/>
      <c r="X94" s="67"/>
    </row>
    <row r="95" spans="2:27" ht="22.5" customHeight="1" x14ac:dyDescent="0.25">
      <c r="B95" s="93" t="s">
        <v>123</v>
      </c>
      <c r="C95" s="95" t="s">
        <v>96</v>
      </c>
      <c r="D95" s="67"/>
      <c r="E95" s="67"/>
      <c r="F95" s="67"/>
      <c r="G95" s="67"/>
      <c r="H95" s="67">
        <f>119+51+68+68+102+68</f>
        <v>476</v>
      </c>
      <c r="I95" s="67"/>
      <c r="J95" s="67"/>
      <c r="K95" s="67"/>
      <c r="L95" s="11"/>
      <c r="M95" s="131"/>
      <c r="N95" s="74"/>
      <c r="O95" s="93" t="s">
        <v>133</v>
      </c>
      <c r="P95" s="98" t="s">
        <v>132</v>
      </c>
      <c r="Q95" s="72"/>
      <c r="R95" s="72"/>
      <c r="S95" s="72"/>
      <c r="T95" s="72"/>
      <c r="U95" s="72"/>
      <c r="V95" s="72">
        <f>270+153+170+204+170+204</f>
        <v>1171</v>
      </c>
      <c r="W95" s="72"/>
      <c r="X95" s="67"/>
    </row>
    <row r="96" spans="2:27" ht="18.75" customHeight="1" x14ac:dyDescent="0.25">
      <c r="B96" s="93" t="s">
        <v>123</v>
      </c>
      <c r="C96" s="42" t="s">
        <v>11</v>
      </c>
      <c r="D96" s="67"/>
      <c r="E96" s="67"/>
      <c r="F96" s="67"/>
      <c r="G96" s="67"/>
      <c r="H96" s="67">
        <f>380+380+470</f>
        <v>1230</v>
      </c>
      <c r="I96" s="67"/>
      <c r="J96" s="67"/>
      <c r="K96" s="67"/>
      <c r="L96" s="11"/>
      <c r="M96" s="131"/>
      <c r="N96" s="74"/>
      <c r="O96" s="93"/>
      <c r="P96" s="88" t="s">
        <v>140</v>
      </c>
      <c r="Q96" s="72"/>
      <c r="R96" s="72"/>
      <c r="S96" s="72"/>
      <c r="T96" s="72"/>
      <c r="U96" s="72"/>
      <c r="V96" s="72">
        <f>700+700+710+2566+310</f>
        <v>4986</v>
      </c>
      <c r="W96" s="72"/>
      <c r="X96" s="67"/>
    </row>
    <row r="97" spans="2:24" ht="18.75" customHeight="1" x14ac:dyDescent="0.25">
      <c r="B97" s="93" t="s">
        <v>123</v>
      </c>
      <c r="C97" s="95"/>
      <c r="D97" s="67"/>
      <c r="E97" s="67"/>
      <c r="F97" s="67"/>
      <c r="G97" s="67"/>
      <c r="H97" s="67"/>
      <c r="I97" s="67"/>
      <c r="J97" s="67"/>
      <c r="K97" s="67"/>
      <c r="L97" s="11"/>
      <c r="M97" s="131"/>
      <c r="N97" s="74"/>
      <c r="O97" s="93"/>
      <c r="P97" s="88"/>
      <c r="Q97" s="72"/>
      <c r="R97" s="72"/>
      <c r="S97" s="72"/>
      <c r="T97" s="72"/>
      <c r="U97" s="72"/>
      <c r="V97" s="72"/>
      <c r="W97" s="72"/>
      <c r="X97" s="67"/>
    </row>
    <row r="98" spans="2:24" ht="18.75" customHeight="1" x14ac:dyDescent="0.25">
      <c r="B98" s="93"/>
      <c r="C98" s="10"/>
      <c r="D98" s="67"/>
      <c r="E98" s="67"/>
      <c r="F98" s="67"/>
      <c r="G98" s="67"/>
      <c r="H98" s="67"/>
      <c r="I98" s="67"/>
      <c r="J98" s="67"/>
      <c r="K98" s="67"/>
      <c r="L98" s="11"/>
      <c r="M98" s="131"/>
      <c r="N98" s="74"/>
      <c r="O98" s="93"/>
      <c r="P98" s="91"/>
      <c r="Q98" s="67"/>
      <c r="R98" s="67"/>
      <c r="S98" s="67"/>
      <c r="T98" s="67"/>
      <c r="U98" s="67"/>
      <c r="V98" s="67"/>
      <c r="W98" s="67"/>
      <c r="X98" s="67"/>
    </row>
    <row r="99" spans="2:24" x14ac:dyDescent="0.25">
      <c r="B99" s="93"/>
      <c r="C99" s="10"/>
      <c r="D99" s="67"/>
      <c r="E99" s="67"/>
      <c r="F99" s="67"/>
      <c r="G99" s="67"/>
      <c r="H99" s="67"/>
      <c r="I99" s="67"/>
      <c r="J99" s="67"/>
      <c r="K99" s="67"/>
      <c r="L99" s="11"/>
      <c r="M99" s="131"/>
      <c r="N99" s="74"/>
      <c r="O99" s="93"/>
      <c r="P99" s="91"/>
      <c r="Q99" s="67"/>
      <c r="R99" s="67"/>
      <c r="S99" s="67"/>
      <c r="T99" s="67"/>
      <c r="U99" s="67"/>
      <c r="V99" s="67"/>
      <c r="W99" s="67"/>
      <c r="X99" s="67"/>
    </row>
    <row r="100" spans="2:24" ht="15.75" thickBot="1" x14ac:dyDescent="0.3">
      <c r="B100" s="9"/>
      <c r="C100" s="34"/>
      <c r="D100" s="73">
        <v>0</v>
      </c>
      <c r="E100" s="73"/>
      <c r="F100" s="73"/>
      <c r="G100" s="73"/>
      <c r="H100" s="73"/>
      <c r="I100" s="73"/>
      <c r="J100" s="73"/>
      <c r="K100" s="73"/>
      <c r="L100" s="20"/>
      <c r="M100" s="131"/>
      <c r="N100" s="74"/>
      <c r="O100" s="46"/>
      <c r="P100" s="51"/>
      <c r="Q100" s="73">
        <v>0</v>
      </c>
      <c r="R100" s="73"/>
      <c r="S100" s="73"/>
      <c r="T100" s="73"/>
      <c r="U100" s="73"/>
      <c r="V100" s="73"/>
      <c r="W100" s="73"/>
      <c r="X100" s="73"/>
    </row>
    <row r="101" spans="2:24" ht="24" thickBot="1" x14ac:dyDescent="0.3">
      <c r="B101" s="7"/>
      <c r="C101" s="35" t="s">
        <v>18</v>
      </c>
      <c r="D101" s="30">
        <f t="shared" ref="D101" si="6">SUM(D87:D100)</f>
        <v>665.5</v>
      </c>
      <c r="E101" s="31">
        <f t="shared" ref="E101:L101" si="7">SUM(E87:E100)</f>
        <v>68</v>
      </c>
      <c r="F101" s="31">
        <f t="shared" si="7"/>
        <v>2076</v>
      </c>
      <c r="G101" s="31">
        <f t="shared" si="7"/>
        <v>140</v>
      </c>
      <c r="H101" s="31">
        <f t="shared" si="7"/>
        <v>1706</v>
      </c>
      <c r="I101" s="31">
        <f t="shared" si="7"/>
        <v>850</v>
      </c>
      <c r="J101" s="22">
        <f t="shared" si="7"/>
        <v>781</v>
      </c>
      <c r="K101" s="32">
        <f t="shared" si="7"/>
        <v>7786</v>
      </c>
      <c r="L101" s="100">
        <f t="shared" si="7"/>
        <v>500</v>
      </c>
      <c r="M101" s="132"/>
      <c r="N101" s="74"/>
      <c r="O101" s="7"/>
      <c r="P101" s="33" t="s">
        <v>18</v>
      </c>
      <c r="Q101" s="21">
        <f t="shared" ref="Q101:X101" si="8">SUM(Q87:Q100)</f>
        <v>863</v>
      </c>
      <c r="R101" s="21">
        <f t="shared" si="8"/>
        <v>1081</v>
      </c>
      <c r="S101" s="21">
        <f t="shared" si="8"/>
        <v>2839</v>
      </c>
      <c r="T101" s="21">
        <f t="shared" si="8"/>
        <v>145</v>
      </c>
      <c r="U101" s="21">
        <f t="shared" si="8"/>
        <v>729</v>
      </c>
      <c r="V101" s="21">
        <f t="shared" si="8"/>
        <v>6157</v>
      </c>
      <c r="W101" s="21">
        <f t="shared" si="8"/>
        <v>1245</v>
      </c>
      <c r="X101" s="21">
        <f t="shared" si="8"/>
        <v>8215</v>
      </c>
    </row>
    <row r="102" spans="2:24" ht="15.75" thickBot="1" x14ac:dyDescent="0.3">
      <c r="B102" s="7"/>
      <c r="C102" s="1"/>
      <c r="D102" s="5"/>
      <c r="E102" s="5"/>
      <c r="F102" s="5"/>
      <c r="G102" s="5"/>
      <c r="H102" s="5"/>
      <c r="I102" s="5"/>
      <c r="J102" s="5"/>
      <c r="K102" s="5"/>
      <c r="L102" s="78"/>
      <c r="M102" s="76"/>
      <c r="N102" s="74"/>
      <c r="O102" s="7"/>
      <c r="Q102" s="5"/>
      <c r="R102" s="5"/>
      <c r="S102" s="5"/>
      <c r="T102" s="5"/>
      <c r="U102" s="5"/>
      <c r="V102" s="5"/>
      <c r="W102" s="5"/>
      <c r="X102" s="5"/>
    </row>
    <row r="103" spans="2:24" ht="21.75" thickBot="1" x14ac:dyDescent="0.4">
      <c r="B103" s="7"/>
      <c r="C103" s="1"/>
      <c r="D103" s="5"/>
      <c r="E103" s="5"/>
      <c r="F103" s="241">
        <f>K101+J101+I101+H101+G101+F101+E101+D101+L101</f>
        <v>14572.5</v>
      </c>
      <c r="G103" s="242"/>
      <c r="H103" s="243"/>
      <c r="I103" s="5"/>
      <c r="J103" s="5"/>
      <c r="K103" s="5"/>
      <c r="L103" s="71"/>
      <c r="M103" s="74"/>
      <c r="N103" s="74"/>
      <c r="O103" s="7"/>
      <c r="Q103" s="5"/>
      <c r="R103" s="5"/>
      <c r="S103" s="244">
        <f>Q101+R101+S101+T101+U101+V101+W101+X101</f>
        <v>21274</v>
      </c>
      <c r="T103" s="245"/>
      <c r="U103" s="246"/>
      <c r="V103" s="5"/>
      <c r="W103" s="5"/>
      <c r="X103" s="5"/>
    </row>
    <row r="104" spans="2:24" x14ac:dyDescent="0.25">
      <c r="B104" s="7"/>
      <c r="C104" s="1"/>
      <c r="D104" s="5"/>
      <c r="E104" s="5"/>
      <c r="F104" s="5"/>
      <c r="G104" s="5"/>
      <c r="H104" s="5"/>
      <c r="J104" s="5"/>
      <c r="K104" s="5"/>
      <c r="L104" s="71"/>
      <c r="M104" s="74"/>
      <c r="N104" s="74"/>
      <c r="O104" s="7"/>
      <c r="Q104" s="5"/>
      <c r="R104" s="5"/>
      <c r="S104" s="5"/>
      <c r="T104" s="5"/>
      <c r="U104" s="5"/>
      <c r="V104" s="5"/>
      <c r="W104" s="5"/>
      <c r="X104" s="5"/>
    </row>
    <row r="105" spans="2:24" x14ac:dyDescent="0.25">
      <c r="B105" s="7"/>
      <c r="C105" s="1"/>
      <c r="D105" s="5"/>
      <c r="E105" s="5"/>
      <c r="F105" s="5"/>
      <c r="G105" s="5"/>
      <c r="H105" s="5"/>
      <c r="I105" s="5"/>
      <c r="J105" s="5"/>
      <c r="K105" s="5"/>
      <c r="L105" s="71"/>
      <c r="M105" s="74"/>
      <c r="N105" s="74"/>
      <c r="O105" s="7"/>
    </row>
    <row r="106" spans="2:24" x14ac:dyDescent="0.25">
      <c r="B106" s="7"/>
      <c r="C106" s="1"/>
      <c r="D106" s="5"/>
      <c r="E106" s="5"/>
      <c r="F106" s="5"/>
      <c r="G106" s="5"/>
      <c r="H106" s="5"/>
      <c r="I106" s="5"/>
      <c r="J106" s="5"/>
      <c r="K106" s="5"/>
      <c r="L106" s="71"/>
      <c r="M106" s="74"/>
      <c r="N106" s="74"/>
      <c r="O106" s="7"/>
    </row>
  </sheetData>
  <mergeCells count="24">
    <mergeCell ref="C2:K2"/>
    <mergeCell ref="O2:W2"/>
    <mergeCell ref="I3:K3"/>
    <mergeCell ref="V3:X3"/>
    <mergeCell ref="F21:H21"/>
    <mergeCell ref="S21:U21"/>
    <mergeCell ref="C56:K56"/>
    <mergeCell ref="O56:W56"/>
    <mergeCell ref="I57:K57"/>
    <mergeCell ref="V57:X57"/>
    <mergeCell ref="F75:H75"/>
    <mergeCell ref="S75:U75"/>
    <mergeCell ref="C84:K84"/>
    <mergeCell ref="O84:W84"/>
    <mergeCell ref="I85:K85"/>
    <mergeCell ref="V85:X85"/>
    <mergeCell ref="F103:H103"/>
    <mergeCell ref="S103:U103"/>
    <mergeCell ref="C28:K28"/>
    <mergeCell ref="O28:W28"/>
    <mergeCell ref="I29:K29"/>
    <mergeCell ref="V29:X29"/>
    <mergeCell ref="F47:H47"/>
    <mergeCell ref="S47:U47"/>
  </mergeCells>
  <pageMargins left="0.23622047244094491" right="0.16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29"/>
  <sheetViews>
    <sheetView zoomScaleNormal="100" workbookViewId="0">
      <pane xSplit="2" ySplit="1" topLeftCell="I71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7" ht="27.75" customHeight="1" x14ac:dyDescent="0.25">
      <c r="O1" s="188"/>
      <c r="P1" s="189"/>
      <c r="Q1" s="189"/>
      <c r="R1" s="189"/>
      <c r="S1" s="189"/>
      <c r="T1" s="189"/>
      <c r="U1" s="189"/>
      <c r="V1" s="189"/>
      <c r="W1" s="189"/>
      <c r="X1" s="189"/>
    </row>
    <row r="3" spans="2:27" ht="15.75" thickBot="1" x14ac:dyDescent="0.3"/>
    <row r="4" spans="2:27" ht="22.5" thickTop="1" thickBot="1" x14ac:dyDescent="0.4">
      <c r="C4" s="234" t="s">
        <v>36</v>
      </c>
      <c r="D4" s="235"/>
      <c r="E4" s="235"/>
      <c r="F4" s="235"/>
      <c r="G4" s="235"/>
      <c r="H4" s="235"/>
      <c r="I4" s="235"/>
      <c r="J4" s="235"/>
      <c r="K4" s="235"/>
      <c r="L4" s="84" t="s">
        <v>88</v>
      </c>
      <c r="M4" s="83"/>
      <c r="N4" s="81"/>
      <c r="O4" s="247" t="s">
        <v>19</v>
      </c>
      <c r="P4" s="248"/>
      <c r="Q4" s="248"/>
      <c r="R4" s="248"/>
      <c r="S4" s="248"/>
      <c r="T4" s="248"/>
      <c r="U4" s="248"/>
      <c r="V4" s="248"/>
      <c r="W4" s="248"/>
      <c r="X4" s="85" t="s">
        <v>88</v>
      </c>
    </row>
    <row r="5" spans="2:27" ht="16.5" thickBot="1" x14ac:dyDescent="0.3">
      <c r="I5" s="238" t="s">
        <v>107</v>
      </c>
      <c r="J5" s="239"/>
      <c r="K5" s="240"/>
      <c r="L5" s="68"/>
      <c r="M5" s="59"/>
      <c r="N5" s="74"/>
      <c r="V5" s="238" t="s">
        <v>107</v>
      </c>
      <c r="W5" s="239"/>
      <c r="X5" s="240"/>
    </row>
    <row r="6" spans="2:27" ht="64.5" thickTop="1" thickBot="1" x14ac:dyDescent="0.3">
      <c r="B6" s="6" t="s">
        <v>0</v>
      </c>
      <c r="C6" s="24" t="s">
        <v>1</v>
      </c>
      <c r="D6" s="25" t="s">
        <v>2</v>
      </c>
      <c r="E6" s="26" t="s">
        <v>7</v>
      </c>
      <c r="F6" s="56" t="s">
        <v>38</v>
      </c>
      <c r="G6" s="25" t="s">
        <v>3</v>
      </c>
      <c r="H6" s="27" t="s">
        <v>22</v>
      </c>
      <c r="I6" s="60" t="s">
        <v>4</v>
      </c>
      <c r="J6" s="61" t="s">
        <v>8</v>
      </c>
      <c r="K6" s="62" t="s">
        <v>5</v>
      </c>
      <c r="L6" s="99" t="s">
        <v>46</v>
      </c>
      <c r="M6" s="38"/>
      <c r="N6" s="82"/>
      <c r="O6" s="36" t="s">
        <v>0</v>
      </c>
      <c r="P6" s="18" t="s">
        <v>1</v>
      </c>
      <c r="Q6" s="64" t="s">
        <v>2</v>
      </c>
      <c r="R6" s="19" t="s">
        <v>16</v>
      </c>
      <c r="S6" s="54" t="s">
        <v>38</v>
      </c>
      <c r="T6" s="14" t="s">
        <v>3</v>
      </c>
      <c r="U6" s="14" t="s">
        <v>4</v>
      </c>
      <c r="V6" s="55" t="s">
        <v>25</v>
      </c>
      <c r="W6" s="57" t="s">
        <v>8</v>
      </c>
      <c r="X6" s="58" t="s">
        <v>5</v>
      </c>
    </row>
    <row r="7" spans="2:27" ht="30" x14ac:dyDescent="0.25">
      <c r="B7" s="93" t="s">
        <v>89</v>
      </c>
      <c r="C7" s="107" t="s">
        <v>90</v>
      </c>
      <c r="D7" s="72"/>
      <c r="E7" s="72"/>
      <c r="F7" s="72"/>
      <c r="G7" s="72"/>
      <c r="H7" s="72"/>
      <c r="I7" s="72"/>
      <c r="J7" s="72"/>
      <c r="K7" s="72">
        <f>899+759+1031</f>
        <v>2689</v>
      </c>
      <c r="L7" s="70"/>
      <c r="M7" s="74"/>
      <c r="N7" s="74"/>
      <c r="O7" s="93" t="s">
        <v>89</v>
      </c>
      <c r="P7" s="86" t="s">
        <v>97</v>
      </c>
      <c r="Q7" s="72"/>
      <c r="R7" s="72"/>
      <c r="S7" s="72"/>
      <c r="T7" s="72"/>
      <c r="U7" s="72"/>
      <c r="V7" s="72"/>
      <c r="W7" s="72"/>
      <c r="X7" s="72">
        <f>1196+1463</f>
        <v>2659</v>
      </c>
    </row>
    <row r="8" spans="2:27" ht="51.75" customHeight="1" x14ac:dyDescent="0.25">
      <c r="B8" s="93" t="s">
        <v>89</v>
      </c>
      <c r="C8" s="44" t="s">
        <v>93</v>
      </c>
      <c r="D8" s="67"/>
      <c r="E8" s="67"/>
      <c r="F8" s="67">
        <f>2439+120+100+72+45</f>
        <v>2776</v>
      </c>
      <c r="G8" s="67"/>
      <c r="H8" s="67"/>
      <c r="I8" s="67"/>
      <c r="J8" s="67"/>
      <c r="K8" s="67"/>
      <c r="L8" s="67"/>
      <c r="M8" s="74"/>
      <c r="N8" s="74"/>
      <c r="O8" s="93" t="s">
        <v>89</v>
      </c>
      <c r="P8" s="89" t="s">
        <v>99</v>
      </c>
      <c r="Q8" s="72"/>
      <c r="R8" s="72"/>
      <c r="S8" s="72">
        <f>79+3580</f>
        <v>3659</v>
      </c>
      <c r="T8" s="72"/>
      <c r="U8" s="72"/>
      <c r="V8" s="72"/>
      <c r="W8" s="72"/>
      <c r="X8" s="67"/>
    </row>
    <row r="9" spans="2:27" ht="36.75" x14ac:dyDescent="0.25">
      <c r="B9" s="93" t="s">
        <v>89</v>
      </c>
      <c r="C9" s="43" t="s">
        <v>91</v>
      </c>
      <c r="D9" s="67">
        <f>131+221</f>
        <v>352</v>
      </c>
      <c r="E9" s="67"/>
      <c r="F9" s="67"/>
      <c r="G9" s="67"/>
      <c r="H9" s="67"/>
      <c r="I9" s="67"/>
      <c r="J9" s="67"/>
      <c r="K9" s="67"/>
      <c r="L9" s="11"/>
      <c r="M9" s="74"/>
      <c r="N9" s="74"/>
      <c r="O9" s="93" t="s">
        <v>89</v>
      </c>
      <c r="P9" s="89" t="s">
        <v>98</v>
      </c>
      <c r="Q9" s="72"/>
      <c r="R9" s="72"/>
      <c r="S9" s="72"/>
      <c r="T9" s="72">
        <f>40+85</f>
        <v>125</v>
      </c>
      <c r="U9" s="72"/>
      <c r="V9" s="72"/>
      <c r="W9" s="72"/>
      <c r="X9" s="67"/>
    </row>
    <row r="10" spans="2:27" ht="30" customHeight="1" x14ac:dyDescent="0.25">
      <c r="B10" s="93" t="s">
        <v>89</v>
      </c>
      <c r="C10" s="96" t="s">
        <v>92</v>
      </c>
      <c r="D10" s="67"/>
      <c r="E10" s="67"/>
      <c r="F10" s="67"/>
      <c r="G10" s="67">
        <v>45</v>
      </c>
      <c r="H10" s="67" t="s">
        <v>26</v>
      </c>
      <c r="I10" s="67"/>
      <c r="J10" s="67"/>
      <c r="K10" s="67"/>
      <c r="L10" s="11"/>
      <c r="M10" s="74"/>
      <c r="N10" s="74"/>
      <c r="O10" s="93" t="s">
        <v>89</v>
      </c>
      <c r="P10" s="87" t="s">
        <v>100</v>
      </c>
      <c r="Q10" s="72">
        <f>144+460+166</f>
        <v>770</v>
      </c>
      <c r="R10" s="72"/>
      <c r="S10" s="72"/>
      <c r="T10" s="72"/>
      <c r="U10" s="72"/>
      <c r="V10" s="72"/>
      <c r="W10" s="72"/>
      <c r="X10" s="67"/>
    </row>
    <row r="11" spans="2:27" ht="48.75" x14ac:dyDescent="0.25">
      <c r="B11" s="93" t="s">
        <v>89</v>
      </c>
      <c r="C11" s="44" t="s">
        <v>46</v>
      </c>
      <c r="D11" s="67"/>
      <c r="E11" s="67"/>
      <c r="F11" s="67"/>
      <c r="G11" s="67"/>
      <c r="H11" s="67"/>
      <c r="I11" s="67"/>
      <c r="J11" s="67"/>
      <c r="K11" s="67"/>
      <c r="L11" s="11">
        <v>500</v>
      </c>
      <c r="M11" s="74"/>
      <c r="N11" s="74"/>
      <c r="O11" s="93" t="s">
        <v>89</v>
      </c>
      <c r="P11" s="89" t="s">
        <v>104</v>
      </c>
      <c r="Q11" s="72"/>
      <c r="R11" s="72"/>
      <c r="S11" s="72"/>
      <c r="T11" s="72"/>
      <c r="U11" s="72"/>
      <c r="V11" s="72"/>
      <c r="W11" s="72">
        <f>610+60.5+856+50+1164</f>
        <v>2740.5</v>
      </c>
      <c r="X11" s="67"/>
    </row>
    <row r="12" spans="2:27" x14ac:dyDescent="0.25">
      <c r="B12" s="93" t="s">
        <v>89</v>
      </c>
      <c r="C12" s="44" t="s">
        <v>12</v>
      </c>
      <c r="D12" s="67"/>
      <c r="E12" s="67"/>
      <c r="F12" s="67"/>
      <c r="G12" s="67"/>
      <c r="H12" s="67"/>
      <c r="I12" s="67">
        <v>381</v>
      </c>
      <c r="J12" s="67"/>
      <c r="K12" s="67"/>
      <c r="L12" s="11"/>
      <c r="M12" s="74"/>
      <c r="N12" s="74"/>
      <c r="O12" s="93" t="s">
        <v>89</v>
      </c>
      <c r="P12" s="89" t="s">
        <v>4</v>
      </c>
      <c r="Q12" s="72"/>
      <c r="R12" s="72"/>
      <c r="S12" s="72"/>
      <c r="T12" s="72"/>
      <c r="U12" s="72">
        <v>728</v>
      </c>
      <c r="V12" s="72"/>
      <c r="W12" s="72"/>
      <c r="X12" s="67"/>
    </row>
    <row r="13" spans="2:27" ht="24" x14ac:dyDescent="0.25">
      <c r="B13" s="93" t="s">
        <v>89</v>
      </c>
      <c r="C13" s="44" t="s">
        <v>94</v>
      </c>
      <c r="D13" s="67"/>
      <c r="E13" s="67"/>
      <c r="F13" s="67"/>
      <c r="G13" s="67"/>
      <c r="H13" s="67"/>
      <c r="I13" s="67"/>
      <c r="J13" s="94">
        <v>1223</v>
      </c>
      <c r="K13" s="67"/>
      <c r="L13" s="11"/>
      <c r="M13" s="74"/>
      <c r="N13" s="74"/>
      <c r="O13" s="93" t="s">
        <v>89</v>
      </c>
      <c r="P13" s="87" t="s">
        <v>101</v>
      </c>
      <c r="Q13" s="72"/>
      <c r="R13" s="72"/>
      <c r="S13" s="72"/>
      <c r="T13" s="72"/>
      <c r="U13" s="72"/>
      <c r="V13" s="72"/>
      <c r="W13" s="72">
        <v>1390</v>
      </c>
      <c r="X13" s="67"/>
      <c r="Y13" s="109" t="s">
        <v>102</v>
      </c>
      <c r="Z13" s="110"/>
      <c r="AA13" s="80"/>
    </row>
    <row r="14" spans="2:27" ht="26.25" x14ac:dyDescent="0.25">
      <c r="B14" s="93" t="s">
        <v>89</v>
      </c>
      <c r="C14" s="42" t="s">
        <v>95</v>
      </c>
      <c r="D14" s="67"/>
      <c r="E14" s="67">
        <v>180</v>
      </c>
      <c r="F14" s="67"/>
      <c r="G14" s="67"/>
      <c r="H14" s="67"/>
      <c r="I14" s="67"/>
      <c r="J14" s="67"/>
      <c r="K14" s="67"/>
      <c r="L14" s="11"/>
      <c r="M14" s="74"/>
      <c r="N14" s="74"/>
      <c r="O14" s="93" t="s">
        <v>89</v>
      </c>
      <c r="P14" s="90" t="s">
        <v>103</v>
      </c>
      <c r="Q14" s="72"/>
      <c r="R14" s="72">
        <v>1462</v>
      </c>
      <c r="S14" s="72"/>
      <c r="T14" s="72"/>
      <c r="U14" s="72"/>
      <c r="V14" s="72"/>
      <c r="W14" s="72"/>
      <c r="X14" s="67"/>
    </row>
    <row r="15" spans="2:27" ht="22.5" customHeight="1" x14ac:dyDescent="0.25">
      <c r="B15" s="93" t="s">
        <v>89</v>
      </c>
      <c r="C15" s="95" t="s">
        <v>96</v>
      </c>
      <c r="D15" s="67"/>
      <c r="E15" s="67"/>
      <c r="F15" s="67"/>
      <c r="G15" s="67"/>
      <c r="H15" s="67">
        <f>85+85+102+68+68</f>
        <v>408</v>
      </c>
      <c r="I15" s="67"/>
      <c r="J15" s="67"/>
      <c r="K15" s="67"/>
      <c r="L15" s="11"/>
      <c r="M15" s="74"/>
      <c r="N15" s="74"/>
      <c r="O15" s="93" t="s">
        <v>89</v>
      </c>
      <c r="P15" s="98" t="s">
        <v>105</v>
      </c>
      <c r="Q15" s="72"/>
      <c r="R15" s="72"/>
      <c r="S15" s="72"/>
      <c r="T15" s="72"/>
      <c r="U15" s="72"/>
      <c r="V15" s="72">
        <f>700+710+700+669+1754</f>
        <v>4533</v>
      </c>
      <c r="W15" s="72"/>
      <c r="X15" s="67"/>
    </row>
    <row r="16" spans="2:27" ht="18.75" customHeight="1" x14ac:dyDescent="0.25">
      <c r="B16" s="93" t="s">
        <v>89</v>
      </c>
      <c r="C16" s="42" t="s">
        <v>11</v>
      </c>
      <c r="D16" s="67"/>
      <c r="E16" s="67"/>
      <c r="F16" s="67"/>
      <c r="G16" s="67"/>
      <c r="H16" s="67">
        <f>380+380+470</f>
        <v>1230</v>
      </c>
      <c r="I16" s="67"/>
      <c r="J16" s="67"/>
      <c r="K16" s="67"/>
      <c r="L16" s="11"/>
      <c r="M16" s="74"/>
      <c r="N16" s="74"/>
      <c r="O16" s="93" t="s">
        <v>89</v>
      </c>
      <c r="P16" s="88" t="s">
        <v>106</v>
      </c>
      <c r="Q16" s="72"/>
      <c r="R16" s="72"/>
      <c r="S16" s="72"/>
      <c r="T16" s="72"/>
      <c r="U16" s="72"/>
      <c r="V16" s="72">
        <f>170+170+204+204+170</f>
        <v>918</v>
      </c>
      <c r="W16" s="72"/>
      <c r="X16" s="67"/>
    </row>
    <row r="17" spans="2:24" ht="18.75" customHeight="1" x14ac:dyDescent="0.25">
      <c r="B17" s="93" t="s">
        <v>89</v>
      </c>
      <c r="C17" s="95"/>
      <c r="D17" s="67"/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3" t="s">
        <v>89</v>
      </c>
      <c r="P17" s="88"/>
      <c r="Q17" s="72"/>
      <c r="R17" s="72"/>
      <c r="S17" s="72"/>
      <c r="T17" s="72"/>
      <c r="U17" s="72"/>
      <c r="V17" s="72"/>
      <c r="W17" s="72"/>
      <c r="X17" s="67"/>
    </row>
    <row r="18" spans="2:24" ht="18.75" customHeight="1" x14ac:dyDescent="0.25">
      <c r="B18" s="93" t="s">
        <v>89</v>
      </c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3" t="s">
        <v>89</v>
      </c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3" t="s">
        <v>89</v>
      </c>
      <c r="C19" s="10"/>
      <c r="D19" s="67"/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3" t="s">
        <v>89</v>
      </c>
      <c r="P19" s="91"/>
      <c r="Q19" s="67"/>
      <c r="R19" s="67"/>
      <c r="S19" s="67"/>
      <c r="T19" s="67"/>
      <c r="U19" s="67"/>
      <c r="V19" s="67"/>
      <c r="W19" s="67"/>
      <c r="X19" s="67"/>
    </row>
    <row r="20" spans="2:24" ht="15.75" thickBot="1" x14ac:dyDescent="0.3">
      <c r="B20" s="9"/>
      <c r="C20" s="34"/>
      <c r="D20" s="73">
        <v>0</v>
      </c>
      <c r="E20" s="73"/>
      <c r="F20" s="73"/>
      <c r="G20" s="73"/>
      <c r="H20" s="73"/>
      <c r="I20" s="73"/>
      <c r="J20" s="73"/>
      <c r="K20" s="73"/>
      <c r="L20" s="20"/>
      <c r="M20" s="74"/>
      <c r="N20" s="74"/>
      <c r="O20" s="46"/>
      <c r="P20" s="51"/>
      <c r="Q20" s="73">
        <v>0</v>
      </c>
      <c r="R20" s="73"/>
      <c r="S20" s="73"/>
      <c r="T20" s="73"/>
      <c r="U20" s="73"/>
      <c r="V20" s="73"/>
      <c r="W20" s="73"/>
      <c r="X20" s="73"/>
    </row>
    <row r="21" spans="2:24" ht="24" thickBot="1" x14ac:dyDescent="0.3">
      <c r="C21" s="35" t="s">
        <v>18</v>
      </c>
      <c r="D21" s="30">
        <f t="shared" ref="D21" si="0">SUM(D7:D20)</f>
        <v>352</v>
      </c>
      <c r="E21" s="31">
        <f t="shared" ref="E21" si="1">SUM(E7:E20)</f>
        <v>180</v>
      </c>
      <c r="F21" s="31">
        <f t="shared" ref="F21" si="2">SUM(F7:F20)</f>
        <v>2776</v>
      </c>
      <c r="G21" s="31">
        <f t="shared" ref="G21" si="3">SUM(G7:G20)</f>
        <v>45</v>
      </c>
      <c r="H21" s="31">
        <f t="shared" ref="H21" si="4">SUM(H7:H20)</f>
        <v>1638</v>
      </c>
      <c r="I21" s="31">
        <f t="shared" ref="I21" si="5">SUM(I7:I20)</f>
        <v>381</v>
      </c>
      <c r="J21" s="22">
        <f t="shared" ref="J21" si="6">SUM(J7:J20)</f>
        <v>1223</v>
      </c>
      <c r="K21" s="32">
        <f t="shared" ref="K21" si="7">SUM(K7:K20)</f>
        <v>2689</v>
      </c>
      <c r="L21" s="100">
        <f t="shared" ref="L21" si="8">SUM(L7:L20)</f>
        <v>500</v>
      </c>
      <c r="M21" s="75"/>
      <c r="N21" s="74"/>
      <c r="P21" s="33" t="s">
        <v>18</v>
      </c>
      <c r="Q21" s="21">
        <f t="shared" ref="Q21" si="9">SUM(Q7:Q20)</f>
        <v>770</v>
      </c>
      <c r="R21" s="21">
        <f t="shared" ref="R21" si="10">SUM(R7:R20)</f>
        <v>1462</v>
      </c>
      <c r="S21" s="21">
        <f t="shared" ref="S21" si="11">SUM(S7:S20)</f>
        <v>3659</v>
      </c>
      <c r="T21" s="21">
        <f t="shared" ref="T21" si="12">SUM(T7:T20)</f>
        <v>125</v>
      </c>
      <c r="U21" s="21">
        <f t="shared" ref="U21" si="13">SUM(U7:U20)</f>
        <v>728</v>
      </c>
      <c r="V21" s="21">
        <f t="shared" ref="V21" si="14">SUM(V7:V20)</f>
        <v>5451</v>
      </c>
      <c r="W21" s="21">
        <f t="shared" ref="W21" si="15">SUM(W7:W20)</f>
        <v>4130.5</v>
      </c>
      <c r="X21" s="21">
        <f t="shared" ref="X21" si="16">SUM(X7:X20)</f>
        <v>2659</v>
      </c>
    </row>
    <row r="22" spans="2:24" ht="15.75" thickBot="1" x14ac:dyDescent="0.3">
      <c r="D22" s="5"/>
      <c r="E22" s="5"/>
      <c r="F22" s="5"/>
      <c r="G22" s="5"/>
      <c r="H22" s="5"/>
      <c r="I22" s="5"/>
      <c r="J22" s="5"/>
      <c r="K22" s="5"/>
      <c r="L22" s="78"/>
      <c r="M22" s="76"/>
      <c r="N22" s="74"/>
      <c r="Q22" s="5"/>
      <c r="R22" s="5"/>
      <c r="S22" s="5"/>
      <c r="T22" s="5"/>
      <c r="U22" s="5"/>
      <c r="V22" s="5"/>
      <c r="W22" s="5"/>
      <c r="X22" s="5"/>
    </row>
    <row r="23" spans="2:24" ht="21.75" thickBot="1" x14ac:dyDescent="0.4">
      <c r="D23" s="5"/>
      <c r="E23" s="5"/>
      <c r="F23" s="241">
        <f>K21+J21+I21+H21+G21+F21+E21+D21+L21</f>
        <v>9784</v>
      </c>
      <c r="G23" s="242"/>
      <c r="H23" s="243"/>
      <c r="I23" s="5"/>
      <c r="J23" s="5"/>
      <c r="K23" s="5"/>
      <c r="L23" s="78"/>
      <c r="M23" s="76"/>
      <c r="N23" s="74"/>
      <c r="Q23" s="5"/>
      <c r="R23" s="5"/>
      <c r="S23" s="244">
        <f>Q21+R21+S21+T21+U21+V21+W21+X21</f>
        <v>18984.5</v>
      </c>
      <c r="T23" s="245"/>
      <c r="U23" s="246"/>
      <c r="V23" s="5"/>
      <c r="W23" s="5"/>
      <c r="X23" s="5"/>
    </row>
    <row r="24" spans="2:24" x14ac:dyDescent="0.25">
      <c r="D24" s="5"/>
      <c r="E24" s="5"/>
      <c r="F24" s="5"/>
      <c r="G24" s="5"/>
      <c r="H24" s="5"/>
      <c r="J24" s="5"/>
      <c r="K24" s="5"/>
      <c r="L24" s="78"/>
      <c r="M24" s="76"/>
      <c r="N24" s="74"/>
      <c r="Q24" s="5"/>
      <c r="R24" s="5"/>
      <c r="S24" s="5"/>
      <c r="T24" s="5"/>
      <c r="U24" s="5"/>
      <c r="V24" s="5"/>
      <c r="W24" s="5"/>
      <c r="X24" s="5"/>
    </row>
    <row r="25" spans="2:24" x14ac:dyDescent="0.25">
      <c r="D25" s="5"/>
      <c r="E25" s="5"/>
      <c r="F25" s="5"/>
      <c r="G25" s="5"/>
      <c r="H25" s="5"/>
      <c r="I25" s="5"/>
      <c r="J25" s="5"/>
      <c r="K25" s="5"/>
      <c r="L25" s="78"/>
      <c r="M25" s="76"/>
      <c r="N25" s="74"/>
    </row>
    <row r="26" spans="2:24" ht="15.75" thickBot="1" x14ac:dyDescent="0.3">
      <c r="D26" s="5"/>
      <c r="E26" s="5"/>
      <c r="F26" s="5"/>
      <c r="G26" s="5"/>
      <c r="H26" s="5"/>
      <c r="I26" s="5"/>
      <c r="J26" s="5"/>
      <c r="K26" s="5"/>
      <c r="L26" s="78"/>
      <c r="M26" s="79"/>
      <c r="N26" s="74"/>
    </row>
    <row r="34" spans="2:24" ht="15.75" thickBot="1" x14ac:dyDescent="0.3"/>
    <row r="35" spans="2:24" ht="22.5" thickTop="1" thickBot="1" x14ac:dyDescent="0.4">
      <c r="C35" s="234" t="s">
        <v>36</v>
      </c>
      <c r="D35" s="235"/>
      <c r="E35" s="235"/>
      <c r="F35" s="235"/>
      <c r="G35" s="235"/>
      <c r="H35" s="235"/>
      <c r="I35" s="235"/>
      <c r="J35" s="235"/>
      <c r="K35" s="235"/>
      <c r="L35" s="84" t="s">
        <v>66</v>
      </c>
      <c r="M35" s="83"/>
      <c r="N35" s="81"/>
      <c r="O35" s="247" t="s">
        <v>19</v>
      </c>
      <c r="P35" s="248"/>
      <c r="Q35" s="248"/>
      <c r="R35" s="248"/>
      <c r="S35" s="248"/>
      <c r="T35" s="248"/>
      <c r="U35" s="248"/>
      <c r="V35" s="248"/>
      <c r="W35" s="248"/>
      <c r="X35" s="85" t="s">
        <v>66</v>
      </c>
    </row>
    <row r="36" spans="2:24" ht="16.5" thickBot="1" x14ac:dyDescent="0.3">
      <c r="I36" s="238" t="s">
        <v>68</v>
      </c>
      <c r="J36" s="239"/>
      <c r="K36" s="240"/>
      <c r="L36" s="68"/>
      <c r="M36" s="59"/>
      <c r="N36" s="74"/>
      <c r="V36" s="238" t="s">
        <v>68</v>
      </c>
      <c r="W36" s="239"/>
      <c r="X36" s="240"/>
    </row>
    <row r="37" spans="2:24" ht="64.5" thickTop="1" thickBot="1" x14ac:dyDescent="0.3">
      <c r="B37" s="6" t="s">
        <v>0</v>
      </c>
      <c r="C37" s="24" t="s">
        <v>1</v>
      </c>
      <c r="D37" s="25" t="s">
        <v>2</v>
      </c>
      <c r="E37" s="26" t="s">
        <v>7</v>
      </c>
      <c r="F37" s="56" t="s">
        <v>38</v>
      </c>
      <c r="G37" s="25" t="s">
        <v>3</v>
      </c>
      <c r="H37" s="27" t="s">
        <v>22</v>
      </c>
      <c r="I37" s="60" t="s">
        <v>4</v>
      </c>
      <c r="J37" s="61" t="s">
        <v>8</v>
      </c>
      <c r="K37" s="62" t="s">
        <v>5</v>
      </c>
      <c r="L37" s="99" t="s">
        <v>46</v>
      </c>
      <c r="M37" s="38"/>
      <c r="N37" s="82"/>
      <c r="O37" s="36" t="s">
        <v>0</v>
      </c>
      <c r="P37" s="18" t="s">
        <v>1</v>
      </c>
      <c r="Q37" s="64" t="s">
        <v>2</v>
      </c>
      <c r="R37" s="19" t="s">
        <v>16</v>
      </c>
      <c r="S37" s="54" t="s">
        <v>38</v>
      </c>
      <c r="T37" s="14" t="s">
        <v>3</v>
      </c>
      <c r="U37" s="14" t="s">
        <v>4</v>
      </c>
      <c r="V37" s="55" t="s">
        <v>25</v>
      </c>
      <c r="W37" s="57" t="s">
        <v>8</v>
      </c>
      <c r="X37" s="58" t="s">
        <v>5</v>
      </c>
    </row>
    <row r="38" spans="2:24" ht="36.75" x14ac:dyDescent="0.25">
      <c r="B38" s="93" t="s">
        <v>69</v>
      </c>
      <c r="C38" s="107" t="s">
        <v>70</v>
      </c>
      <c r="D38" s="72">
        <f>121+213+135</f>
        <v>469</v>
      </c>
      <c r="E38" s="72"/>
      <c r="F38" s="72"/>
      <c r="G38" s="72"/>
      <c r="H38" s="72"/>
      <c r="I38" s="72"/>
      <c r="J38" s="72"/>
      <c r="K38" s="72"/>
      <c r="L38" s="70"/>
      <c r="M38" s="74"/>
      <c r="N38" s="74"/>
      <c r="O38" s="93" t="s">
        <v>69</v>
      </c>
      <c r="P38" s="86" t="s">
        <v>84</v>
      </c>
      <c r="Q38" s="72"/>
      <c r="R38" s="72"/>
      <c r="S38" s="72"/>
      <c r="T38" s="72"/>
      <c r="U38" s="72"/>
      <c r="V38" s="72"/>
      <c r="W38" s="72"/>
      <c r="X38" s="72">
        <f>69+2445+1943+325+1621</f>
        <v>6403</v>
      </c>
    </row>
    <row r="39" spans="2:24" ht="36" x14ac:dyDescent="0.25">
      <c r="B39" s="93" t="s">
        <v>69</v>
      </c>
      <c r="C39" s="44" t="s">
        <v>79</v>
      </c>
      <c r="D39" s="67"/>
      <c r="E39" s="67"/>
      <c r="F39" s="67"/>
      <c r="G39" s="67"/>
      <c r="H39" s="67"/>
      <c r="I39" s="67"/>
      <c r="J39" s="67"/>
      <c r="K39" s="67">
        <f>1031+1026+1603+547+2029</f>
        <v>6236</v>
      </c>
      <c r="L39" s="67"/>
      <c r="M39" s="74"/>
      <c r="N39" s="74"/>
      <c r="O39" s="93" t="s">
        <v>69</v>
      </c>
      <c r="P39" s="89" t="s">
        <v>86</v>
      </c>
      <c r="Q39" s="72"/>
      <c r="R39" s="72"/>
      <c r="S39" s="72"/>
      <c r="T39" s="72"/>
      <c r="U39" s="72"/>
      <c r="V39" s="72"/>
      <c r="W39" s="72">
        <f>1500+380</f>
        <v>1880</v>
      </c>
      <c r="X39" s="67"/>
    </row>
    <row r="40" spans="2:24" ht="30" x14ac:dyDescent="0.25">
      <c r="B40" s="93" t="s">
        <v>69</v>
      </c>
      <c r="C40" s="43" t="s">
        <v>76</v>
      </c>
      <c r="D40" s="67"/>
      <c r="E40" s="67">
        <v>188</v>
      </c>
      <c r="F40" s="67"/>
      <c r="G40" s="67"/>
      <c r="H40" s="67"/>
      <c r="I40" s="67"/>
      <c r="J40" s="67"/>
      <c r="K40" s="67"/>
      <c r="L40" s="11"/>
      <c r="M40" s="74"/>
      <c r="N40" s="74"/>
      <c r="O40" s="93" t="s">
        <v>69</v>
      </c>
      <c r="P40" s="87" t="s">
        <v>81</v>
      </c>
      <c r="Q40" s="72">
        <f>78+342+635</f>
        <v>1055</v>
      </c>
      <c r="R40" s="72"/>
      <c r="S40" s="72"/>
      <c r="T40" s="72"/>
      <c r="U40" s="72"/>
      <c r="V40" s="72"/>
      <c r="W40" s="72"/>
      <c r="X40" s="67"/>
    </row>
    <row r="41" spans="2:24" ht="30" customHeight="1" x14ac:dyDescent="0.25">
      <c r="B41" s="93" t="s">
        <v>69</v>
      </c>
      <c r="C41" s="96" t="s">
        <v>74</v>
      </c>
      <c r="D41" s="67"/>
      <c r="E41" s="67"/>
      <c r="F41" s="67"/>
      <c r="G41" s="67"/>
      <c r="H41" s="67"/>
      <c r="I41" s="67">
        <v>829</v>
      </c>
      <c r="J41" s="67"/>
      <c r="K41" s="67"/>
      <c r="L41" s="11"/>
      <c r="M41" s="74"/>
      <c r="N41" s="74"/>
      <c r="O41" s="93" t="s">
        <v>69</v>
      </c>
      <c r="P41" s="88" t="s">
        <v>12</v>
      </c>
      <c r="Q41" s="72"/>
      <c r="R41" s="72"/>
      <c r="S41" s="72"/>
      <c r="T41" s="72"/>
      <c r="U41" s="72">
        <v>400</v>
      </c>
      <c r="V41" s="72"/>
      <c r="W41" s="72"/>
      <c r="X41" s="67"/>
    </row>
    <row r="42" spans="2:24" ht="24.75" x14ac:dyDescent="0.25">
      <c r="B42" s="93" t="s">
        <v>69</v>
      </c>
      <c r="C42" s="44" t="s">
        <v>72</v>
      </c>
      <c r="D42" s="67"/>
      <c r="E42" s="67"/>
      <c r="F42" s="67">
        <v>95</v>
      </c>
      <c r="G42" s="67"/>
      <c r="H42" s="67"/>
      <c r="I42" s="67"/>
      <c r="J42" s="67"/>
      <c r="K42" s="67"/>
      <c r="L42" s="11"/>
      <c r="M42" s="74"/>
      <c r="N42" s="74"/>
      <c r="O42" s="93" t="s">
        <v>69</v>
      </c>
      <c r="P42" s="89" t="s">
        <v>80</v>
      </c>
      <c r="Q42" s="72"/>
      <c r="R42" s="72">
        <v>776</v>
      </c>
      <c r="S42" s="72"/>
      <c r="T42" s="72"/>
      <c r="U42" s="72"/>
      <c r="V42" s="72"/>
      <c r="W42" s="72"/>
      <c r="X42" s="67"/>
    </row>
    <row r="43" spans="2:24" x14ac:dyDescent="0.25">
      <c r="B43" s="93" t="s">
        <v>69</v>
      </c>
      <c r="C43" s="44" t="s">
        <v>73</v>
      </c>
      <c r="D43" s="67"/>
      <c r="E43" s="67"/>
      <c r="F43" s="67"/>
      <c r="G43" s="67"/>
      <c r="H43" s="67"/>
      <c r="I43" s="67"/>
      <c r="J43" s="67">
        <v>624</v>
      </c>
      <c r="K43" s="67"/>
      <c r="L43" s="11"/>
      <c r="M43" s="74"/>
      <c r="N43" s="74"/>
      <c r="O43" s="93" t="s">
        <v>69</v>
      </c>
      <c r="P43" s="89" t="s">
        <v>82</v>
      </c>
      <c r="Q43" s="72"/>
      <c r="R43" s="72"/>
      <c r="S43" s="72"/>
      <c r="T43" s="72">
        <v>40</v>
      </c>
      <c r="U43" s="72"/>
      <c r="V43" s="72"/>
      <c r="W43" s="72"/>
      <c r="X43" s="67"/>
    </row>
    <row r="44" spans="2:24" ht="60.75" x14ac:dyDescent="0.25">
      <c r="B44" s="93" t="s">
        <v>69</v>
      </c>
      <c r="C44" s="44" t="s">
        <v>78</v>
      </c>
      <c r="D44" s="67"/>
      <c r="E44" s="67"/>
      <c r="F44" s="67"/>
      <c r="G44" s="67"/>
      <c r="H44" s="67"/>
      <c r="I44" s="67"/>
      <c r="J44" s="94">
        <f>413+68+84</f>
        <v>565</v>
      </c>
      <c r="K44" s="67"/>
      <c r="L44" s="11"/>
      <c r="M44" s="74"/>
      <c r="N44" s="74"/>
      <c r="O44" s="93" t="s">
        <v>69</v>
      </c>
      <c r="P44" s="89" t="s">
        <v>83</v>
      </c>
      <c r="Q44" s="72"/>
      <c r="R44" s="72"/>
      <c r="S44" s="72">
        <f>20+90+375+2010+280+252</f>
        <v>3027</v>
      </c>
      <c r="T44" s="72"/>
      <c r="U44" s="72"/>
      <c r="V44" s="72"/>
      <c r="W44" s="72"/>
      <c r="X44" s="67"/>
    </row>
    <row r="45" spans="2:24" ht="33" customHeight="1" x14ac:dyDescent="0.25">
      <c r="B45" s="93" t="s">
        <v>69</v>
      </c>
      <c r="C45" s="42" t="s">
        <v>75</v>
      </c>
      <c r="D45" s="67"/>
      <c r="E45" s="67"/>
      <c r="F45" s="67"/>
      <c r="G45" s="67"/>
      <c r="H45" s="67"/>
      <c r="I45" s="67"/>
      <c r="J45" s="67">
        <f>116+35.5</f>
        <v>151.5</v>
      </c>
      <c r="K45" s="67"/>
      <c r="L45" s="11"/>
      <c r="M45" s="74"/>
      <c r="N45" s="74"/>
      <c r="O45" s="93" t="s">
        <v>69</v>
      </c>
      <c r="P45" s="90" t="s">
        <v>87</v>
      </c>
      <c r="Q45" s="72"/>
      <c r="R45" s="72">
        <v>400</v>
      </c>
      <c r="S45" s="72"/>
      <c r="T45" s="72"/>
      <c r="U45" s="72"/>
      <c r="V45" s="72"/>
      <c r="W45" s="72"/>
      <c r="X45" s="67"/>
    </row>
    <row r="46" spans="2:24" ht="48" x14ac:dyDescent="0.25">
      <c r="B46" s="93" t="s">
        <v>69</v>
      </c>
      <c r="C46" s="44" t="s">
        <v>71</v>
      </c>
      <c r="D46" s="67"/>
      <c r="E46" s="67"/>
      <c r="F46" s="67">
        <f>1489+350+300+25</f>
        <v>2164</v>
      </c>
      <c r="G46" s="67"/>
      <c r="H46" s="67"/>
      <c r="I46" s="67"/>
      <c r="J46" s="67"/>
      <c r="K46" s="67"/>
      <c r="L46" s="11"/>
      <c r="M46" s="74"/>
      <c r="N46" s="74"/>
      <c r="O46" s="93" t="s">
        <v>69</v>
      </c>
      <c r="P46" s="98" t="s">
        <v>85</v>
      </c>
      <c r="Q46" s="72"/>
      <c r="R46" s="72"/>
      <c r="S46" s="72"/>
      <c r="T46" s="72"/>
      <c r="U46" s="72"/>
      <c r="V46" s="72">
        <f>700+700+700+2224</f>
        <v>4324</v>
      </c>
      <c r="W46" s="72"/>
      <c r="X46" s="67"/>
    </row>
    <row r="47" spans="2:24" ht="18.75" customHeight="1" thickBot="1" x14ac:dyDescent="0.3">
      <c r="B47" s="93" t="s">
        <v>69</v>
      </c>
      <c r="C47" s="42" t="s">
        <v>11</v>
      </c>
      <c r="D47" s="67"/>
      <c r="E47" s="67"/>
      <c r="F47" s="67"/>
      <c r="G47" s="67"/>
      <c r="H47" s="67">
        <f>380+380+470</f>
        <v>1230</v>
      </c>
      <c r="I47" s="67"/>
      <c r="J47" s="67"/>
      <c r="K47" s="67"/>
      <c r="L47" s="11"/>
      <c r="M47" s="74"/>
      <c r="N47" s="74"/>
      <c r="O47" s="93" t="s">
        <v>69</v>
      </c>
      <c r="P47" s="88" t="s">
        <v>34</v>
      </c>
      <c r="Q47" s="72"/>
      <c r="R47" s="72"/>
      <c r="S47" s="72"/>
      <c r="T47" s="72"/>
      <c r="U47" s="72"/>
      <c r="V47" s="72">
        <f>170+136+238+204+170+360</f>
        <v>1278</v>
      </c>
      <c r="W47" s="72"/>
      <c r="X47" s="67"/>
    </row>
    <row r="48" spans="2:24" ht="18.75" customHeight="1" x14ac:dyDescent="0.25">
      <c r="B48" s="93" t="s">
        <v>69</v>
      </c>
      <c r="C48" s="95" t="s">
        <v>46</v>
      </c>
      <c r="D48" s="67"/>
      <c r="E48" s="67"/>
      <c r="F48" s="67"/>
      <c r="G48" s="67"/>
      <c r="H48" s="67"/>
      <c r="I48" s="67"/>
      <c r="J48" s="67"/>
      <c r="K48" s="67"/>
      <c r="L48" s="11">
        <v>500</v>
      </c>
      <c r="M48" s="74"/>
      <c r="N48" s="74"/>
      <c r="O48" s="97"/>
      <c r="P48" s="88"/>
      <c r="Q48" s="72"/>
      <c r="R48" s="72"/>
      <c r="S48" s="72"/>
      <c r="T48" s="72"/>
      <c r="U48" s="72"/>
      <c r="V48" s="72"/>
      <c r="W48" s="72"/>
      <c r="X48" s="67"/>
    </row>
    <row r="49" spans="2:24" ht="18.75" customHeight="1" x14ac:dyDescent="0.25">
      <c r="B49" s="108" t="s">
        <v>69</v>
      </c>
      <c r="C49" s="10" t="s">
        <v>77</v>
      </c>
      <c r="D49" s="67"/>
      <c r="E49" s="67"/>
      <c r="F49" s="67"/>
      <c r="G49" s="67"/>
      <c r="H49" s="67">
        <f>102+68+102+204+85+90</f>
        <v>651</v>
      </c>
      <c r="I49" s="67"/>
      <c r="J49" s="67"/>
      <c r="K49" s="67"/>
      <c r="L49" s="11"/>
      <c r="M49" s="74"/>
      <c r="N49" s="74"/>
      <c r="O49" s="92"/>
      <c r="P49" s="91"/>
      <c r="Q49" s="67"/>
      <c r="R49" s="67"/>
      <c r="S49" s="67"/>
      <c r="T49" s="67"/>
      <c r="U49" s="67"/>
      <c r="V49" s="67"/>
      <c r="W49" s="67"/>
      <c r="X49" s="67"/>
    </row>
    <row r="50" spans="2:24" x14ac:dyDescent="0.25">
      <c r="B50" s="9"/>
      <c r="C50" s="10"/>
      <c r="D50" s="67">
        <v>0</v>
      </c>
      <c r="E50" s="67"/>
      <c r="F50" s="67"/>
      <c r="G50" s="67"/>
      <c r="H50" s="67"/>
      <c r="I50" s="67"/>
      <c r="J50" s="67"/>
      <c r="K50" s="67"/>
      <c r="L50" s="11"/>
      <c r="M50" s="74"/>
      <c r="N50" s="74"/>
      <c r="O50" s="92"/>
      <c r="P50" s="91"/>
      <c r="Q50" s="67"/>
      <c r="R50" s="67"/>
      <c r="S50" s="67"/>
      <c r="T50" s="67"/>
      <c r="U50" s="67"/>
      <c r="V50" s="67"/>
      <c r="W50" s="67"/>
      <c r="X50" s="67"/>
    </row>
    <row r="51" spans="2:24" ht="15.75" thickBot="1" x14ac:dyDescent="0.3">
      <c r="B51" s="9"/>
      <c r="C51" s="34"/>
      <c r="D51" s="73">
        <v>0</v>
      </c>
      <c r="E51" s="73"/>
      <c r="F51" s="73"/>
      <c r="G51" s="73"/>
      <c r="H51" s="73"/>
      <c r="I51" s="73"/>
      <c r="J51" s="73"/>
      <c r="K51" s="73"/>
      <c r="L51" s="20"/>
      <c r="M51" s="74"/>
      <c r="N51" s="74"/>
      <c r="O51" s="46"/>
      <c r="P51" s="51"/>
      <c r="Q51" s="73">
        <v>0</v>
      </c>
      <c r="R51" s="73"/>
      <c r="S51" s="73"/>
      <c r="T51" s="73"/>
      <c r="U51" s="73"/>
      <c r="V51" s="73"/>
      <c r="W51" s="73"/>
      <c r="X51" s="73"/>
    </row>
    <row r="52" spans="2:24" ht="24" thickBot="1" x14ac:dyDescent="0.3">
      <c r="C52" s="35" t="s">
        <v>18</v>
      </c>
      <c r="D52" s="30">
        <f t="shared" ref="D52:L52" si="17">SUM(D38:D51)</f>
        <v>469</v>
      </c>
      <c r="E52" s="31">
        <f t="shared" si="17"/>
        <v>188</v>
      </c>
      <c r="F52" s="31">
        <f t="shared" si="17"/>
        <v>2259</v>
      </c>
      <c r="G52" s="31">
        <f t="shared" si="17"/>
        <v>0</v>
      </c>
      <c r="H52" s="31">
        <f t="shared" si="17"/>
        <v>1881</v>
      </c>
      <c r="I52" s="31">
        <f t="shared" si="17"/>
        <v>829</v>
      </c>
      <c r="J52" s="22">
        <f t="shared" si="17"/>
        <v>1340.5</v>
      </c>
      <c r="K52" s="32">
        <f t="shared" si="17"/>
        <v>6236</v>
      </c>
      <c r="L52" s="100">
        <f t="shared" si="17"/>
        <v>500</v>
      </c>
      <c r="M52" s="75"/>
      <c r="N52" s="74"/>
      <c r="P52" s="33" t="s">
        <v>18</v>
      </c>
      <c r="Q52" s="21">
        <f t="shared" ref="Q52:X52" si="18">SUM(Q38:Q51)</f>
        <v>1055</v>
      </c>
      <c r="R52" s="21">
        <f t="shared" si="18"/>
        <v>1176</v>
      </c>
      <c r="S52" s="21">
        <f t="shared" si="18"/>
        <v>3027</v>
      </c>
      <c r="T52" s="21">
        <f t="shared" si="18"/>
        <v>40</v>
      </c>
      <c r="U52" s="21">
        <f t="shared" si="18"/>
        <v>400</v>
      </c>
      <c r="V52" s="21">
        <f t="shared" si="18"/>
        <v>5602</v>
      </c>
      <c r="W52" s="21">
        <f t="shared" si="18"/>
        <v>1880</v>
      </c>
      <c r="X52" s="21">
        <f t="shared" si="18"/>
        <v>6403</v>
      </c>
    </row>
    <row r="53" spans="2:24" ht="15.75" thickBot="1" x14ac:dyDescent="0.3">
      <c r="D53" s="5"/>
      <c r="E53" s="5"/>
      <c r="F53" s="5"/>
      <c r="G53" s="5"/>
      <c r="H53" s="5"/>
      <c r="I53" s="5"/>
      <c r="J53" s="5"/>
      <c r="K53" s="5"/>
      <c r="L53" s="78"/>
      <c r="M53" s="76"/>
      <c r="N53" s="74"/>
      <c r="Q53" s="5"/>
      <c r="R53" s="5"/>
      <c r="S53" s="5"/>
      <c r="T53" s="5"/>
      <c r="U53" s="5"/>
      <c r="V53" s="5"/>
      <c r="W53" s="5"/>
      <c r="X53" s="5"/>
    </row>
    <row r="54" spans="2:24" ht="21.75" thickBot="1" x14ac:dyDescent="0.4">
      <c r="D54" s="5"/>
      <c r="E54" s="5"/>
      <c r="F54" s="241">
        <f>K52+J52+I52+H52+G52+F52+E52+D52+L52</f>
        <v>13702.5</v>
      </c>
      <c r="G54" s="242"/>
      <c r="H54" s="243"/>
      <c r="I54" s="5"/>
      <c r="J54" s="5"/>
      <c r="K54" s="5"/>
      <c r="L54" s="78"/>
      <c r="M54" s="76"/>
      <c r="N54" s="74"/>
      <c r="Q54" s="5"/>
      <c r="R54" s="5"/>
      <c r="S54" s="244">
        <f>Q52+R52+S52+T52+U52+V52+W52+X52</f>
        <v>19583</v>
      </c>
      <c r="T54" s="245"/>
      <c r="U54" s="246"/>
      <c r="V54" s="5">
        <v>19583</v>
      </c>
      <c r="W54" s="5"/>
      <c r="X54" s="5"/>
    </row>
    <row r="55" spans="2:24" x14ac:dyDescent="0.25">
      <c r="D55" s="5"/>
      <c r="E55" s="5"/>
      <c r="F55" s="5"/>
      <c r="G55" s="5"/>
      <c r="H55" s="5"/>
      <c r="J55" s="5"/>
      <c r="K55" s="5"/>
      <c r="L55" s="78"/>
      <c r="M55" s="76"/>
      <c r="N55" s="74"/>
      <c r="Q55" s="5"/>
      <c r="R55" s="5"/>
      <c r="S55" s="5"/>
      <c r="T55" s="5"/>
      <c r="U55" s="5"/>
      <c r="V55" s="5"/>
      <c r="W55" s="5"/>
      <c r="X55" s="5"/>
    </row>
    <row r="56" spans="2:24" x14ac:dyDescent="0.25">
      <c r="D56" s="5"/>
      <c r="E56" s="5"/>
      <c r="F56" s="5"/>
      <c r="G56" s="5"/>
      <c r="H56" s="5"/>
      <c r="I56" s="5"/>
      <c r="J56" s="5"/>
      <c r="K56" s="5"/>
      <c r="L56" s="78"/>
      <c r="M56" s="76"/>
      <c r="N56" s="74"/>
    </row>
    <row r="57" spans="2:24" ht="15.75" thickBot="1" x14ac:dyDescent="0.3">
      <c r="D57" s="5"/>
      <c r="E57" s="5"/>
      <c r="F57" s="5"/>
      <c r="G57" s="5"/>
      <c r="H57" s="5"/>
      <c r="I57" s="5"/>
      <c r="J57" s="5"/>
      <c r="K57" s="5"/>
      <c r="L57" s="78"/>
      <c r="M57" s="79"/>
      <c r="N57" s="74"/>
    </row>
    <row r="67" spans="2:24" ht="15.75" thickBot="1" x14ac:dyDescent="0.3"/>
    <row r="68" spans="2:24" ht="22.5" thickTop="1" thickBot="1" x14ac:dyDescent="0.4">
      <c r="C68" s="234" t="s">
        <v>36</v>
      </c>
      <c r="D68" s="235"/>
      <c r="E68" s="235"/>
      <c r="F68" s="235"/>
      <c r="G68" s="235"/>
      <c r="H68" s="235"/>
      <c r="I68" s="235"/>
      <c r="J68" s="235"/>
      <c r="K68" s="235"/>
      <c r="L68" s="84" t="s">
        <v>42</v>
      </c>
      <c r="M68" s="83"/>
      <c r="N68" s="81"/>
      <c r="O68" s="247" t="s">
        <v>19</v>
      </c>
      <c r="P68" s="248"/>
      <c r="Q68" s="248"/>
      <c r="R68" s="248"/>
      <c r="S68" s="248"/>
      <c r="T68" s="248"/>
      <c r="U68" s="248"/>
      <c r="V68" s="248"/>
      <c r="W68" s="248"/>
      <c r="X68" s="85" t="s">
        <v>42</v>
      </c>
    </row>
    <row r="69" spans="2:24" ht="16.5" thickBot="1" x14ac:dyDescent="0.3">
      <c r="I69" s="238" t="s">
        <v>67</v>
      </c>
      <c r="J69" s="239"/>
      <c r="K69" s="240"/>
      <c r="L69" s="68"/>
      <c r="M69" s="59"/>
      <c r="N69" s="74"/>
      <c r="W69" s="239"/>
      <c r="X69" s="240"/>
    </row>
    <row r="70" spans="2:24" ht="64.5" thickTop="1" thickBot="1" x14ac:dyDescent="0.3">
      <c r="B70" s="6" t="s">
        <v>0</v>
      </c>
      <c r="C70" s="24" t="s">
        <v>1</v>
      </c>
      <c r="D70" s="25" t="s">
        <v>2</v>
      </c>
      <c r="E70" s="26" t="s">
        <v>7</v>
      </c>
      <c r="F70" s="56" t="s">
        <v>38</v>
      </c>
      <c r="G70" s="25" t="s">
        <v>3</v>
      </c>
      <c r="H70" s="27" t="s">
        <v>22</v>
      </c>
      <c r="I70" s="60" t="s">
        <v>4</v>
      </c>
      <c r="J70" s="61" t="s">
        <v>8</v>
      </c>
      <c r="K70" s="62" t="s">
        <v>5</v>
      </c>
      <c r="L70" s="99" t="s">
        <v>46</v>
      </c>
      <c r="M70" s="38"/>
      <c r="N70" s="82"/>
      <c r="O70" s="36" t="s">
        <v>0</v>
      </c>
      <c r="P70" s="18" t="s">
        <v>1</v>
      </c>
      <c r="Q70" s="64" t="s">
        <v>2</v>
      </c>
      <c r="R70" s="19" t="s">
        <v>16</v>
      </c>
      <c r="S70" s="54" t="s">
        <v>38</v>
      </c>
      <c r="T70" s="14" t="s">
        <v>3</v>
      </c>
      <c r="U70" s="14" t="s">
        <v>4</v>
      </c>
      <c r="V70" s="55" t="s">
        <v>25</v>
      </c>
      <c r="W70" s="57" t="s">
        <v>8</v>
      </c>
      <c r="X70" s="58" t="s">
        <v>5</v>
      </c>
    </row>
    <row r="71" spans="2:24" ht="37.5" thickBot="1" x14ac:dyDescent="0.3">
      <c r="B71" s="93" t="s">
        <v>43</v>
      </c>
      <c r="C71" s="41" t="s">
        <v>6</v>
      </c>
      <c r="D71" s="72">
        <f>170</f>
        <v>170</v>
      </c>
      <c r="E71" s="72"/>
      <c r="F71" s="72"/>
      <c r="G71" s="72"/>
      <c r="H71" s="72"/>
      <c r="I71" s="72"/>
      <c r="J71" s="72"/>
      <c r="K71" s="72"/>
      <c r="L71" s="70"/>
      <c r="M71" s="74"/>
      <c r="N71" s="74"/>
      <c r="O71" s="97" t="s">
        <v>43</v>
      </c>
      <c r="P71" s="86" t="s">
        <v>63</v>
      </c>
      <c r="Q71" s="72"/>
      <c r="R71" s="72"/>
      <c r="S71" s="72"/>
      <c r="T71" s="72"/>
      <c r="U71" s="72"/>
      <c r="V71" s="72"/>
      <c r="W71" s="72"/>
      <c r="X71" s="72">
        <f>725+922+1369+794+1333</f>
        <v>5143</v>
      </c>
    </row>
    <row r="72" spans="2:24" ht="61.5" thickBot="1" x14ac:dyDescent="0.3">
      <c r="B72" s="93" t="s">
        <v>43</v>
      </c>
      <c r="C72" s="44" t="s">
        <v>59</v>
      </c>
      <c r="D72" s="67"/>
      <c r="E72" s="67"/>
      <c r="F72" s="67"/>
      <c r="G72" s="67"/>
      <c r="H72" s="67"/>
      <c r="I72" s="67"/>
      <c r="J72" s="67"/>
      <c r="K72" s="67">
        <f>636+788+1081+941+1337</f>
        <v>4783</v>
      </c>
      <c r="L72" s="67"/>
      <c r="M72" s="74"/>
      <c r="N72" s="74"/>
      <c r="O72" s="97" t="s">
        <v>43</v>
      </c>
      <c r="P72" s="89" t="s">
        <v>64</v>
      </c>
      <c r="Q72" s="72"/>
      <c r="R72" s="72"/>
      <c r="S72" s="72"/>
      <c r="T72" s="72"/>
      <c r="U72" s="72"/>
      <c r="V72" s="72"/>
      <c r="W72" s="72">
        <f>1900+239+144+218+805+355+251.5+250+287</f>
        <v>4449.5</v>
      </c>
      <c r="X72" s="67"/>
    </row>
    <row r="73" spans="2:24" ht="30.75" thickBot="1" x14ac:dyDescent="0.3">
      <c r="B73" s="93" t="s">
        <v>43</v>
      </c>
      <c r="C73" s="43" t="s">
        <v>56</v>
      </c>
      <c r="D73" s="67"/>
      <c r="E73" s="67"/>
      <c r="F73" s="67"/>
      <c r="G73" s="67"/>
      <c r="H73" s="67">
        <f>51+68+68+140+84+90+68</f>
        <v>569</v>
      </c>
      <c r="I73" s="67"/>
      <c r="J73" s="67"/>
      <c r="K73" s="67"/>
      <c r="L73" s="11"/>
      <c r="M73" s="74"/>
      <c r="N73" s="74"/>
      <c r="O73" s="97" t="s">
        <v>43</v>
      </c>
      <c r="P73" s="87" t="s">
        <v>48</v>
      </c>
      <c r="Q73" s="72">
        <f>117+540+250</f>
        <v>907</v>
      </c>
      <c r="R73" s="72"/>
      <c r="S73" s="72"/>
      <c r="T73" s="72"/>
      <c r="U73" s="72"/>
      <c r="V73" s="72"/>
      <c r="W73" s="72"/>
      <c r="X73" s="67"/>
    </row>
    <row r="74" spans="2:24" ht="26.25" thickBot="1" x14ac:dyDescent="0.3">
      <c r="B74" s="93" t="s">
        <v>43</v>
      </c>
      <c r="C74" s="96" t="s">
        <v>45</v>
      </c>
      <c r="D74" s="67"/>
      <c r="E74" s="67">
        <v>369</v>
      </c>
      <c r="F74" s="67"/>
      <c r="G74" s="67"/>
      <c r="H74" s="67"/>
      <c r="I74" s="67">
        <f>403</f>
        <v>403</v>
      </c>
      <c r="J74" s="67"/>
      <c r="K74" s="67"/>
      <c r="L74" s="11"/>
      <c r="M74" s="74"/>
      <c r="N74" s="74"/>
      <c r="O74" s="97" t="s">
        <v>43</v>
      </c>
      <c r="P74" s="88" t="s">
        <v>12</v>
      </c>
      <c r="Q74" s="72"/>
      <c r="R74" s="72"/>
      <c r="S74" s="72"/>
      <c r="T74" s="72"/>
      <c r="U74" s="72">
        <v>403</v>
      </c>
      <c r="V74" s="72"/>
      <c r="W74" s="72"/>
      <c r="X74" s="67"/>
    </row>
    <row r="75" spans="2:24" ht="25.5" thickBot="1" x14ac:dyDescent="0.3">
      <c r="B75" s="93" t="s">
        <v>43</v>
      </c>
      <c r="C75" s="43" t="s">
        <v>27</v>
      </c>
      <c r="D75" s="67"/>
      <c r="E75" s="67"/>
      <c r="F75" s="67"/>
      <c r="G75" s="67"/>
      <c r="H75" s="67"/>
      <c r="I75" s="67"/>
      <c r="J75" s="67"/>
      <c r="K75" s="67"/>
      <c r="L75" s="11"/>
      <c r="M75" s="74"/>
      <c r="N75" s="74"/>
      <c r="O75" s="97" t="s">
        <v>43</v>
      </c>
      <c r="P75" s="89" t="s">
        <v>62</v>
      </c>
      <c r="Q75" s="72"/>
      <c r="R75" s="72">
        <f>38+42+9</f>
        <v>89</v>
      </c>
      <c r="S75" s="72"/>
      <c r="T75" s="72"/>
      <c r="U75" s="72"/>
      <c r="V75" s="72"/>
      <c r="W75" s="72"/>
      <c r="X75" s="67"/>
    </row>
    <row r="76" spans="2:24" ht="36.75" thickBot="1" x14ac:dyDescent="0.3">
      <c r="B76" s="93" t="s">
        <v>43</v>
      </c>
      <c r="C76" s="44" t="s">
        <v>31</v>
      </c>
      <c r="D76" s="67"/>
      <c r="E76" s="67"/>
      <c r="F76" s="67"/>
      <c r="G76" s="67"/>
      <c r="H76" s="67"/>
      <c r="I76" s="67"/>
      <c r="J76" s="67"/>
      <c r="K76" s="67"/>
      <c r="L76" s="11"/>
      <c r="M76" s="74"/>
      <c r="N76" s="74"/>
      <c r="O76" s="97" t="s">
        <v>43</v>
      </c>
      <c r="P76" s="89" t="s">
        <v>47</v>
      </c>
      <c r="Q76" s="72"/>
      <c r="R76" s="72"/>
      <c r="S76" s="72"/>
      <c r="T76" s="72">
        <v>58</v>
      </c>
      <c r="U76" s="72"/>
      <c r="V76" s="72"/>
      <c r="W76" s="72"/>
      <c r="X76" s="67"/>
    </row>
    <row r="77" spans="2:24" ht="49.5" thickBot="1" x14ac:dyDescent="0.3">
      <c r="B77" s="93" t="s">
        <v>43</v>
      </c>
      <c r="C77" s="44" t="s">
        <v>58</v>
      </c>
      <c r="D77" s="67"/>
      <c r="E77" s="67"/>
      <c r="F77" s="67"/>
      <c r="G77" s="67"/>
      <c r="H77" s="67"/>
      <c r="I77" s="67"/>
      <c r="J77" s="94">
        <f>1511+444+20+287+262.5</f>
        <v>2524.5</v>
      </c>
      <c r="K77" s="67"/>
      <c r="L77" s="11"/>
      <c r="M77" s="74"/>
      <c r="N77" s="74"/>
      <c r="O77" s="97" t="s">
        <v>43</v>
      </c>
      <c r="P77" s="89" t="s">
        <v>65</v>
      </c>
      <c r="Q77" s="72"/>
      <c r="R77" s="72"/>
      <c r="S77" s="72">
        <f>50+45+14+2300+35</f>
        <v>2444</v>
      </c>
      <c r="T77" s="72"/>
      <c r="U77" s="72"/>
      <c r="V77" s="72"/>
      <c r="W77" s="72"/>
      <c r="X77" s="67"/>
    </row>
    <row r="78" spans="2:24" ht="27" thickBot="1" x14ac:dyDescent="0.3">
      <c r="B78" s="93" t="s">
        <v>43</v>
      </c>
      <c r="C78" s="42" t="s">
        <v>44</v>
      </c>
      <c r="D78" s="67"/>
      <c r="E78" s="67"/>
      <c r="F78" s="67"/>
      <c r="G78" s="67"/>
      <c r="H78" s="67"/>
      <c r="I78" s="67"/>
      <c r="J78" s="67">
        <f>127</f>
        <v>127</v>
      </c>
      <c r="K78" s="67"/>
      <c r="L78" s="11"/>
      <c r="M78" s="74"/>
      <c r="N78" s="74"/>
      <c r="O78" s="97" t="s">
        <v>43</v>
      </c>
      <c r="P78" s="90" t="s">
        <v>15</v>
      </c>
      <c r="Q78" s="72"/>
      <c r="R78" s="72"/>
      <c r="S78" s="72"/>
      <c r="T78" s="72"/>
      <c r="U78" s="72"/>
      <c r="V78" s="72"/>
      <c r="W78" s="72"/>
      <c r="X78" s="67"/>
    </row>
    <row r="79" spans="2:24" ht="48.75" thickBot="1" x14ac:dyDescent="0.3">
      <c r="B79" s="93" t="s">
        <v>43</v>
      </c>
      <c r="C79" s="44" t="s">
        <v>57</v>
      </c>
      <c r="D79" s="67"/>
      <c r="E79" s="67"/>
      <c r="F79" s="67">
        <f>40+70+2070+30+54</f>
        <v>2264</v>
      </c>
      <c r="G79" s="67"/>
      <c r="H79" s="67"/>
      <c r="I79" s="67"/>
      <c r="J79" s="67"/>
      <c r="K79" s="67"/>
      <c r="L79" s="11"/>
      <c r="M79" s="74"/>
      <c r="N79" s="74"/>
      <c r="O79" s="97" t="s">
        <v>43</v>
      </c>
      <c r="P79" s="98" t="s">
        <v>49</v>
      </c>
      <c r="Q79" s="72"/>
      <c r="R79" s="72"/>
      <c r="S79" s="72"/>
      <c r="T79" s="72"/>
      <c r="U79" s="72"/>
      <c r="V79" s="72">
        <f>700+700+710+2258+140</f>
        <v>4508</v>
      </c>
      <c r="W79" s="72"/>
      <c r="X79" s="67"/>
    </row>
    <row r="80" spans="2:24" ht="24.75" thickBot="1" x14ac:dyDescent="0.3">
      <c r="B80" s="93" t="s">
        <v>43</v>
      </c>
      <c r="C80" s="42" t="s">
        <v>11</v>
      </c>
      <c r="D80" s="67"/>
      <c r="E80" s="67"/>
      <c r="F80" s="67"/>
      <c r="G80" s="67"/>
      <c r="H80" s="67">
        <f>380+380+470</f>
        <v>1230</v>
      </c>
      <c r="I80" s="67"/>
      <c r="J80" s="67"/>
      <c r="K80" s="67"/>
      <c r="L80" s="11"/>
      <c r="M80" s="74"/>
      <c r="N80" s="74"/>
      <c r="O80" s="97" t="s">
        <v>43</v>
      </c>
      <c r="P80" s="88" t="s">
        <v>34</v>
      </c>
      <c r="Q80" s="72"/>
      <c r="R80" s="72"/>
      <c r="S80" s="72"/>
      <c r="T80" s="72"/>
      <c r="U80" s="72"/>
      <c r="V80" s="72">
        <f>68+170+170+170+280+221</f>
        <v>1079</v>
      </c>
      <c r="W80" s="72"/>
      <c r="X80" s="67"/>
    </row>
    <row r="81" spans="2:24" ht="24" x14ac:dyDescent="0.25">
      <c r="B81" s="93" t="s">
        <v>43</v>
      </c>
      <c r="C81" s="95" t="s">
        <v>46</v>
      </c>
      <c r="D81" s="67"/>
      <c r="E81" s="67"/>
      <c r="F81" s="67"/>
      <c r="G81" s="67"/>
      <c r="H81" s="67"/>
      <c r="I81" s="67"/>
      <c r="J81" s="67"/>
      <c r="K81" s="67"/>
      <c r="L81" s="11">
        <f>765+243</f>
        <v>1008</v>
      </c>
      <c r="M81" s="74"/>
      <c r="N81" s="74"/>
      <c r="O81" s="97" t="s">
        <v>43</v>
      </c>
      <c r="P81" s="88"/>
      <c r="Q81" s="72"/>
      <c r="R81" s="72"/>
      <c r="S81" s="72"/>
      <c r="T81" s="72"/>
      <c r="U81" s="72"/>
      <c r="V81" s="72"/>
      <c r="W81" s="72"/>
      <c r="X81" s="67"/>
    </row>
    <row r="82" spans="2:24" x14ac:dyDescent="0.25">
      <c r="B82" s="9"/>
      <c r="C82" s="10"/>
      <c r="D82" s="67"/>
      <c r="E82" s="67"/>
      <c r="F82" s="67"/>
      <c r="G82" s="67"/>
      <c r="H82" s="67"/>
      <c r="I82" s="67"/>
      <c r="J82" s="67"/>
      <c r="K82" s="67"/>
      <c r="L82" s="11"/>
      <c r="M82" s="74"/>
      <c r="N82" s="74"/>
      <c r="O82" s="92"/>
      <c r="P82" s="91"/>
      <c r="Q82" s="67"/>
      <c r="R82" s="67"/>
      <c r="S82" s="67"/>
      <c r="T82" s="67"/>
      <c r="U82" s="67"/>
      <c r="V82" s="67"/>
      <c r="W82" s="67"/>
      <c r="X82" s="67"/>
    </row>
    <row r="83" spans="2:24" x14ac:dyDescent="0.25">
      <c r="B83" s="9"/>
      <c r="C83" s="10"/>
      <c r="D83" s="67">
        <v>0</v>
      </c>
      <c r="E83" s="67"/>
      <c r="F83" s="67"/>
      <c r="G83" s="67"/>
      <c r="H83" s="67"/>
      <c r="I83" s="67"/>
      <c r="J83" s="67"/>
      <c r="K83" s="67"/>
      <c r="L83" s="11"/>
      <c r="M83" s="74"/>
      <c r="N83" s="74"/>
      <c r="O83" s="92"/>
      <c r="P83" s="91"/>
      <c r="Q83" s="67"/>
      <c r="R83" s="67"/>
      <c r="S83" s="67"/>
      <c r="T83" s="67"/>
      <c r="U83" s="67"/>
      <c r="V83" s="67"/>
      <c r="W83" s="67"/>
      <c r="X83" s="67"/>
    </row>
    <row r="84" spans="2:24" ht="15.75" thickBot="1" x14ac:dyDescent="0.3">
      <c r="B84" s="9"/>
      <c r="C84" s="34"/>
      <c r="D84" s="73">
        <v>0</v>
      </c>
      <c r="E84" s="73"/>
      <c r="F84" s="73"/>
      <c r="G84" s="73"/>
      <c r="H84" s="73"/>
      <c r="I84" s="73"/>
      <c r="J84" s="73"/>
      <c r="K84" s="73"/>
      <c r="L84" s="20"/>
      <c r="M84" s="74"/>
      <c r="N84" s="74"/>
      <c r="O84" s="46"/>
      <c r="P84" s="51"/>
      <c r="Q84" s="73">
        <v>0</v>
      </c>
      <c r="R84" s="73"/>
      <c r="S84" s="73"/>
      <c r="T84" s="73"/>
      <c r="U84" s="73"/>
      <c r="V84" s="73"/>
      <c r="W84" s="73"/>
      <c r="X84" s="73"/>
    </row>
    <row r="85" spans="2:24" ht="24" thickBot="1" x14ac:dyDescent="0.3">
      <c r="C85" s="35" t="s">
        <v>18</v>
      </c>
      <c r="D85" s="30">
        <f t="shared" ref="D85:L85" si="19">SUM(D71:D84)</f>
        <v>170</v>
      </c>
      <c r="E85" s="31">
        <f t="shared" si="19"/>
        <v>369</v>
      </c>
      <c r="F85" s="31">
        <f t="shared" si="19"/>
        <v>2264</v>
      </c>
      <c r="G85" s="31">
        <f t="shared" si="19"/>
        <v>0</v>
      </c>
      <c r="H85" s="31">
        <f t="shared" si="19"/>
        <v>1799</v>
      </c>
      <c r="I85" s="31">
        <f t="shared" si="19"/>
        <v>403</v>
      </c>
      <c r="J85" s="22">
        <f t="shared" si="19"/>
        <v>2651.5</v>
      </c>
      <c r="K85" s="32">
        <f t="shared" si="19"/>
        <v>4783</v>
      </c>
      <c r="L85" s="100">
        <f t="shared" si="19"/>
        <v>1008</v>
      </c>
      <c r="M85" s="75"/>
      <c r="N85" s="74"/>
      <c r="P85" s="33" t="s">
        <v>18</v>
      </c>
      <c r="Q85" s="21">
        <f t="shared" ref="Q85:X85" si="20">SUM(Q71:Q84)</f>
        <v>907</v>
      </c>
      <c r="R85" s="22">
        <f t="shared" si="20"/>
        <v>89</v>
      </c>
      <c r="S85" s="22">
        <f t="shared" si="20"/>
        <v>2444</v>
      </c>
      <c r="T85" s="22">
        <f t="shared" si="20"/>
        <v>58</v>
      </c>
      <c r="U85" s="22">
        <f t="shared" si="20"/>
        <v>403</v>
      </c>
      <c r="V85" s="22">
        <f t="shared" si="20"/>
        <v>5587</v>
      </c>
      <c r="W85" s="22">
        <f t="shared" si="20"/>
        <v>4449.5</v>
      </c>
      <c r="X85" s="23">
        <f t="shared" si="20"/>
        <v>5143</v>
      </c>
    </row>
    <row r="86" spans="2:24" ht="15.75" thickBot="1" x14ac:dyDescent="0.3">
      <c r="D86" s="5"/>
      <c r="E86" s="5"/>
      <c r="F86" s="5"/>
      <c r="G86" s="5"/>
      <c r="H86" s="5"/>
      <c r="I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ht="21.75" thickBot="1" x14ac:dyDescent="0.4">
      <c r="D87" s="5"/>
      <c r="E87" s="5"/>
      <c r="F87" s="241">
        <f>K85+J85+I85+H85+G85+F85+E85+D85+L85</f>
        <v>13447.5</v>
      </c>
      <c r="G87" s="242"/>
      <c r="H87" s="243"/>
      <c r="I87" s="5"/>
      <c r="J87" s="5">
        <v>13447.5</v>
      </c>
      <c r="K87" s="5"/>
      <c r="L87" s="78"/>
      <c r="M87" s="76"/>
      <c r="N87" s="74"/>
      <c r="Q87" s="5"/>
      <c r="R87" s="5"/>
      <c r="S87" s="244">
        <f>Q85+R85+S85+T85+U85+V85+W85+X85</f>
        <v>19080.5</v>
      </c>
      <c r="T87" s="245"/>
      <c r="U87" s="246"/>
      <c r="V87" s="5">
        <v>19080.5</v>
      </c>
      <c r="W87" s="5"/>
      <c r="X87" s="5"/>
    </row>
    <row r="88" spans="2:24" x14ac:dyDescent="0.25">
      <c r="D88" s="5"/>
      <c r="E88" s="5"/>
      <c r="F88" s="5"/>
      <c r="G88" s="5"/>
      <c r="H88" s="5"/>
      <c r="J88" s="5"/>
      <c r="K88" s="5"/>
      <c r="L88" s="78"/>
      <c r="M88" s="76"/>
      <c r="N88" s="74"/>
      <c r="Q88" s="5"/>
      <c r="R88" s="5"/>
      <c r="S88" s="5"/>
      <c r="T88" s="5"/>
      <c r="U88" s="5"/>
      <c r="V88" s="5"/>
      <c r="W88" s="5"/>
      <c r="X88" s="5"/>
    </row>
    <row r="89" spans="2:24" x14ac:dyDescent="0.25">
      <c r="D89" s="5"/>
      <c r="E89" s="5"/>
      <c r="F89" s="5"/>
      <c r="G89" s="5"/>
      <c r="H89" s="5"/>
      <c r="I89" s="5"/>
      <c r="J89" s="5"/>
      <c r="K89" s="5"/>
      <c r="L89" s="78"/>
      <c r="M89" s="76"/>
      <c r="N89" s="74"/>
      <c r="Q89" s="5"/>
      <c r="R89" s="5"/>
      <c r="S89" s="5"/>
      <c r="T89" s="5"/>
      <c r="U89" s="5"/>
      <c r="V89" s="5"/>
      <c r="W89" s="5"/>
      <c r="X89" s="5"/>
    </row>
    <row r="90" spans="2:24" ht="15.75" thickBot="1" x14ac:dyDescent="0.3">
      <c r="D90" s="5"/>
      <c r="E90" s="5"/>
      <c r="F90" s="5"/>
      <c r="G90" s="5"/>
      <c r="H90" s="5"/>
      <c r="I90" s="5"/>
      <c r="J90" s="5"/>
      <c r="K90" s="5"/>
      <c r="L90" s="78"/>
      <c r="M90" s="79"/>
      <c r="N90" s="74"/>
      <c r="Q90" s="5"/>
      <c r="R90" s="5"/>
      <c r="S90" s="5"/>
      <c r="T90" s="5"/>
      <c r="U90" s="5"/>
      <c r="V90" s="5"/>
      <c r="W90" s="5"/>
      <c r="X90" s="5"/>
    </row>
    <row r="91" spans="2:24" x14ac:dyDescent="0.25">
      <c r="L91" s="80"/>
      <c r="M91" s="80"/>
    </row>
    <row r="92" spans="2:24" x14ac:dyDescent="0.25">
      <c r="L92" s="80"/>
      <c r="M92" s="80"/>
    </row>
    <row r="93" spans="2:24" ht="15.75" thickBot="1" x14ac:dyDescent="0.3"/>
    <row r="94" spans="2:24" ht="22.5" thickTop="1" thickBot="1" x14ac:dyDescent="0.4">
      <c r="C94" s="234" t="s">
        <v>36</v>
      </c>
      <c r="D94" s="235"/>
      <c r="E94" s="235"/>
      <c r="F94" s="235"/>
      <c r="G94" s="235"/>
      <c r="H94" s="235"/>
      <c r="I94" s="235"/>
      <c r="J94" s="235"/>
      <c r="K94" s="235"/>
      <c r="L94" s="84" t="s">
        <v>41</v>
      </c>
      <c r="M94" s="83"/>
      <c r="N94" s="81"/>
      <c r="O94" s="247" t="s">
        <v>19</v>
      </c>
      <c r="P94" s="248"/>
      <c r="Q94" s="248"/>
      <c r="R94" s="248"/>
      <c r="S94" s="248"/>
      <c r="T94" s="248"/>
      <c r="U94" s="248"/>
      <c r="V94" s="248"/>
      <c r="W94" s="248"/>
      <c r="X94" s="85" t="s">
        <v>41</v>
      </c>
    </row>
    <row r="95" spans="2:24" ht="16.5" thickBot="1" x14ac:dyDescent="0.3">
      <c r="I95" s="238" t="s">
        <v>37</v>
      </c>
      <c r="J95" s="239"/>
      <c r="K95" s="240"/>
      <c r="L95" s="68"/>
      <c r="M95" s="59"/>
      <c r="N95" s="74"/>
      <c r="W95" s="239"/>
      <c r="X95" s="240"/>
    </row>
    <row r="96" spans="2:24" s="2" customFormat="1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60" t="s">
        <v>4</v>
      </c>
      <c r="J96" s="61" t="s">
        <v>8</v>
      </c>
      <c r="K96" s="62" t="s">
        <v>5</v>
      </c>
      <c r="L96" s="69"/>
      <c r="M96" s="38"/>
      <c r="N96" s="82"/>
      <c r="O96" s="36" t="s">
        <v>0</v>
      </c>
      <c r="P96" s="18" t="s">
        <v>1</v>
      </c>
      <c r="Q96" s="64" t="s">
        <v>2</v>
      </c>
      <c r="R96" s="19" t="s">
        <v>16</v>
      </c>
      <c r="S96" s="54" t="s">
        <v>38</v>
      </c>
      <c r="T96" s="14" t="s">
        <v>3</v>
      </c>
      <c r="U96" s="14" t="s">
        <v>4</v>
      </c>
      <c r="V96" s="55" t="s">
        <v>25</v>
      </c>
      <c r="W96" s="57" t="s">
        <v>8</v>
      </c>
      <c r="X96" s="58" t="s">
        <v>5</v>
      </c>
    </row>
    <row r="97" spans="2:26" ht="48.75" x14ac:dyDescent="0.25">
      <c r="B97" s="40" t="s">
        <v>20</v>
      </c>
      <c r="C97" s="41" t="s">
        <v>6</v>
      </c>
      <c r="D97" s="72">
        <v>160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/>
      <c r="K97" s="72">
        <v>0</v>
      </c>
      <c r="L97" s="70"/>
      <c r="M97" s="74"/>
      <c r="N97" s="74"/>
      <c r="O97" s="52" t="s">
        <v>20</v>
      </c>
      <c r="P97" s="53" t="s">
        <v>35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f>109+1973+1400+1641+70+756+830</f>
        <v>6779</v>
      </c>
      <c r="Y97" s="65"/>
      <c r="Z97" s="65"/>
    </row>
    <row r="98" spans="2:26" ht="45.75" customHeight="1" x14ac:dyDescent="0.25">
      <c r="B98" s="40" t="s">
        <v>20</v>
      </c>
      <c r="C98" s="44" t="s">
        <v>29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/>
      <c r="K98" s="67">
        <f>542+680+1493+1388+806+1177</f>
        <v>6086</v>
      </c>
      <c r="L98" s="71"/>
      <c r="M98" s="74"/>
      <c r="N98" s="74"/>
      <c r="O98" s="52" t="s">
        <v>20</v>
      </c>
      <c r="P98" s="47" t="s">
        <v>23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f>127+896+100</f>
        <v>1123</v>
      </c>
      <c r="X98" s="67">
        <v>0</v>
      </c>
    </row>
    <row r="99" spans="2:26" ht="38.25" customHeight="1" x14ac:dyDescent="0.25">
      <c r="B99" s="40" t="s">
        <v>20</v>
      </c>
      <c r="C99" s="43" t="s">
        <v>21</v>
      </c>
      <c r="D99" s="67">
        <v>0</v>
      </c>
      <c r="E99" s="67">
        <v>0</v>
      </c>
      <c r="F99" s="67">
        <v>0</v>
      </c>
      <c r="G99" s="67">
        <v>0</v>
      </c>
      <c r="H99" s="67">
        <f>78+66+102+68+102+51+51</f>
        <v>518</v>
      </c>
      <c r="I99" s="67">
        <v>0</v>
      </c>
      <c r="J99" s="67"/>
      <c r="K99" s="67">
        <v>0</v>
      </c>
      <c r="L99" s="70"/>
      <c r="M99" s="74"/>
      <c r="N99" s="74"/>
      <c r="O99" s="52" t="s">
        <v>20</v>
      </c>
      <c r="P99" s="50" t="s">
        <v>40</v>
      </c>
      <c r="Q99" s="72">
        <f>144+287+180</f>
        <v>611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67">
        <v>0</v>
      </c>
    </row>
    <row r="100" spans="2:26" ht="22.5" customHeight="1" x14ac:dyDescent="0.25">
      <c r="B100" s="40" t="s">
        <v>20</v>
      </c>
      <c r="C100" s="42" t="s">
        <v>10</v>
      </c>
      <c r="D100" s="67">
        <v>0</v>
      </c>
      <c r="E100" s="67">
        <v>123</v>
      </c>
      <c r="F100" s="67">
        <v>0</v>
      </c>
      <c r="G100" s="67">
        <v>0</v>
      </c>
      <c r="H100" s="67">
        <v>0</v>
      </c>
      <c r="I100" s="67">
        <f>391+81</f>
        <v>472</v>
      </c>
      <c r="J100" s="67"/>
      <c r="K100" s="67">
        <v>0</v>
      </c>
      <c r="L100" s="70"/>
      <c r="M100" s="74"/>
      <c r="N100" s="74"/>
      <c r="O100" s="52" t="s">
        <v>20</v>
      </c>
      <c r="P100" s="48" t="s">
        <v>12</v>
      </c>
      <c r="Q100" s="72">
        <v>0</v>
      </c>
      <c r="R100" s="72">
        <v>0</v>
      </c>
      <c r="S100" s="72">
        <v>0</v>
      </c>
      <c r="T100" s="72">
        <v>0</v>
      </c>
      <c r="U100" s="72">
        <v>779</v>
      </c>
      <c r="V100" s="72">
        <v>0</v>
      </c>
      <c r="W100" s="72">
        <v>0</v>
      </c>
      <c r="X100" s="67">
        <v>0</v>
      </c>
    </row>
    <row r="101" spans="2:26" ht="22.5" customHeight="1" x14ac:dyDescent="0.25">
      <c r="B101" s="40" t="s">
        <v>20</v>
      </c>
      <c r="C101" s="43" t="s">
        <v>27</v>
      </c>
      <c r="D101" s="67">
        <v>242</v>
      </c>
      <c r="E101" s="67">
        <v>0</v>
      </c>
      <c r="F101" s="67">
        <f>60</f>
        <v>60</v>
      </c>
      <c r="G101" s="67">
        <v>0</v>
      </c>
      <c r="H101" s="67">
        <v>0</v>
      </c>
      <c r="I101" s="67">
        <v>0</v>
      </c>
      <c r="J101" s="67"/>
      <c r="K101" s="67">
        <v>0</v>
      </c>
      <c r="L101" s="70"/>
      <c r="M101" s="74"/>
      <c r="N101" s="74"/>
      <c r="O101" s="52" t="s">
        <v>20</v>
      </c>
      <c r="P101" s="48" t="s">
        <v>13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f>327+60</f>
        <v>387</v>
      </c>
      <c r="X101" s="67">
        <v>0</v>
      </c>
    </row>
    <row r="102" spans="2:26" ht="36" x14ac:dyDescent="0.25">
      <c r="B102" s="40" t="s">
        <v>20</v>
      </c>
      <c r="C102" s="44" t="s">
        <v>31</v>
      </c>
      <c r="D102" s="67">
        <v>0</v>
      </c>
      <c r="E102" s="67">
        <v>0</v>
      </c>
      <c r="F102" s="67">
        <v>0</v>
      </c>
      <c r="G102" s="67">
        <f>40+45</f>
        <v>85</v>
      </c>
      <c r="H102" s="67">
        <v>0</v>
      </c>
      <c r="I102" s="67">
        <v>0</v>
      </c>
      <c r="J102" s="67"/>
      <c r="K102" s="67">
        <v>0</v>
      </c>
      <c r="L102" s="70"/>
      <c r="M102" s="74"/>
      <c r="N102" s="74"/>
      <c r="O102" s="52" t="s">
        <v>20</v>
      </c>
      <c r="P102" s="49" t="s">
        <v>33</v>
      </c>
      <c r="Q102" s="72">
        <v>0</v>
      </c>
      <c r="R102" s="72">
        <v>0</v>
      </c>
      <c r="S102" s="72">
        <v>0</v>
      </c>
      <c r="T102" s="72">
        <f>90+10+234</f>
        <v>334</v>
      </c>
      <c r="U102" s="72">
        <v>0</v>
      </c>
      <c r="V102" s="72">
        <v>0</v>
      </c>
      <c r="W102" s="72">
        <v>0</v>
      </c>
      <c r="X102" s="67">
        <v>0</v>
      </c>
    </row>
    <row r="103" spans="2:26" ht="36.75" x14ac:dyDescent="0.25">
      <c r="B103" s="40" t="s">
        <v>20</v>
      </c>
      <c r="C103" s="44" t="s">
        <v>28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f>1013+1701</f>
        <v>2714</v>
      </c>
      <c r="K103" s="67">
        <v>0</v>
      </c>
      <c r="L103" s="70"/>
      <c r="M103" s="74"/>
      <c r="N103" s="74"/>
      <c r="O103" s="52" t="s">
        <v>20</v>
      </c>
      <c r="P103" s="49" t="s">
        <v>39</v>
      </c>
      <c r="Q103" s="72">
        <v>0</v>
      </c>
      <c r="R103" s="72">
        <v>0</v>
      </c>
      <c r="S103" s="72">
        <f>2200+118+30+82+36+338</f>
        <v>2804</v>
      </c>
      <c r="T103" s="72">
        <v>0</v>
      </c>
      <c r="U103" s="72">
        <v>0</v>
      </c>
      <c r="V103" s="72">
        <v>0</v>
      </c>
      <c r="W103" s="72">
        <v>0</v>
      </c>
      <c r="X103" s="67">
        <v>0</v>
      </c>
    </row>
    <row r="104" spans="2:26" ht="32.25" customHeight="1" x14ac:dyDescent="0.25">
      <c r="B104" s="40" t="s">
        <v>20</v>
      </c>
      <c r="C104" s="42" t="s">
        <v>9</v>
      </c>
      <c r="D104" s="67">
        <v>0</v>
      </c>
      <c r="E104" s="67">
        <v>180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70"/>
      <c r="M104" s="74"/>
      <c r="N104" s="74"/>
      <c r="O104" s="52" t="s">
        <v>20</v>
      </c>
      <c r="P104" s="66" t="s">
        <v>15</v>
      </c>
      <c r="Q104" s="72">
        <v>0</v>
      </c>
      <c r="R104" s="72">
        <v>1221</v>
      </c>
      <c r="S104" s="72" t="s">
        <v>26</v>
      </c>
      <c r="T104" s="72">
        <v>0</v>
      </c>
      <c r="U104" s="72">
        <v>0</v>
      </c>
      <c r="V104" s="72">
        <v>0</v>
      </c>
      <c r="W104" s="72">
        <v>0</v>
      </c>
      <c r="X104" s="67">
        <v>0</v>
      </c>
    </row>
    <row r="105" spans="2:26" ht="36" x14ac:dyDescent="0.25">
      <c r="B105" s="40" t="s">
        <v>20</v>
      </c>
      <c r="C105" s="44" t="s">
        <v>30</v>
      </c>
      <c r="D105" s="67">
        <v>0</v>
      </c>
      <c r="E105" s="67">
        <v>0</v>
      </c>
      <c r="F105" s="67">
        <f>1638+45+36</f>
        <v>1719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70"/>
      <c r="M105" s="74"/>
      <c r="N105" s="74"/>
      <c r="O105" s="52" t="s">
        <v>20</v>
      </c>
      <c r="P105" s="63" t="s">
        <v>32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f>700+700+3067+710</f>
        <v>5177</v>
      </c>
      <c r="W105" s="72">
        <v>0</v>
      </c>
      <c r="X105" s="67">
        <v>0</v>
      </c>
    </row>
    <row r="106" spans="2:26" ht="22.5" customHeight="1" x14ac:dyDescent="0.25">
      <c r="B106" s="40" t="s">
        <v>20</v>
      </c>
      <c r="C106" s="42" t="s">
        <v>11</v>
      </c>
      <c r="D106" s="67">
        <v>0</v>
      </c>
      <c r="E106" s="67">
        <v>0</v>
      </c>
      <c r="F106" s="67">
        <v>0</v>
      </c>
      <c r="G106" s="67">
        <v>0</v>
      </c>
      <c r="H106" s="67">
        <f>380+380+460</f>
        <v>1220</v>
      </c>
      <c r="I106" s="67">
        <v>0</v>
      </c>
      <c r="J106" s="67">
        <v>0</v>
      </c>
      <c r="K106" s="67">
        <v>0</v>
      </c>
      <c r="L106" s="70"/>
      <c r="M106" s="74"/>
      <c r="N106" s="74"/>
      <c r="O106" s="52" t="s">
        <v>20</v>
      </c>
      <c r="P106" s="48" t="s">
        <v>34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f>170+238+170+153+170+336</f>
        <v>1237</v>
      </c>
      <c r="W106" s="72">
        <v>0</v>
      </c>
      <c r="X106" s="67">
        <v>0</v>
      </c>
    </row>
    <row r="107" spans="2:26" ht="22.5" customHeight="1" x14ac:dyDescent="0.25">
      <c r="B107" s="40" t="s">
        <v>20</v>
      </c>
      <c r="C107" s="45"/>
      <c r="D107" s="67">
        <v>0</v>
      </c>
      <c r="E107" s="67"/>
      <c r="F107" s="67"/>
      <c r="G107" s="67"/>
      <c r="H107" s="67"/>
      <c r="I107" s="67"/>
      <c r="J107" s="67"/>
      <c r="K107" s="67"/>
      <c r="L107" s="70"/>
      <c r="M107" s="74"/>
      <c r="N107" s="74"/>
      <c r="O107" s="52" t="s">
        <v>20</v>
      </c>
      <c r="P107" s="48"/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67">
        <v>0</v>
      </c>
    </row>
    <row r="108" spans="2:26" ht="22.5" hidden="1" customHeight="1" x14ac:dyDescent="0.25">
      <c r="B108" s="9"/>
      <c r="C108" s="10"/>
      <c r="D108" s="67">
        <v>0</v>
      </c>
      <c r="E108" s="67"/>
      <c r="F108" s="67"/>
      <c r="G108" s="67"/>
      <c r="H108" s="67"/>
      <c r="I108" s="67"/>
      <c r="J108" s="67"/>
      <c r="K108" s="67"/>
      <c r="L108" s="70"/>
      <c r="M108" s="74"/>
      <c r="N108" s="74"/>
      <c r="O108" s="46"/>
      <c r="P108" s="51"/>
      <c r="Q108" s="67">
        <v>0</v>
      </c>
      <c r="R108" s="67"/>
      <c r="S108" s="67"/>
      <c r="T108" s="67"/>
      <c r="U108" s="67"/>
      <c r="V108" s="67"/>
      <c r="W108" s="67"/>
      <c r="X108" s="67"/>
    </row>
    <row r="109" spans="2:26" ht="22.5" hidden="1" customHeight="1" x14ac:dyDescent="0.25">
      <c r="B109" s="9"/>
      <c r="C109" s="10"/>
      <c r="D109" s="67">
        <v>0</v>
      </c>
      <c r="E109" s="67"/>
      <c r="F109" s="67"/>
      <c r="G109" s="67"/>
      <c r="H109" s="67"/>
      <c r="I109" s="67"/>
      <c r="J109" s="67"/>
      <c r="K109" s="67"/>
      <c r="L109" s="70"/>
      <c r="M109" s="74"/>
      <c r="N109" s="74"/>
      <c r="O109" s="46"/>
      <c r="P109" s="51"/>
      <c r="Q109" s="67">
        <v>0</v>
      </c>
      <c r="R109" s="67"/>
      <c r="S109" s="67"/>
      <c r="T109" s="67"/>
      <c r="U109" s="67"/>
      <c r="V109" s="67"/>
      <c r="W109" s="67"/>
      <c r="X109" s="67"/>
    </row>
    <row r="110" spans="2:26" ht="22.5" hidden="1" customHeight="1" x14ac:dyDescent="0.25">
      <c r="B110" s="9"/>
      <c r="C110" s="10"/>
      <c r="D110" s="67">
        <v>0</v>
      </c>
      <c r="E110" s="67"/>
      <c r="F110" s="67"/>
      <c r="G110" s="67"/>
      <c r="H110" s="67"/>
      <c r="I110" s="67"/>
      <c r="J110" s="67"/>
      <c r="K110" s="67"/>
      <c r="L110" s="70"/>
      <c r="M110" s="74"/>
      <c r="N110" s="74"/>
      <c r="O110" s="46"/>
      <c r="P110" s="51"/>
      <c r="Q110" s="67">
        <v>0</v>
      </c>
      <c r="R110" s="67"/>
      <c r="S110" s="67"/>
      <c r="T110" s="67"/>
      <c r="U110" s="67"/>
      <c r="V110" s="67"/>
      <c r="W110" s="67"/>
      <c r="X110" s="67"/>
    </row>
    <row r="111" spans="2:26" ht="22.5" hidden="1" customHeight="1" x14ac:dyDescent="0.25">
      <c r="B111" s="9"/>
      <c r="C111" s="10"/>
      <c r="D111" s="67">
        <v>0</v>
      </c>
      <c r="E111" s="67"/>
      <c r="F111" s="67"/>
      <c r="G111" s="67"/>
      <c r="H111" s="67"/>
      <c r="I111" s="67"/>
      <c r="J111" s="67"/>
      <c r="K111" s="67"/>
      <c r="L111" s="70"/>
      <c r="M111" s="74"/>
      <c r="N111" s="74"/>
      <c r="O111" s="46"/>
      <c r="P111" s="51"/>
      <c r="Q111" s="67">
        <v>0</v>
      </c>
      <c r="R111" s="67"/>
      <c r="S111" s="67"/>
      <c r="T111" s="67"/>
      <c r="U111" s="67"/>
      <c r="V111" s="67"/>
      <c r="W111" s="67"/>
      <c r="X111" s="67"/>
    </row>
    <row r="112" spans="2:26" ht="22.5" hidden="1" customHeight="1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70"/>
      <c r="M112" s="74"/>
      <c r="N112" s="74"/>
      <c r="O112" s="46"/>
      <c r="P112" s="51"/>
      <c r="Q112" s="67">
        <v>0</v>
      </c>
      <c r="R112" s="67"/>
      <c r="S112" s="67"/>
      <c r="T112" s="67"/>
      <c r="U112" s="67"/>
      <c r="V112" s="67"/>
      <c r="W112" s="67"/>
      <c r="X112" s="67"/>
    </row>
    <row r="113" spans="2:24" ht="22.5" hidden="1" customHeight="1" x14ac:dyDescent="0.25">
      <c r="B113" s="9"/>
      <c r="C113" s="10"/>
      <c r="D113" s="67">
        <v>0</v>
      </c>
      <c r="E113" s="67"/>
      <c r="F113" s="67"/>
      <c r="G113" s="67"/>
      <c r="H113" s="67"/>
      <c r="I113" s="67"/>
      <c r="J113" s="67"/>
      <c r="K113" s="67"/>
      <c r="L113" s="70"/>
      <c r="M113" s="74"/>
      <c r="N113" s="74"/>
      <c r="O113" s="46"/>
      <c r="P113" s="51"/>
      <c r="Q113" s="67">
        <v>0</v>
      </c>
      <c r="R113" s="67"/>
      <c r="S113" s="67"/>
      <c r="T113" s="67"/>
      <c r="U113" s="67"/>
      <c r="V113" s="67"/>
      <c r="W113" s="67"/>
      <c r="X113" s="67"/>
    </row>
    <row r="114" spans="2:24" ht="22.5" hidden="1" customHeight="1" x14ac:dyDescent="0.25">
      <c r="B114" s="9"/>
      <c r="C114" s="10"/>
      <c r="D114" s="67">
        <v>0</v>
      </c>
      <c r="E114" s="67"/>
      <c r="F114" s="67"/>
      <c r="G114" s="67"/>
      <c r="H114" s="67"/>
      <c r="I114" s="67"/>
      <c r="J114" s="67"/>
      <c r="K114" s="67"/>
      <c r="L114" s="70"/>
      <c r="M114" s="74"/>
      <c r="N114" s="74"/>
      <c r="O114" s="46"/>
      <c r="P114" s="51"/>
      <c r="Q114" s="67">
        <v>0</v>
      </c>
      <c r="R114" s="67"/>
      <c r="S114" s="67"/>
      <c r="T114" s="67"/>
      <c r="U114" s="67"/>
      <c r="V114" s="67"/>
      <c r="W114" s="67"/>
      <c r="X114" s="67"/>
    </row>
    <row r="115" spans="2:24" ht="22.5" hidden="1" customHeight="1" x14ac:dyDescent="0.25">
      <c r="B115" s="9"/>
      <c r="C115" s="10"/>
      <c r="D115" s="67">
        <v>0</v>
      </c>
      <c r="E115" s="67"/>
      <c r="F115" s="67"/>
      <c r="G115" s="67"/>
      <c r="H115" s="67"/>
      <c r="I115" s="67"/>
      <c r="J115" s="67"/>
      <c r="K115" s="67"/>
      <c r="L115" s="70"/>
      <c r="M115" s="74"/>
      <c r="N115" s="74"/>
      <c r="O115" s="46"/>
      <c r="P115" s="51"/>
      <c r="Q115" s="67">
        <v>0</v>
      </c>
      <c r="R115" s="67"/>
      <c r="S115" s="67"/>
      <c r="T115" s="67"/>
      <c r="U115" s="67"/>
      <c r="V115" s="67"/>
      <c r="W115" s="67"/>
      <c r="X115" s="67"/>
    </row>
    <row r="116" spans="2:24" ht="22.5" hidden="1" customHeight="1" x14ac:dyDescent="0.25">
      <c r="B116" s="9"/>
      <c r="C116" s="10"/>
      <c r="D116" s="67">
        <v>0</v>
      </c>
      <c r="E116" s="67"/>
      <c r="F116" s="67"/>
      <c r="G116" s="67"/>
      <c r="H116" s="67"/>
      <c r="I116" s="67"/>
      <c r="J116" s="67"/>
      <c r="K116" s="67"/>
      <c r="L116" s="70"/>
      <c r="M116" s="74"/>
      <c r="N116" s="74"/>
      <c r="O116" s="46"/>
      <c r="P116" s="51"/>
      <c r="Q116" s="67">
        <v>0</v>
      </c>
      <c r="R116" s="67"/>
      <c r="S116" s="67"/>
      <c r="T116" s="67"/>
      <c r="U116" s="67"/>
      <c r="V116" s="67"/>
      <c r="W116" s="67"/>
      <c r="X116" s="67"/>
    </row>
    <row r="117" spans="2:24" ht="22.5" hidden="1" customHeight="1" x14ac:dyDescent="0.25">
      <c r="B117" s="9"/>
      <c r="C117" s="10"/>
      <c r="D117" s="67">
        <v>0</v>
      </c>
      <c r="E117" s="67"/>
      <c r="F117" s="67"/>
      <c r="G117" s="67"/>
      <c r="H117" s="67"/>
      <c r="I117" s="67"/>
      <c r="J117" s="67"/>
      <c r="K117" s="67"/>
      <c r="L117" s="70"/>
      <c r="M117" s="74"/>
      <c r="N117" s="74"/>
      <c r="O117" s="46"/>
      <c r="P117" s="51"/>
      <c r="Q117" s="67">
        <v>0</v>
      </c>
      <c r="R117" s="67"/>
      <c r="S117" s="67"/>
      <c r="T117" s="67"/>
      <c r="U117" s="67"/>
      <c r="V117" s="67"/>
      <c r="W117" s="67"/>
      <c r="X117" s="67"/>
    </row>
    <row r="118" spans="2:24" ht="22.5" hidden="1" customHeight="1" x14ac:dyDescent="0.25">
      <c r="B118" s="9"/>
      <c r="C118" s="10"/>
      <c r="D118" s="67">
        <v>0</v>
      </c>
      <c r="E118" s="67"/>
      <c r="F118" s="67"/>
      <c r="G118" s="67"/>
      <c r="H118" s="67"/>
      <c r="I118" s="67"/>
      <c r="J118" s="67"/>
      <c r="K118" s="67"/>
      <c r="L118" s="70"/>
      <c r="M118" s="74"/>
      <c r="N118" s="74"/>
      <c r="O118" s="46"/>
      <c r="P118" s="51"/>
      <c r="Q118" s="67">
        <v>0</v>
      </c>
      <c r="R118" s="67"/>
      <c r="S118" s="67"/>
      <c r="T118" s="67"/>
      <c r="U118" s="67"/>
      <c r="V118" s="67"/>
      <c r="W118" s="67"/>
      <c r="X118" s="67"/>
    </row>
    <row r="119" spans="2:24" ht="22.5" customHeight="1" thickBot="1" x14ac:dyDescent="0.3">
      <c r="B119" s="9"/>
      <c r="C119" s="34"/>
      <c r="D119" s="73">
        <v>0</v>
      </c>
      <c r="E119" s="73"/>
      <c r="F119" s="73"/>
      <c r="G119" s="73"/>
      <c r="H119" s="73"/>
      <c r="I119" s="73"/>
      <c r="J119" s="73"/>
      <c r="K119" s="73"/>
      <c r="L119" s="70"/>
      <c r="M119" s="74"/>
      <c r="N119" s="74"/>
      <c r="O119" s="46"/>
      <c r="P119" s="51"/>
      <c r="Q119" s="73">
        <v>0</v>
      </c>
      <c r="R119" s="73"/>
      <c r="S119" s="73"/>
      <c r="T119" s="73"/>
      <c r="U119" s="73"/>
      <c r="V119" s="73"/>
      <c r="W119" s="73"/>
      <c r="X119" s="73"/>
    </row>
    <row r="120" spans="2:24" ht="31.5" customHeight="1" thickBot="1" x14ac:dyDescent="0.3">
      <c r="C120" s="35" t="s">
        <v>18</v>
      </c>
      <c r="D120" s="30">
        <f t="shared" ref="D120:K120" si="21">SUM(D97:D119)</f>
        <v>402</v>
      </c>
      <c r="E120" s="31">
        <f t="shared" si="21"/>
        <v>303</v>
      </c>
      <c r="F120" s="31">
        <f t="shared" si="21"/>
        <v>1779</v>
      </c>
      <c r="G120" s="31">
        <f t="shared" si="21"/>
        <v>85</v>
      </c>
      <c r="H120" s="31">
        <f t="shared" si="21"/>
        <v>1738</v>
      </c>
      <c r="I120" s="31">
        <f t="shared" si="21"/>
        <v>472</v>
      </c>
      <c r="J120" s="22">
        <f t="shared" si="21"/>
        <v>2714</v>
      </c>
      <c r="K120" s="32">
        <f t="shared" si="21"/>
        <v>6086</v>
      </c>
      <c r="L120" s="77"/>
      <c r="M120" s="75"/>
      <c r="N120" s="74"/>
      <c r="P120" s="33" t="s">
        <v>18</v>
      </c>
      <c r="Q120" s="21">
        <f>SUM(Q97:Q119)</f>
        <v>611</v>
      </c>
      <c r="R120" s="22">
        <f t="shared" ref="R120:X120" si="22">SUM(R97:R119)</f>
        <v>1221</v>
      </c>
      <c r="S120" s="22">
        <f t="shared" si="22"/>
        <v>2804</v>
      </c>
      <c r="T120" s="22">
        <f t="shared" si="22"/>
        <v>334</v>
      </c>
      <c r="U120" s="22">
        <f t="shared" si="22"/>
        <v>779</v>
      </c>
      <c r="V120" s="22">
        <f t="shared" si="22"/>
        <v>6414</v>
      </c>
      <c r="W120" s="22">
        <f t="shared" si="22"/>
        <v>1510</v>
      </c>
      <c r="X120" s="23">
        <f t="shared" si="22"/>
        <v>6779</v>
      </c>
    </row>
    <row r="121" spans="2:24" ht="22.5" customHeight="1" thickBot="1" x14ac:dyDescent="0.3">
      <c r="D121" s="5"/>
      <c r="E121" s="5"/>
      <c r="F121" s="5"/>
      <c r="G121" s="5"/>
      <c r="H121" s="5"/>
      <c r="I121" s="5"/>
      <c r="J121" s="5"/>
      <c r="K121" s="5"/>
      <c r="L121" s="78"/>
      <c r="M121" s="76"/>
      <c r="N121" s="74"/>
      <c r="Q121" s="5"/>
      <c r="R121" s="5"/>
      <c r="S121" s="5"/>
      <c r="T121" s="5"/>
      <c r="U121" s="5"/>
      <c r="V121" s="5"/>
      <c r="W121" s="5"/>
      <c r="X121" s="5"/>
    </row>
    <row r="122" spans="2:24" ht="22.5" customHeight="1" thickBot="1" x14ac:dyDescent="0.4">
      <c r="D122" s="5"/>
      <c r="E122" s="5"/>
      <c r="F122" s="249">
        <f>K120+J120+I120+H120+G120+F120+E120+D120</f>
        <v>13579</v>
      </c>
      <c r="G122" s="242"/>
      <c r="H122" s="243"/>
      <c r="I122" s="5"/>
      <c r="J122" s="5">
        <v>13579</v>
      </c>
      <c r="K122" s="5"/>
      <c r="L122" s="78"/>
      <c r="M122" s="76"/>
      <c r="N122" s="74"/>
      <c r="Q122" s="5"/>
      <c r="R122" s="5"/>
      <c r="S122" s="244">
        <f>Q120+R120+S120+T120+U120+V120+W120+X120</f>
        <v>20452</v>
      </c>
      <c r="T122" s="245"/>
      <c r="U122" s="246"/>
      <c r="V122" s="5">
        <v>20452</v>
      </c>
      <c r="W122" s="5"/>
      <c r="X122" s="5"/>
    </row>
    <row r="123" spans="2:24" ht="22.5" customHeight="1" x14ac:dyDescent="0.25">
      <c r="D123" s="5"/>
      <c r="E123" s="5"/>
      <c r="F123" s="5"/>
      <c r="G123" s="5"/>
      <c r="H123" s="5"/>
      <c r="J123" s="5"/>
      <c r="K123" s="5"/>
      <c r="L123" s="78"/>
      <c r="M123" s="76"/>
      <c r="N123" s="74"/>
      <c r="Q123" s="5"/>
      <c r="R123" s="5"/>
      <c r="S123" s="5"/>
      <c r="T123" s="5"/>
      <c r="U123" s="5"/>
      <c r="V123" s="5"/>
      <c r="W123" s="5"/>
      <c r="X123" s="5"/>
    </row>
    <row r="124" spans="2:24" x14ac:dyDescent="0.25">
      <c r="D124" s="5"/>
      <c r="E124" s="5"/>
      <c r="F124" s="5"/>
      <c r="G124" s="5"/>
      <c r="H124" s="5"/>
      <c r="I124" s="5"/>
      <c r="J124" s="5"/>
      <c r="K124" s="5"/>
      <c r="L124" s="78"/>
      <c r="M124" s="76"/>
      <c r="N124" s="74"/>
      <c r="Q124" s="5"/>
      <c r="R124" s="5"/>
      <c r="S124" s="5"/>
      <c r="T124" s="5"/>
      <c r="U124" s="5"/>
      <c r="V124" s="5"/>
      <c r="W124" s="5"/>
      <c r="X124" s="5"/>
    </row>
    <row r="125" spans="2:24" ht="15.75" thickBot="1" x14ac:dyDescent="0.3">
      <c r="D125" s="5"/>
      <c r="E125" s="5"/>
      <c r="F125" s="5"/>
      <c r="G125" s="5"/>
      <c r="H125" s="5"/>
      <c r="I125" s="5"/>
      <c r="J125" s="5"/>
      <c r="K125" s="5"/>
      <c r="L125" s="78"/>
      <c r="M125" s="79"/>
      <c r="N125" s="74"/>
      <c r="Q125" s="5"/>
      <c r="R125" s="5"/>
      <c r="S125" s="5"/>
      <c r="T125" s="5"/>
      <c r="U125" s="5"/>
      <c r="V125" s="5"/>
      <c r="W125" s="5"/>
      <c r="X125" s="5"/>
    </row>
    <row r="126" spans="2:24" x14ac:dyDescent="0.25">
      <c r="L126" s="80"/>
      <c r="M126" s="80"/>
    </row>
    <row r="127" spans="2:24" x14ac:dyDescent="0.25">
      <c r="L127" s="80"/>
      <c r="M127" s="80"/>
    </row>
    <row r="128" spans="2:24" x14ac:dyDescent="0.25">
      <c r="L128" s="80"/>
      <c r="M128" s="80"/>
    </row>
    <row r="129" spans="12:13" x14ac:dyDescent="0.25">
      <c r="L129" s="80"/>
      <c r="M129" s="80"/>
    </row>
  </sheetData>
  <mergeCells count="24">
    <mergeCell ref="C4:K4"/>
    <mergeCell ref="O4:W4"/>
    <mergeCell ref="I5:K5"/>
    <mergeCell ref="V5:X5"/>
    <mergeCell ref="F23:H23"/>
    <mergeCell ref="S23:U23"/>
    <mergeCell ref="C68:K68"/>
    <mergeCell ref="O68:W68"/>
    <mergeCell ref="I69:K69"/>
    <mergeCell ref="W69:X69"/>
    <mergeCell ref="F87:H87"/>
    <mergeCell ref="S87:U87"/>
    <mergeCell ref="F122:H122"/>
    <mergeCell ref="C94:K94"/>
    <mergeCell ref="S122:U122"/>
    <mergeCell ref="I95:K95"/>
    <mergeCell ref="W95:X95"/>
    <mergeCell ref="O94:W94"/>
    <mergeCell ref="C35:K35"/>
    <mergeCell ref="I36:K36"/>
    <mergeCell ref="F54:H54"/>
    <mergeCell ref="O35:W35"/>
    <mergeCell ref="S54:U54"/>
    <mergeCell ref="V36:X36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34" t="s">
        <v>36</v>
      </c>
      <c r="E2" s="235"/>
      <c r="F2" s="235"/>
      <c r="G2" s="235"/>
      <c r="H2" s="235"/>
      <c r="I2" s="235"/>
      <c r="J2" s="235"/>
      <c r="K2" s="235"/>
      <c r="L2" s="235"/>
      <c r="M2" s="84"/>
      <c r="N2" s="151"/>
      <c r="S2" s="7"/>
      <c r="T2" s="234" t="s">
        <v>36</v>
      </c>
      <c r="U2" s="235"/>
      <c r="V2" s="235"/>
      <c r="W2" s="235"/>
      <c r="X2" s="235"/>
      <c r="Y2" s="235"/>
      <c r="Z2" s="235"/>
      <c r="AA2" s="235"/>
      <c r="AB2" s="235"/>
      <c r="AC2" s="84"/>
      <c r="AD2" s="151"/>
    </row>
    <row r="3" spans="2:31" ht="16.5" thickBot="1" x14ac:dyDescent="0.3">
      <c r="C3" s="7"/>
      <c r="D3" s="1"/>
      <c r="J3" s="238" t="s">
        <v>185</v>
      </c>
      <c r="K3" s="239"/>
      <c r="L3" s="250"/>
      <c r="M3" s="68"/>
      <c r="N3" s="152"/>
      <c r="S3" s="7"/>
      <c r="T3" s="1"/>
      <c r="Z3" s="238" t="s">
        <v>184</v>
      </c>
      <c r="AA3" s="239"/>
      <c r="AB3" s="240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47" t="s">
        <v>19</v>
      </c>
      <c r="E16" s="248"/>
      <c r="F16" s="248"/>
      <c r="G16" s="248"/>
      <c r="H16" s="248"/>
      <c r="I16" s="248"/>
      <c r="J16" s="248"/>
      <c r="K16" s="248"/>
      <c r="L16" s="248"/>
      <c r="M16" s="171"/>
      <c r="N16" s="151"/>
      <c r="S16" s="7"/>
      <c r="T16" s="247" t="s">
        <v>19</v>
      </c>
      <c r="U16" s="248"/>
      <c r="V16" s="248"/>
      <c r="W16" s="248"/>
      <c r="X16" s="248"/>
      <c r="Y16" s="248"/>
      <c r="Z16" s="248"/>
      <c r="AA16" s="248"/>
      <c r="AB16" s="248"/>
      <c r="AC16" s="171"/>
      <c r="AD16" s="151"/>
    </row>
    <row r="17" spans="2:31" ht="16.5" thickBot="1" x14ac:dyDescent="0.3">
      <c r="C17" s="7"/>
      <c r="D17" s="1"/>
      <c r="J17" s="238" t="s">
        <v>185</v>
      </c>
      <c r="K17" s="239"/>
      <c r="L17" s="250"/>
      <c r="M17" s="68"/>
      <c r="N17" s="152"/>
      <c r="S17" s="7"/>
      <c r="T17" s="1"/>
      <c r="Z17" s="238" t="s">
        <v>184</v>
      </c>
      <c r="AA17" s="239"/>
      <c r="AB17" s="240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C1:AE26"/>
  <sheetViews>
    <sheetView topLeftCell="A7" workbookViewId="0">
      <selection activeCell="D25" sqref="D25"/>
    </sheetView>
  </sheetViews>
  <sheetFormatPr baseColWidth="10" defaultRowHeight="15" x14ac:dyDescent="0.25"/>
  <cols>
    <col min="4" max="4" width="12.28515625" customWidth="1"/>
    <col min="5" max="5" width="2.28515625" customWidth="1"/>
    <col min="15" max="15" width="15.42578125" style="80" customWidth="1"/>
    <col min="19" max="19" width="12.28515625" customWidth="1"/>
    <col min="20" max="20" width="2.28515625" customWidth="1"/>
    <col min="30" max="30" width="16.7109375" style="80" customWidth="1"/>
  </cols>
  <sheetData>
    <row r="1" spans="3:31" ht="15.75" thickBot="1" x14ac:dyDescent="0.3"/>
    <row r="2" spans="3:31" ht="22.5" thickTop="1" thickBot="1" x14ac:dyDescent="0.4">
      <c r="D2" s="7"/>
      <c r="E2" s="234" t="s">
        <v>36</v>
      </c>
      <c r="F2" s="235"/>
      <c r="G2" s="235"/>
      <c r="H2" s="235"/>
      <c r="I2" s="235"/>
      <c r="J2" s="235"/>
      <c r="K2" s="235"/>
      <c r="L2" s="235"/>
      <c r="M2" s="235"/>
      <c r="N2" s="84"/>
      <c r="O2" s="151"/>
      <c r="S2" s="7"/>
      <c r="T2" s="234" t="s">
        <v>36</v>
      </c>
      <c r="U2" s="235"/>
      <c r="V2" s="235"/>
      <c r="W2" s="235"/>
      <c r="X2" s="235"/>
      <c r="Y2" s="235"/>
      <c r="Z2" s="235"/>
      <c r="AA2" s="235"/>
      <c r="AB2" s="235"/>
      <c r="AC2" s="84"/>
      <c r="AD2" s="151"/>
    </row>
    <row r="3" spans="3:31" ht="16.5" thickBot="1" x14ac:dyDescent="0.3">
      <c r="D3" s="7"/>
      <c r="E3" s="1"/>
      <c r="K3" s="238"/>
      <c r="L3" s="239"/>
      <c r="M3" s="250"/>
      <c r="N3" s="68"/>
      <c r="O3" s="152"/>
      <c r="S3" s="7"/>
      <c r="T3" s="1"/>
      <c r="Z3" s="238"/>
      <c r="AA3" s="239"/>
      <c r="AB3" s="240"/>
      <c r="AC3" s="68"/>
      <c r="AD3" s="152"/>
    </row>
    <row r="4" spans="3:31" ht="61.5" thickTop="1" thickBot="1" x14ac:dyDescent="0.3">
      <c r="D4" s="164" t="s">
        <v>0</v>
      </c>
      <c r="E4" s="24"/>
      <c r="F4" s="176" t="s">
        <v>2</v>
      </c>
      <c r="G4" s="146" t="s">
        <v>7</v>
      </c>
      <c r="H4" s="147" t="s">
        <v>38</v>
      </c>
      <c r="I4" s="176" t="s">
        <v>3</v>
      </c>
      <c r="J4" s="146" t="s">
        <v>22</v>
      </c>
      <c r="K4" s="200" t="s">
        <v>4</v>
      </c>
      <c r="L4" s="149" t="s">
        <v>8</v>
      </c>
      <c r="M4" s="202" t="s">
        <v>5</v>
      </c>
      <c r="N4" s="201" t="s">
        <v>146</v>
      </c>
      <c r="O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3:31" ht="39" thickTop="1" thickBot="1" x14ac:dyDescent="0.35">
      <c r="C5" s="199" t="s">
        <v>141</v>
      </c>
      <c r="D5" s="168" t="s">
        <v>147</v>
      </c>
      <c r="E5" s="153"/>
      <c r="F5" s="30">
        <v>469</v>
      </c>
      <c r="G5" s="31">
        <v>188</v>
      </c>
      <c r="H5" s="31">
        <v>2259</v>
      </c>
      <c r="I5" s="31">
        <v>0</v>
      </c>
      <c r="J5" s="31">
        <v>1881</v>
      </c>
      <c r="K5" s="31">
        <v>829</v>
      </c>
      <c r="L5" s="22">
        <v>1340.5</v>
      </c>
      <c r="M5" s="32">
        <v>6236</v>
      </c>
      <c r="N5" s="166">
        <v>500</v>
      </c>
      <c r="O5" s="167">
        <f>SUM(F5:N5)</f>
        <v>13702.5</v>
      </c>
      <c r="R5" s="220" t="s">
        <v>141</v>
      </c>
      <c r="S5" s="221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3:31" ht="40.5" thickBot="1" x14ac:dyDescent="0.35">
      <c r="C6" s="199" t="s">
        <v>142</v>
      </c>
      <c r="D6" s="169" t="s">
        <v>89</v>
      </c>
      <c r="E6" s="153"/>
      <c r="F6" s="30">
        <v>352</v>
      </c>
      <c r="G6" s="31">
        <v>180</v>
      </c>
      <c r="H6" s="31">
        <v>2776</v>
      </c>
      <c r="I6" s="31">
        <v>45</v>
      </c>
      <c r="J6" s="31">
        <v>1638</v>
      </c>
      <c r="K6" s="31">
        <v>381</v>
      </c>
      <c r="L6" s="22">
        <v>1223</v>
      </c>
      <c r="M6" s="32">
        <v>2689</v>
      </c>
      <c r="N6" s="166">
        <v>500</v>
      </c>
      <c r="O6" s="167">
        <f t="shared" ref="O6:O9" si="0">SUM(F6:N6)</f>
        <v>9784</v>
      </c>
      <c r="P6" s="203" t="s">
        <v>189</v>
      </c>
      <c r="R6" s="162" t="s">
        <v>142</v>
      </c>
      <c r="S6" s="224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215">
        <f t="shared" ref="AD6:AD7" si="1">SUM(U6:AC6)</f>
        <v>13447.5</v>
      </c>
    </row>
    <row r="7" spans="3:31" ht="38.25" thickBot="1" x14ac:dyDescent="0.35">
      <c r="C7" s="199" t="s">
        <v>143</v>
      </c>
      <c r="D7" s="169" t="s">
        <v>123</v>
      </c>
      <c r="E7" s="153"/>
      <c r="F7" s="30">
        <v>665.5</v>
      </c>
      <c r="G7" s="31">
        <v>68</v>
      </c>
      <c r="H7" s="31">
        <v>2076</v>
      </c>
      <c r="I7" s="31">
        <v>140</v>
      </c>
      <c r="J7" s="31">
        <v>1706</v>
      </c>
      <c r="K7" s="31">
        <v>850</v>
      </c>
      <c r="L7" s="22">
        <v>781</v>
      </c>
      <c r="M7" s="178">
        <v>7786</v>
      </c>
      <c r="N7" s="166">
        <v>500</v>
      </c>
      <c r="O7" s="167">
        <f t="shared" si="0"/>
        <v>14572.5</v>
      </c>
      <c r="R7" s="222"/>
      <c r="S7" s="223"/>
      <c r="T7" s="153"/>
      <c r="U7" s="225"/>
      <c r="V7" s="227"/>
      <c r="W7" s="257" t="s">
        <v>192</v>
      </c>
      <c r="X7" s="257"/>
      <c r="Y7" s="257"/>
      <c r="Z7" s="258"/>
      <c r="AA7" s="226"/>
      <c r="AB7" s="225"/>
      <c r="AC7" s="228"/>
      <c r="AD7" s="229">
        <f t="shared" si="1"/>
        <v>0</v>
      </c>
    </row>
    <row r="8" spans="3:31" ht="38.25" thickBot="1" x14ac:dyDescent="0.35">
      <c r="C8" s="199" t="s">
        <v>144</v>
      </c>
      <c r="D8" s="168" t="s">
        <v>191</v>
      </c>
      <c r="E8" s="153"/>
      <c r="F8" s="212">
        <f>891+221+100+155+220</f>
        <v>1587</v>
      </c>
      <c r="G8" s="210">
        <f>212+180+641</f>
        <v>1033</v>
      </c>
      <c r="H8" s="210">
        <f>1970+60+45+1601</f>
        <v>3676</v>
      </c>
      <c r="I8" s="210">
        <f>75+45</f>
        <v>120</v>
      </c>
      <c r="J8" s="210">
        <f>1927+51</f>
        <v>1978</v>
      </c>
      <c r="K8" s="210">
        <f>716+352</f>
        <v>1068</v>
      </c>
      <c r="L8" s="211">
        <f>2220+578</f>
        <v>2798</v>
      </c>
      <c r="M8" s="213">
        <v>6511</v>
      </c>
      <c r="N8" s="214">
        <v>500</v>
      </c>
      <c r="O8" s="167">
        <f t="shared" si="0"/>
        <v>19271</v>
      </c>
      <c r="R8" s="154"/>
      <c r="U8" s="218"/>
      <c r="V8" s="218"/>
      <c r="W8" s="218"/>
      <c r="X8" s="218"/>
      <c r="Y8" s="218"/>
      <c r="Z8" s="218"/>
      <c r="AA8" s="219"/>
      <c r="AB8" s="232"/>
      <c r="AC8" s="232"/>
      <c r="AD8" s="233">
        <v>0</v>
      </c>
    </row>
    <row r="9" spans="3:31" ht="24" thickBot="1" x14ac:dyDescent="0.35">
      <c r="C9" s="197"/>
      <c r="D9" s="169"/>
      <c r="E9" s="153"/>
      <c r="F9" s="30"/>
      <c r="G9" s="31"/>
      <c r="H9" s="31"/>
      <c r="I9" s="31"/>
      <c r="J9" s="31"/>
      <c r="K9" s="31"/>
      <c r="L9" s="22"/>
      <c r="M9" s="32"/>
      <c r="N9" s="166"/>
      <c r="O9" s="167">
        <f t="shared" si="0"/>
        <v>0</v>
      </c>
      <c r="S9" s="7"/>
      <c r="T9" s="1"/>
      <c r="U9" s="230"/>
      <c r="V9" s="230"/>
      <c r="W9" s="230"/>
      <c r="X9" s="230"/>
      <c r="Y9" s="230"/>
      <c r="Z9" s="230"/>
      <c r="AA9" s="230"/>
      <c r="AB9" s="216"/>
      <c r="AC9" s="217" t="s">
        <v>18</v>
      </c>
      <c r="AD9" s="231">
        <f>SUM(AD5:AD8)</f>
        <v>27026.5</v>
      </c>
    </row>
    <row r="10" spans="3:31" ht="21.75" thickBot="1" x14ac:dyDescent="0.4">
      <c r="C10" s="154"/>
      <c r="F10" s="30"/>
      <c r="G10" s="31"/>
      <c r="H10" s="259" t="s">
        <v>193</v>
      </c>
      <c r="I10" s="260"/>
      <c r="J10" s="260"/>
      <c r="K10" s="261"/>
      <c r="L10" s="22"/>
      <c r="M10" s="157"/>
      <c r="N10" s="77"/>
      <c r="O10" s="156">
        <v>0</v>
      </c>
      <c r="U10" s="5"/>
      <c r="V10" s="5"/>
      <c r="W10" s="155"/>
      <c r="X10" s="155"/>
      <c r="Y10" s="155"/>
      <c r="Z10" s="5"/>
      <c r="AA10" s="5"/>
      <c r="AB10" s="5"/>
      <c r="AC10" s="71"/>
      <c r="AD10" s="74"/>
      <c r="AE10" s="130"/>
    </row>
    <row r="11" spans="3:31" ht="24" thickBot="1" x14ac:dyDescent="0.35">
      <c r="D11" s="7"/>
      <c r="E11" s="1"/>
      <c r="F11" s="5"/>
      <c r="G11" s="5"/>
      <c r="H11" s="5"/>
      <c r="I11" s="5"/>
      <c r="J11" s="5"/>
      <c r="K11" s="5"/>
      <c r="L11" s="5"/>
      <c r="M11" s="158"/>
      <c r="N11" s="159" t="s">
        <v>18</v>
      </c>
      <c r="O11" s="160">
        <f>SUM(O5:O10)</f>
        <v>57330</v>
      </c>
      <c r="S11" s="7"/>
      <c r="T11" s="1"/>
      <c r="U11" s="170"/>
      <c r="V11" s="5"/>
      <c r="W11" s="5"/>
      <c r="X11" s="5"/>
      <c r="Y11" s="5"/>
      <c r="AA11" s="5"/>
      <c r="AB11" s="5"/>
      <c r="AC11" s="71"/>
      <c r="AD11" s="74"/>
      <c r="AE11" s="130"/>
    </row>
    <row r="12" spans="3:31" ht="21" x14ac:dyDescent="0.35">
      <c r="F12" s="5"/>
      <c r="G12" s="5"/>
      <c r="H12" s="155"/>
      <c r="I12" s="155"/>
      <c r="J12" s="155"/>
      <c r="K12" s="5"/>
      <c r="L12" s="5"/>
      <c r="M12" s="5"/>
      <c r="N12" s="71"/>
      <c r="O12" s="74"/>
      <c r="P12" s="130"/>
      <c r="AC12" s="130"/>
      <c r="AD12" s="74"/>
      <c r="AE12" s="130"/>
    </row>
    <row r="13" spans="3:31" ht="16.5" thickBot="1" x14ac:dyDescent="0.3">
      <c r="D13" s="7"/>
      <c r="E13" s="1"/>
      <c r="F13" s="170"/>
      <c r="G13" s="5"/>
      <c r="H13" s="5"/>
      <c r="I13" s="5"/>
      <c r="J13" s="5"/>
      <c r="L13" s="5"/>
      <c r="M13" s="5"/>
      <c r="N13" s="71"/>
      <c r="O13" s="74"/>
      <c r="P13" s="130"/>
    </row>
    <row r="14" spans="3:31" ht="22.5" thickTop="1" thickBot="1" x14ac:dyDescent="0.4">
      <c r="D14" s="7"/>
      <c r="E14" s="247" t="s">
        <v>19</v>
      </c>
      <c r="F14" s="248"/>
      <c r="G14" s="248"/>
      <c r="H14" s="248"/>
      <c r="I14" s="248"/>
      <c r="J14" s="248"/>
      <c r="K14" s="248"/>
      <c r="L14" s="248"/>
      <c r="M14" s="256"/>
      <c r="N14" s="171"/>
      <c r="O14" s="151"/>
      <c r="S14" s="7"/>
      <c r="T14" s="247" t="s">
        <v>19</v>
      </c>
      <c r="U14" s="248"/>
      <c r="V14" s="248"/>
      <c r="W14" s="248"/>
      <c r="X14" s="248"/>
      <c r="Y14" s="248"/>
      <c r="Z14" s="248"/>
      <c r="AA14" s="248"/>
      <c r="AB14" s="248"/>
      <c r="AC14" s="171"/>
      <c r="AD14" s="151"/>
    </row>
    <row r="15" spans="3:31" ht="16.5" thickBot="1" x14ac:dyDescent="0.3">
      <c r="D15" s="7"/>
      <c r="E15" s="1"/>
      <c r="K15" s="205"/>
      <c r="L15" s="206"/>
      <c r="M15" s="196"/>
      <c r="N15" s="68"/>
      <c r="O15" s="152"/>
      <c r="S15" s="7"/>
      <c r="T15" s="1"/>
      <c r="Z15" s="238"/>
      <c r="AA15" s="239"/>
      <c r="AB15" s="240"/>
      <c r="AC15" s="68"/>
      <c r="AD15" s="152"/>
    </row>
    <row r="16" spans="3:31" ht="61.5" thickTop="1" thickBot="1" x14ac:dyDescent="0.3">
      <c r="D16" s="164" t="s">
        <v>0</v>
      </c>
      <c r="E16" s="24"/>
      <c r="F16" s="176" t="s">
        <v>2</v>
      </c>
      <c r="G16" s="146" t="s">
        <v>7</v>
      </c>
      <c r="H16" s="146" t="s">
        <v>38</v>
      </c>
      <c r="I16" s="176" t="s">
        <v>3</v>
      </c>
      <c r="J16" s="177" t="s">
        <v>4</v>
      </c>
      <c r="K16" s="146" t="s">
        <v>22</v>
      </c>
      <c r="L16" s="149" t="s">
        <v>8</v>
      </c>
      <c r="M16" s="180" t="s">
        <v>5</v>
      </c>
      <c r="N16" s="181"/>
      <c r="O16" s="172" t="s">
        <v>18</v>
      </c>
      <c r="S16" s="164" t="s">
        <v>0</v>
      </c>
      <c r="T16" s="24"/>
      <c r="U16" s="176" t="s">
        <v>2</v>
      </c>
      <c r="V16" s="146" t="s">
        <v>7</v>
      </c>
      <c r="W16" s="146" t="s">
        <v>38</v>
      </c>
      <c r="X16" s="176" t="s">
        <v>3</v>
      </c>
      <c r="Y16" s="177" t="s">
        <v>4</v>
      </c>
      <c r="Z16" s="146" t="s">
        <v>22</v>
      </c>
      <c r="AA16" s="149" t="s">
        <v>8</v>
      </c>
      <c r="AB16" s="180" t="s">
        <v>5</v>
      </c>
      <c r="AC16" s="181"/>
      <c r="AD16" s="172" t="s">
        <v>18</v>
      </c>
    </row>
    <row r="17" spans="3:31" ht="39" thickTop="1" thickBot="1" x14ac:dyDescent="0.35">
      <c r="C17" s="198" t="s">
        <v>141</v>
      </c>
      <c r="D17" s="168" t="s">
        <v>147</v>
      </c>
      <c r="E17" s="153"/>
      <c r="F17" s="30">
        <v>1055</v>
      </c>
      <c r="G17" s="31">
        <v>1176</v>
      </c>
      <c r="H17" s="31">
        <v>3027</v>
      </c>
      <c r="I17" s="31">
        <v>40</v>
      </c>
      <c r="J17" s="31">
        <v>400</v>
      </c>
      <c r="K17" s="31">
        <v>5602</v>
      </c>
      <c r="L17" s="22">
        <v>1880</v>
      </c>
      <c r="M17" s="32">
        <v>6403</v>
      </c>
      <c r="N17" s="166"/>
      <c r="O17" s="167">
        <f>SUM(F17:N17)</f>
        <v>19583</v>
      </c>
      <c r="R17" s="182" t="s">
        <v>141</v>
      </c>
      <c r="S17" s="169" t="s">
        <v>20</v>
      </c>
      <c r="T17" s="163"/>
      <c r="U17" s="30">
        <v>611</v>
      </c>
      <c r="V17" s="31">
        <v>1221</v>
      </c>
      <c r="W17" s="31">
        <v>2804</v>
      </c>
      <c r="X17" s="31">
        <v>334</v>
      </c>
      <c r="Y17" s="31">
        <v>779</v>
      </c>
      <c r="Z17" s="31">
        <v>6414</v>
      </c>
      <c r="AA17" s="22">
        <v>1510</v>
      </c>
      <c r="AB17" s="178">
        <v>6779</v>
      </c>
      <c r="AC17" s="179">
        <v>0</v>
      </c>
      <c r="AD17" s="167">
        <f>SUM(U17:AC17)</f>
        <v>20452</v>
      </c>
    </row>
    <row r="18" spans="3:31" ht="40.5" thickBot="1" x14ac:dyDescent="0.35">
      <c r="C18" s="198" t="s">
        <v>142</v>
      </c>
      <c r="D18" s="169" t="s">
        <v>89</v>
      </c>
      <c r="E18" s="153"/>
      <c r="F18" s="30">
        <v>770</v>
      </c>
      <c r="G18" s="31">
        <v>1462</v>
      </c>
      <c r="H18" s="31">
        <v>3659</v>
      </c>
      <c r="I18" s="31">
        <v>125</v>
      </c>
      <c r="J18" s="31">
        <v>728</v>
      </c>
      <c r="K18" s="31">
        <v>5451</v>
      </c>
      <c r="L18" s="22">
        <v>4130.5</v>
      </c>
      <c r="M18" s="32">
        <v>2659</v>
      </c>
      <c r="N18" s="166"/>
      <c r="O18" s="167">
        <f t="shared" ref="O18:O21" si="2">SUM(F18:N18)</f>
        <v>18984.5</v>
      </c>
      <c r="P18" s="203" t="s">
        <v>189</v>
      </c>
      <c r="R18" s="182" t="s">
        <v>142</v>
      </c>
      <c r="S18" s="169" t="s">
        <v>145</v>
      </c>
      <c r="T18" s="153"/>
      <c r="U18" s="30">
        <v>907</v>
      </c>
      <c r="V18" s="31">
        <v>89</v>
      </c>
      <c r="W18" s="31">
        <v>2444</v>
      </c>
      <c r="X18" s="31">
        <v>58</v>
      </c>
      <c r="Y18" s="31">
        <v>403</v>
      </c>
      <c r="Z18" s="31">
        <v>5587</v>
      </c>
      <c r="AA18" s="22">
        <v>4449.5</v>
      </c>
      <c r="AB18" s="32">
        <v>5143</v>
      </c>
      <c r="AC18" s="166">
        <v>0</v>
      </c>
      <c r="AD18" s="167">
        <f t="shared" ref="AD18" si="3">SUM(U18:AC18)</f>
        <v>19080.5</v>
      </c>
    </row>
    <row r="19" spans="3:31" ht="38.25" thickBot="1" x14ac:dyDescent="0.35">
      <c r="C19" s="198" t="s">
        <v>143</v>
      </c>
      <c r="D19" s="169" t="s">
        <v>123</v>
      </c>
      <c r="E19" s="153"/>
      <c r="F19" s="30">
        <v>863</v>
      </c>
      <c r="G19" s="31">
        <v>1081</v>
      </c>
      <c r="H19" s="31">
        <v>2839</v>
      </c>
      <c r="I19" s="31">
        <v>145</v>
      </c>
      <c r="J19" s="31">
        <v>729</v>
      </c>
      <c r="K19" s="31">
        <v>6157</v>
      </c>
      <c r="L19" s="22">
        <v>1245</v>
      </c>
      <c r="M19" s="32">
        <v>8215</v>
      </c>
      <c r="N19" s="166"/>
      <c r="O19" s="167">
        <f t="shared" si="2"/>
        <v>21274</v>
      </c>
      <c r="R19" s="197"/>
      <c r="S19" s="169"/>
      <c r="T19" s="153"/>
      <c r="U19" s="30"/>
      <c r="V19" s="31"/>
      <c r="W19" s="31"/>
      <c r="X19" s="31"/>
      <c r="Y19" s="31"/>
      <c r="Z19" s="31"/>
      <c r="AA19" s="22"/>
      <c r="AB19" s="32"/>
      <c r="AC19" s="166"/>
      <c r="AD19" s="167"/>
    </row>
    <row r="20" spans="3:31" ht="38.25" thickBot="1" x14ac:dyDescent="0.35">
      <c r="C20" s="198" t="s">
        <v>144</v>
      </c>
      <c r="D20" s="168" t="s">
        <v>190</v>
      </c>
      <c r="E20" s="153"/>
      <c r="F20" s="212">
        <f>830+200+100+253</f>
        <v>1383</v>
      </c>
      <c r="G20" s="210">
        <f>1055+590</f>
        <v>1645</v>
      </c>
      <c r="H20" s="210">
        <f>3148+60+70+1967</f>
        <v>5245</v>
      </c>
      <c r="I20" s="210">
        <f>176+35+40</f>
        <v>251</v>
      </c>
      <c r="J20" s="210">
        <f>714</f>
        <v>714</v>
      </c>
      <c r="K20" s="210">
        <f>8637+68+88</f>
        <v>8793</v>
      </c>
      <c r="L20" s="211">
        <f>1947+1390+343+55+40</f>
        <v>3775</v>
      </c>
      <c r="M20" s="213">
        <v>7231</v>
      </c>
      <c r="N20" s="166"/>
      <c r="O20" s="167">
        <f t="shared" si="2"/>
        <v>29037</v>
      </c>
      <c r="R20" s="154"/>
      <c r="U20" s="30"/>
      <c r="V20" s="31"/>
      <c r="W20" s="254" t="s">
        <v>192</v>
      </c>
      <c r="X20" s="254"/>
      <c r="Y20" s="254"/>
      <c r="Z20" s="255"/>
      <c r="AA20" s="22"/>
      <c r="AB20" s="157"/>
      <c r="AC20" s="77"/>
      <c r="AD20" s="156">
        <v>0</v>
      </c>
    </row>
    <row r="21" spans="3:31" ht="24" thickBot="1" x14ac:dyDescent="0.35">
      <c r="C21" s="197"/>
      <c r="D21" s="169"/>
      <c r="E21" s="153"/>
      <c r="F21" s="30"/>
      <c r="G21" s="31"/>
      <c r="H21" s="31"/>
      <c r="I21" s="31"/>
      <c r="J21" s="31"/>
      <c r="K21" s="31"/>
      <c r="L21" s="22"/>
      <c r="M21" s="32"/>
      <c r="N21" s="166"/>
      <c r="O21" s="167">
        <f t="shared" si="2"/>
        <v>0</v>
      </c>
      <c r="S21" s="7"/>
      <c r="T21" s="1"/>
      <c r="U21" s="5"/>
      <c r="V21" s="5"/>
      <c r="W21" s="5"/>
      <c r="X21" s="5"/>
      <c r="Y21" s="5"/>
      <c r="Z21" s="5"/>
      <c r="AA21" s="5"/>
      <c r="AB21" s="173"/>
      <c r="AC21" s="174" t="s">
        <v>18</v>
      </c>
      <c r="AD21" s="175">
        <f>SUM(AD17:AD20)</f>
        <v>39532.5</v>
      </c>
    </row>
    <row r="22" spans="3:31" ht="21.75" thickBot="1" x14ac:dyDescent="0.4">
      <c r="C22" s="154"/>
      <c r="F22" s="30"/>
      <c r="G22" s="31"/>
      <c r="H22" s="251" t="s">
        <v>193</v>
      </c>
      <c r="I22" s="252"/>
      <c r="J22" s="252"/>
      <c r="K22" s="253"/>
      <c r="L22" s="22"/>
      <c r="M22" s="157"/>
      <c r="N22" s="77"/>
      <c r="O22" s="156">
        <v>0</v>
      </c>
      <c r="U22" s="5"/>
      <c r="V22" s="5"/>
      <c r="W22" s="155"/>
      <c r="X22" s="155"/>
      <c r="Y22" s="155"/>
      <c r="Z22" s="5"/>
      <c r="AA22" s="5"/>
      <c r="AB22" s="5"/>
      <c r="AC22" s="71"/>
      <c r="AD22" s="74"/>
      <c r="AE22" s="130"/>
    </row>
    <row r="23" spans="3:31" ht="24" thickBot="1" x14ac:dyDescent="0.35">
      <c r="D23" s="7"/>
      <c r="E23" s="1"/>
      <c r="F23" s="5"/>
      <c r="G23" s="5"/>
      <c r="H23" s="5"/>
      <c r="I23" s="5"/>
      <c r="J23" s="5"/>
      <c r="K23" s="5"/>
      <c r="L23" s="5"/>
      <c r="M23" s="173"/>
      <c r="N23" s="174" t="s">
        <v>18</v>
      </c>
      <c r="O23" s="175">
        <f>SUM(O17:O22)</f>
        <v>88878.5</v>
      </c>
      <c r="Q23" t="s">
        <v>26</v>
      </c>
    </row>
    <row r="24" spans="3:31" ht="21" x14ac:dyDescent="0.35">
      <c r="F24" s="5"/>
      <c r="G24" s="5"/>
      <c r="H24" s="155"/>
      <c r="I24" s="155"/>
      <c r="J24" s="155"/>
      <c r="K24" s="5"/>
      <c r="L24" s="5"/>
      <c r="M24" s="5"/>
      <c r="N24" s="71"/>
      <c r="O24" s="74"/>
      <c r="P24" s="130"/>
    </row>
    <row r="25" spans="3:31" ht="23.25" x14ac:dyDescent="0.3">
      <c r="D25" s="7"/>
      <c r="E25" s="1"/>
      <c r="F25" s="5"/>
      <c r="G25" s="5"/>
      <c r="H25" s="5"/>
      <c r="I25" s="5"/>
      <c r="J25" s="5"/>
      <c r="K25" s="5"/>
      <c r="L25" s="71"/>
      <c r="M25" s="207"/>
      <c r="N25" s="208"/>
      <c r="O25" s="209"/>
    </row>
    <row r="26" spans="3:31" ht="21" x14ac:dyDescent="0.35">
      <c r="F26" s="5"/>
      <c r="G26" s="5"/>
      <c r="H26" s="155"/>
      <c r="I26" s="155"/>
      <c r="J26" s="155"/>
      <c r="K26" s="5"/>
      <c r="L26" s="71"/>
      <c r="M26" s="71"/>
      <c r="N26" s="71"/>
      <c r="O26" s="74"/>
      <c r="P26" s="130"/>
    </row>
  </sheetData>
  <mergeCells count="11">
    <mergeCell ref="T2:AB2"/>
    <mergeCell ref="Z3:AB3"/>
    <mergeCell ref="T14:AB14"/>
    <mergeCell ref="Z15:AB15"/>
    <mergeCell ref="E2:M2"/>
    <mergeCell ref="K3:M3"/>
    <mergeCell ref="H22:K22"/>
    <mergeCell ref="W20:Z20"/>
    <mergeCell ref="E14:M14"/>
    <mergeCell ref="W7:Z7"/>
    <mergeCell ref="H10:K10"/>
  </mergeCells>
  <pageMargins left="0.25" right="0.25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34" t="s">
        <v>36</v>
      </c>
      <c r="D1" s="235"/>
      <c r="E1" s="235"/>
      <c r="F1" s="235"/>
      <c r="G1" s="235"/>
      <c r="H1" s="235"/>
      <c r="I1" s="235"/>
      <c r="J1" s="235"/>
      <c r="K1" s="235"/>
      <c r="L1" s="127" t="s">
        <v>41</v>
      </c>
      <c r="M1" s="133"/>
      <c r="N1" s="81"/>
      <c r="O1" s="247" t="s">
        <v>19</v>
      </c>
      <c r="P1" s="248"/>
      <c r="Q1" s="248"/>
      <c r="R1" s="248"/>
      <c r="S1" s="248"/>
      <c r="T1" s="248"/>
      <c r="U1" s="248"/>
      <c r="V1" s="248"/>
      <c r="W1" s="248"/>
      <c r="X1" s="128" t="s">
        <v>41</v>
      </c>
    </row>
    <row r="2" spans="2:27" ht="16.5" thickBot="1" x14ac:dyDescent="0.3">
      <c r="I2" s="238" t="s">
        <v>129</v>
      </c>
      <c r="J2" s="239"/>
      <c r="K2" s="240"/>
      <c r="L2" s="68"/>
      <c r="M2" s="134"/>
      <c r="N2" s="74"/>
      <c r="O2" s="7"/>
      <c r="P2"/>
      <c r="V2" s="238" t="s">
        <v>107</v>
      </c>
      <c r="W2" s="239"/>
      <c r="X2" s="240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41">
        <f>K18+J18+I18+H18+G18+F18+E18+D18+L18</f>
        <v>14572.5</v>
      </c>
      <c r="G20" s="242"/>
      <c r="H20" s="243"/>
      <c r="I20" s="5"/>
      <c r="J20" s="5"/>
      <c r="K20" s="5"/>
      <c r="L20" s="71"/>
      <c r="M20" s="74"/>
      <c r="N20" s="74"/>
      <c r="O20" s="7"/>
      <c r="P20"/>
      <c r="Q20" s="5"/>
      <c r="R20" s="5"/>
      <c r="S20" s="244">
        <f>Q18+R18+S18+T18+U18+V18+W18+X18</f>
        <v>21274</v>
      </c>
      <c r="T20" s="245"/>
      <c r="U20" s="246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Hoja2</vt:lpstr>
      <vt:lpstr>Hoja8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2023-10-07T20:55:18Z</cp:lastPrinted>
  <dcterms:created xsi:type="dcterms:W3CDTF">2023-08-22T02:09:42Z</dcterms:created>
  <dcterms:modified xsi:type="dcterms:W3CDTF">2023-10-14T17:53:44Z</dcterms:modified>
</cp:coreProperties>
</file>