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activeTab="2"/>
  </bookViews>
  <sheets>
    <sheet name="PAGOS " sheetId="1" r:id="rId1"/>
    <sheet name="Hoja3" sheetId="3" r:id="rId2"/>
    <sheet name="DESGLOSE GASTOS DEAN " sheetId="4" r:id="rId3"/>
    <sheet name="Hoja2" sheetId="5" r:id="rId4"/>
    <sheet name="EXISTENCIA" sheetId="6" r:id="rId5"/>
    <sheet name="Hoja5" sheetId="7" r:id="rId6"/>
  </sheets>
  <calcPr calcId="144525"/>
</workbook>
</file>

<file path=xl/calcChain.xml><?xml version="1.0" encoding="utf-8"?>
<calcChain xmlns="http://schemas.openxmlformats.org/spreadsheetml/2006/main">
  <c r="D87" i="4" l="1"/>
  <c r="D38" i="4"/>
  <c r="D59" i="4"/>
  <c r="D130" i="4"/>
  <c r="D23" i="4"/>
  <c r="D135" i="4"/>
  <c r="D111" i="4"/>
  <c r="D117" i="4"/>
  <c r="D40" i="4"/>
  <c r="D39" i="4"/>
  <c r="D85" i="4"/>
  <c r="D89" i="4"/>
  <c r="D88" i="4"/>
  <c r="D27" i="4"/>
  <c r="D81" i="4"/>
  <c r="D15" i="4"/>
  <c r="D118" i="4"/>
  <c r="D107" i="4"/>
  <c r="D60" i="4"/>
  <c r="D13" i="4"/>
  <c r="D46" i="4"/>
  <c r="D55" i="4"/>
  <c r="D93" i="4"/>
  <c r="D145" i="4"/>
  <c r="D51" i="4"/>
  <c r="D120" i="4"/>
  <c r="D142" i="4"/>
  <c r="D86" i="4"/>
  <c r="D18" i="4"/>
  <c r="D29" i="4"/>
  <c r="D69" i="4"/>
  <c r="D80" i="4"/>
  <c r="D19" i="4" l="1"/>
  <c r="D144" i="4"/>
  <c r="D66" i="4"/>
  <c r="D139" i="4"/>
  <c r="D83" i="4"/>
  <c r="D94" i="4"/>
  <c r="D123" i="4"/>
  <c r="D78" i="4"/>
  <c r="D112" i="4"/>
  <c r="D140" i="4"/>
  <c r="D14" i="4"/>
  <c r="D152" i="4" s="1"/>
  <c r="D154" i="4" s="1"/>
  <c r="D53" i="4"/>
  <c r="D138" i="4"/>
  <c r="D20" i="4"/>
  <c r="D133" i="4"/>
  <c r="D68" i="4"/>
  <c r="D76" i="4"/>
  <c r="D36" i="4"/>
  <c r="D33" i="4"/>
  <c r="D132" i="4"/>
  <c r="D148" i="4"/>
  <c r="D54" i="4"/>
  <c r="D62" i="4"/>
  <c r="D143" i="4"/>
  <c r="D146" i="4"/>
  <c r="D84" i="4"/>
  <c r="N15" i="1" l="1"/>
  <c r="E21" i="6" l="1"/>
  <c r="E4" i="6"/>
  <c r="D39" i="1" l="1"/>
  <c r="D35" i="1" l="1"/>
  <c r="D27" i="1" l="1"/>
  <c r="G10" i="1"/>
  <c r="G12" i="1" s="1"/>
  <c r="D21" i="1" l="1"/>
  <c r="G13" i="1" s="1"/>
  <c r="G14" i="1" s="1"/>
  <c r="G16" i="1" s="1"/>
  <c r="G18" i="1" s="1"/>
  <c r="G20" i="1" s="1"/>
  <c r="D15" i="1" l="1"/>
</calcChain>
</file>

<file path=xl/sharedStrings.xml><?xml version="1.0" encoding="utf-8"?>
<sst xmlns="http://schemas.openxmlformats.org/spreadsheetml/2006/main" count="205" uniqueCount="195">
  <si>
    <t>TRABAJOS DE DEAN 35 PUERTA DE HIERRO</t>
  </si>
  <si>
    <t>IMPORTE POR PAGAR</t>
  </si>
  <si>
    <t>CALENTADORES</t>
  </si>
  <si>
    <t>PISO DE MADERA</t>
  </si>
  <si>
    <t xml:space="preserve">Total </t>
  </si>
  <si>
    <t>TOTAL</t>
  </si>
  <si>
    <t>PAGOS</t>
  </si>
  <si>
    <t>SALDO</t>
  </si>
  <si>
    <t>ch-5165</t>
  </si>
  <si>
    <t>ch-5164</t>
  </si>
  <si>
    <t>ch-5163</t>
  </si>
  <si>
    <t>ch-5178</t>
  </si>
  <si>
    <t>ch-5188</t>
  </si>
  <si>
    <t>ch-5197</t>
  </si>
  <si>
    <t>CH-5198</t>
  </si>
  <si>
    <t>LAMPARAS</t>
  </si>
  <si>
    <t>CHEQUE</t>
  </si>
  <si>
    <t>Ch 5210</t>
  </si>
  <si>
    <t>Ch 5211</t>
  </si>
  <si>
    <t>Ch 5222</t>
  </si>
  <si>
    <t>CH-5230</t>
  </si>
  <si>
    <t>CH-5231</t>
  </si>
  <si>
    <t>CH-5246</t>
  </si>
  <si>
    <t>CH-5247</t>
  </si>
  <si>
    <t>CH-5244</t>
  </si>
  <si>
    <t>CH-5245</t>
  </si>
  <si>
    <t>CH-5263</t>
  </si>
  <si>
    <t>CH-5565</t>
  </si>
  <si>
    <t>SALDO AL 15 ENERO 2015</t>
  </si>
  <si>
    <t>CH-5264</t>
  </si>
  <si>
    <t>CH-5262</t>
  </si>
  <si>
    <t>CH-5267</t>
  </si>
  <si>
    <t>CH-263</t>
  </si>
  <si>
    <t>EFECTIVO</t>
  </si>
  <si>
    <t>CH-5288</t>
  </si>
  <si>
    <t>CH-5289</t>
  </si>
  <si>
    <t>CH-5290</t>
  </si>
  <si>
    <t>Obrador</t>
  </si>
  <si>
    <t>gastos</t>
  </si>
  <si>
    <t>nomina 04</t>
  </si>
  <si>
    <t>nomina 03</t>
  </si>
  <si>
    <t>nomina 02</t>
  </si>
  <si>
    <t>nomina 51</t>
  </si>
  <si>
    <t>nomina 49</t>
  </si>
  <si>
    <t>Saldo x Pago sn martin</t>
  </si>
  <si>
    <t xml:space="preserve">RELACION DE GASTOS EN LA OBRA DE DEAN </t>
  </si>
  <si>
    <t>CONCEPTO</t>
  </si>
  <si>
    <t>IMPORTE</t>
  </si>
  <si>
    <t>MECANICA SUELOS</t>
  </si>
  <si>
    <t>PROYECTO ESTRUCTURAL</t>
  </si>
  <si>
    <t>ALINEAMIENTO Y # OFICIAL</t>
  </si>
  <si>
    <t>FUSION DE PREDIOS</t>
  </si>
  <si>
    <t>USO DE SUELO</t>
  </si>
  <si>
    <t>LICENCIA DE CONTRUCCION</t>
  </si>
  <si>
    <t>DESPALME TERRENO</t>
  </si>
  <si>
    <t>EXCAVACION CARGA Y RETIROS</t>
  </si>
  <si>
    <t>BLOCK PARA BODEGA</t>
  </si>
  <si>
    <t>HULE NEGRO</t>
  </si>
  <si>
    <t xml:space="preserve">ARENA </t>
  </si>
  <si>
    <t>GRAVA</t>
  </si>
  <si>
    <t>TEPETATE</t>
  </si>
  <si>
    <t>BASE HIDRAUILICA</t>
  </si>
  <si>
    <t>BALASTRO</t>
  </si>
  <si>
    <t xml:space="preserve">ALBAÑILERIA </t>
  </si>
  <si>
    <t>ESTUDIO DE COMPRACTACION</t>
  </si>
  <si>
    <t>RETIRO DE TIERRA</t>
  </si>
  <si>
    <t>RETROEXCAVADORA CON ROTOMARTILLO</t>
  </si>
  <si>
    <t>DEMOLEDOR</t>
  </si>
  <si>
    <t>VIBRADOR</t>
  </si>
  <si>
    <t>TUBOS ADS PARA DRENAJE Y RED</t>
  </si>
  <si>
    <t>TABIQUE</t>
  </si>
  <si>
    <t>BLOCK REFORZADO</t>
  </si>
  <si>
    <t>GASOLINA PARA EQUIPOS</t>
  </si>
  <si>
    <t>FIBRA FEST</t>
  </si>
  <si>
    <t>FESTEGRAL</t>
  </si>
  <si>
    <t>VAPORTIE</t>
  </si>
  <si>
    <t>BANDA PVC OJILLADA</t>
  </si>
  <si>
    <t>TEZONTLE</t>
  </si>
  <si>
    <t>ESCOMBRO</t>
  </si>
  <si>
    <t>CONCRETO PREMESCLADO FC 200 KG/CM2 Cimentacion-Losas,muros</t>
  </si>
  <si>
    <t>FLETE</t>
  </si>
  <si>
    <t>COMPACTADORA 1  Y   2</t>
  </si>
  <si>
    <t>EXCAVADORA MINI</t>
  </si>
  <si>
    <t>HOME DEPOT  MATERIALES Y LOS VOLCANES</t>
  </si>
  <si>
    <t>FESTERGROUT</t>
  </si>
  <si>
    <t>CACAHUATILLO</t>
  </si>
  <si>
    <t>ESTRUCTURA METALICA</t>
  </si>
  <si>
    <t>CIMBRAFEST</t>
  </si>
  <si>
    <t>ARENA DE RIO</t>
  </si>
  <si>
    <t>ADHESIVO PARA PISO</t>
  </si>
  <si>
    <t>PISO  COLOCACION</t>
  </si>
  <si>
    <t>PISO PARA NIVELACION</t>
  </si>
  <si>
    <t>PREDIAL 2012 lote  99</t>
  </si>
  <si>
    <t>ADOQUIN</t>
  </si>
  <si>
    <t>ESCOMBRO CARGADO CON RETROESCAVADORA</t>
  </si>
  <si>
    <t>SANITARIO ( 17 Ene--16-Feb )( 17-Feb-16-Mar)( 17-Mar-16-Abr) ( 17-ABR--16 Jun )(17-Jun-16 Jul)( 17-Jul-16-Ago ) ( 17-Ago-16-Sep )( 17-Sep-16-Nov )</t>
  </si>
  <si>
    <t>SANITARIO  WC</t>
  </si>
  <si>
    <t>MARMOLES PUENTE ( carrara y arabescato )</t>
  </si>
  <si>
    <t xml:space="preserve">REVOLVEDORA </t>
  </si>
  <si>
    <t>CARTON para cubrir piso</t>
  </si>
  <si>
    <t>CINTA para cubrir piso</t>
  </si>
  <si>
    <t>ARENA DE BANCO</t>
  </si>
  <si>
    <t>PISO PERIODICO the gallery</t>
  </si>
  <si>
    <t>PISO CUADRADO DE BARRO</t>
  </si>
  <si>
    <t xml:space="preserve">JUNTA PARA PISO </t>
  </si>
  <si>
    <t>LIMPIEZA Y MATERIAL</t>
  </si>
  <si>
    <t>PISO TERRAZA</t>
  </si>
  <si>
    <t>PISO PARA COCHERA Y PASILLOS</t>
  </si>
  <si>
    <t>LAMINA ARABESCATO</t>
  </si>
  <si>
    <t>PISO  CENEFA EN DESPACHO</t>
  </si>
  <si>
    <t>BAÑOS 2   EQUIPAMIENTO The Gallery</t>
  </si>
  <si>
    <t>BAÑOS PLATOS DE DUCHA Y CANCEL  the Gallery</t>
  </si>
  <si>
    <t>VALVO</t>
  </si>
  <si>
    <t>COCINA  anticipo</t>
  </si>
  <si>
    <t>CABLE PARA INSTALACION ELECTRICA</t>
  </si>
  <si>
    <t>PISO Y AZULEJO SERVICIOS interceramic</t>
  </si>
  <si>
    <t>GRANITO NEGRO PARA PERALTES Y ASADOR</t>
  </si>
  <si>
    <t>DECK EXTERIOR  anticipo</t>
  </si>
  <si>
    <t xml:space="preserve">ALUMINIO DECORATIVA   tira </t>
  </si>
  <si>
    <t>MORTERO REFRACTARIO</t>
  </si>
  <si>
    <t>BAÑOS 2,3,4, y 5  AZULEJOS --PISOS  the Gallery</t>
  </si>
  <si>
    <t>TARJA Y MEZCLADORA PARA ASADOR</t>
  </si>
  <si>
    <t>CASITA PIZARRA NEGRA</t>
  </si>
  <si>
    <t>VERTEDEROS</t>
  </si>
  <si>
    <t>APAGADORES Y PLACAS</t>
  </si>
  <si>
    <t>LAMPARAS EMPOTRAR CHICA Y LED  lumicolor</t>
  </si>
  <si>
    <t>LAMPARAS SUBACUATICAS Y LED  lumicolor</t>
  </si>
  <si>
    <t>FUENTES EXTERIOR " cubos de onix "</t>
  </si>
  <si>
    <t>PIZARRA   PIJAS</t>
  </si>
  <si>
    <t xml:space="preserve">MARMOL  SELLADOR  para piso </t>
  </si>
  <si>
    <t xml:space="preserve">MARMOL pulido de piso </t>
  </si>
  <si>
    <t>CASITA  PISOS</t>
  </si>
  <si>
    <t>LLAVE DE EMPOTRAR CUARTO DE SERVICIO</t>
  </si>
  <si>
    <t xml:space="preserve">FUENTE INTERIOR  PISO NEGRO </t>
  </si>
  <si>
    <t>FUENTES EXTERIOR granito negro</t>
  </si>
  <si>
    <t>BAÑO PRINCIPAL piso blanco</t>
  </si>
  <si>
    <t>HIDRONEUMATICO,-BOMBA Y SUABIZADOR</t>
  </si>
  <si>
    <t>CFE  comision de luz</t>
  </si>
  <si>
    <t>CEMENTO</t>
  </si>
  <si>
    <t>CHAPA PRINCIPAL DIGITAL</t>
  </si>
  <si>
    <t>PIPAS DE AGUA</t>
  </si>
  <si>
    <t>PORTON PUERTAS DE VIDRIO TERRAZA</t>
  </si>
  <si>
    <t>LAMPARAS RECAMARAS VESTIDORES Y BAÑOS</t>
  </si>
  <si>
    <t>DUELA LAMINADA</t>
  </si>
  <si>
    <t>COCINA INTEGRAL</t>
  </si>
  <si>
    <t>CALENTADORES SOLARES</t>
  </si>
  <si>
    <t xml:space="preserve">JARDINERIA ( tierra y pasto ) </t>
  </si>
  <si>
    <t>BOQUILLA PARA AZULEJO</t>
  </si>
  <si>
    <t>SAL PARA SUAVIZADOR   bultos</t>
  </si>
  <si>
    <t>LAVADERO</t>
  </si>
  <si>
    <t xml:space="preserve">HERRERIA  </t>
  </si>
  <si>
    <t>BAÑO PRINCIPAL  Colocacion azulejo</t>
  </si>
  <si>
    <t>BAÑOS  CUBIERTAS DE CUARZO Y SELLADOR</t>
  </si>
  <si>
    <t xml:space="preserve">INSTALACION ELECTRICA  </t>
  </si>
  <si>
    <t xml:space="preserve">IMPERMEABILIZACION  </t>
  </si>
  <si>
    <t xml:space="preserve">CANCELERIA  </t>
  </si>
  <si>
    <t xml:space="preserve">CARPINTERIA  </t>
  </si>
  <si>
    <t xml:space="preserve">PINTURA  </t>
  </si>
  <si>
    <t>CHAPAS , JALADERAS, TOPES</t>
  </si>
  <si>
    <t>BAÑO PRINCIPAL  cancel y espejos</t>
  </si>
  <si>
    <t>PLACAS CIEGAS, FOCOS Y PLACAS INTEMPERIE</t>
  </si>
  <si>
    <t>LAMPARAS PLANTA BAJA TIRA LED Y ARBOTANTES</t>
  </si>
  <si>
    <t>LAMPARAS ARBOTANTE EXTERIOR Y RIELES TERRAZA</t>
  </si>
  <si>
    <t>LAMPARA COLGANTE MEDIO BAÑO</t>
  </si>
  <si>
    <t>LAMPARAS DECORATIVAS VESTIBULO Y SOTANO</t>
  </si>
  <si>
    <t>LAMPARAS DE ESTACA PARA JARDIN</t>
  </si>
  <si>
    <t>LAMPARAS COLGANTES DECORATIVA DOBLE ALTURA</t>
  </si>
  <si>
    <t>LAMPARA SOBREPONER ACCESO PRINCIPAL EXTERIOR</t>
  </si>
  <si>
    <t>LAMPARA DE EMPOTRAR</t>
  </si>
  <si>
    <t>PLACAS BLANCAS PARA APAGADORES</t>
  </si>
  <si>
    <t>ZOCLO DE MADERA</t>
  </si>
  <si>
    <t>CASITA PISO LAMINADO</t>
  </si>
  <si>
    <t>DUELA CUMARU PARA BANCA DE VAPOR</t>
  </si>
  <si>
    <t>PASTO SINTETICO</t>
  </si>
  <si>
    <t>CALENTADOR ELECTRICO</t>
  </si>
  <si>
    <t>GENERADORES DE VAPOR</t>
  </si>
  <si>
    <t>WC Y LAVABO INFANTIL LLAVES Y ACCESORIOS</t>
  </si>
  <si>
    <t xml:space="preserve">FUENTES JARDINERIA  Y PIEDRAS </t>
  </si>
  <si>
    <t>JARDINERIA SICAS, PALO DE BRASIL Y PIEDRAS ONIX</t>
  </si>
  <si>
    <t>JARDINERIA PIEDRAS EN ACCESO Y PODADAS</t>
  </si>
  <si>
    <t>MURO VERDE NATURAL</t>
  </si>
  <si>
    <t xml:space="preserve">MURO VERDE  INSTALACION HIDRAULICA Y TIMER </t>
  </si>
  <si>
    <t>INDIRECTOS</t>
  </si>
  <si>
    <t>LOSA DE VIGUETA Y BOVEDILLA  anticipos</t>
  </si>
  <si>
    <t xml:space="preserve">INSTALACION HIDROSANITARIA  </t>
  </si>
  <si>
    <t>TABLARROCA  Y YESO</t>
  </si>
  <si>
    <t>GRANITO FLAMEADO  mac trade  y sellador</t>
  </si>
  <si>
    <t>FUENTE EXTERIOR   malla negra</t>
  </si>
  <si>
    <t xml:space="preserve">RIEGO AUTOMATICO  </t>
  </si>
  <si>
    <t>BAÑO PRINCIPAL  azulejo  Y TIRA DECORATIVA the Gallery</t>
  </si>
  <si>
    <t>FUENTES BOMBA Y BOQUILLAS</t>
  </si>
  <si>
    <t>PAGOS COMO ANTICIPOS DE CONTRUCCION</t>
  </si>
  <si>
    <t>SALDO A PAGAR</t>
  </si>
  <si>
    <t>IMSS  GESTORIAS--mas cotizaciones</t>
  </si>
  <si>
    <t>TOTAL 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</si>
</sst>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\-mmm\-yy;@"/>
    <numFmt numFmtId="165" formatCode="[$-C0A]d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44" fontId="3" fillId="0" borderId="0" xfId="1" applyFont="1"/>
    <xf numFmtId="44" fontId="3" fillId="0" borderId="1" xfId="1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44" fontId="3" fillId="0" borderId="0" xfId="0" applyNumberFormat="1" applyFont="1"/>
    <xf numFmtId="164" fontId="0" fillId="0" borderId="0" xfId="0" applyNumberFormat="1"/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Border="1"/>
    <xf numFmtId="164" fontId="4" fillId="0" borderId="0" xfId="0" applyNumberFormat="1" applyFont="1" applyFill="1" applyBorder="1" applyAlignment="1">
      <alignment horizontal="center"/>
    </xf>
    <xf numFmtId="164" fontId="3" fillId="0" borderId="0" xfId="0" applyNumberFormat="1" applyFont="1"/>
    <xf numFmtId="0" fontId="0" fillId="0" borderId="2" xfId="0" applyBorder="1"/>
    <xf numFmtId="44" fontId="3" fillId="0" borderId="3" xfId="1" applyFont="1" applyBorder="1"/>
    <xf numFmtId="44" fontId="3" fillId="0" borderId="4" xfId="0" applyNumberFormat="1" applyFont="1" applyBorder="1"/>
    <xf numFmtId="44" fontId="3" fillId="2" borderId="0" xfId="0" applyNumberFormat="1" applyFont="1" applyFill="1"/>
    <xf numFmtId="44" fontId="3" fillId="0" borderId="0" xfId="1" applyFont="1" applyBorder="1"/>
    <xf numFmtId="0" fontId="5" fillId="0" borderId="0" xfId="0" applyFont="1"/>
    <xf numFmtId="44" fontId="5" fillId="0" borderId="0" xfId="1" applyFont="1"/>
    <xf numFmtId="44" fontId="5" fillId="0" borderId="1" xfId="1" applyFont="1" applyBorder="1"/>
    <xf numFmtId="0" fontId="4" fillId="0" borderId="0" xfId="0" applyFont="1"/>
    <xf numFmtId="44" fontId="6" fillId="0" borderId="1" xfId="1" applyFont="1" applyBorder="1"/>
    <xf numFmtId="44" fontId="0" fillId="0" borderId="0" xfId="1" applyFont="1"/>
    <xf numFmtId="165" fontId="0" fillId="0" borderId="0" xfId="0" applyNumberFormat="1"/>
    <xf numFmtId="165" fontId="4" fillId="0" borderId="0" xfId="0" applyNumberFormat="1" applyFont="1"/>
    <xf numFmtId="44" fontId="4" fillId="0" borderId="0" xfId="1" applyFont="1"/>
    <xf numFmtId="44" fontId="4" fillId="0" borderId="1" xfId="1" applyFont="1" applyBorder="1"/>
    <xf numFmtId="16" fontId="4" fillId="0" borderId="0" xfId="0" applyNumberFormat="1" applyFont="1"/>
    <xf numFmtId="44" fontId="4" fillId="0" borderId="0" xfId="1" applyFont="1" applyAlignment="1">
      <alignment horizontal="right"/>
    </xf>
    <xf numFmtId="0" fontId="7" fillId="0" borderId="5" xfId="0" applyFont="1" applyBorder="1" applyAlignment="1">
      <alignment horizontal="center"/>
    </xf>
    <xf numFmtId="0" fontId="7" fillId="0" borderId="6" xfId="0" applyFont="1" applyBorder="1"/>
    <xf numFmtId="44" fontId="8" fillId="0" borderId="0" xfId="1" applyFont="1"/>
    <xf numFmtId="0" fontId="2" fillId="0" borderId="0" xfId="0" applyFont="1"/>
    <xf numFmtId="44" fontId="8" fillId="0" borderId="1" xfId="1" applyFont="1" applyBorder="1"/>
    <xf numFmtId="44" fontId="8" fillId="0" borderId="0" xfId="1" applyFont="1" applyAlignment="1">
      <alignment horizontal="center"/>
    </xf>
    <xf numFmtId="44" fontId="8" fillId="0" borderId="8" xfId="1" applyFont="1" applyBorder="1"/>
    <xf numFmtId="0" fontId="4" fillId="0" borderId="8" xfId="0" applyFont="1" applyBorder="1"/>
    <xf numFmtId="0" fontId="2" fillId="0" borderId="8" xfId="0" applyFont="1" applyBorder="1"/>
    <xf numFmtId="0" fontId="10" fillId="0" borderId="8" xfId="0" applyFont="1" applyBorder="1"/>
    <xf numFmtId="0" fontId="11" fillId="0" borderId="8" xfId="0" applyFont="1" applyBorder="1"/>
    <xf numFmtId="0" fontId="2" fillId="2" borderId="8" xfId="0" applyFont="1" applyFill="1" applyBorder="1"/>
    <xf numFmtId="0" fontId="12" fillId="0" borderId="8" xfId="0" applyFont="1" applyBorder="1"/>
    <xf numFmtId="0" fontId="13" fillId="0" borderId="8" xfId="0" applyFont="1" applyBorder="1"/>
    <xf numFmtId="0" fontId="13" fillId="0" borderId="8" xfId="0" applyFont="1" applyBorder="1" applyAlignment="1">
      <alignment wrapText="1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44" fontId="8" fillId="0" borderId="0" xfId="1" applyFont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/>
    <xf numFmtId="44" fontId="9" fillId="0" borderId="7" xfId="1" applyFont="1" applyBorder="1"/>
    <xf numFmtId="0" fontId="14" fillId="0" borderId="8" xfId="0" applyFont="1" applyBorder="1"/>
    <xf numFmtId="0" fontId="15" fillId="0" borderId="8" xfId="0" applyFont="1" applyBorder="1"/>
    <xf numFmtId="0" fontId="16" fillId="0" borderId="8" xfId="0" applyFont="1" applyBorder="1"/>
    <xf numFmtId="0" fontId="17" fillId="0" borderId="8" xfId="0" applyFont="1" applyBorder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workbookViewId="0">
      <selection activeCell="D27" sqref="D27"/>
    </sheetView>
  </sheetViews>
  <sheetFormatPr baseColWidth="10" defaultRowHeight="18.75" x14ac:dyDescent="0.3"/>
  <cols>
    <col min="2" max="2" width="11.42578125" style="6"/>
    <col min="4" max="4" width="19.5703125" style="1" bestFit="1" customWidth="1"/>
    <col min="7" max="8" width="19.5703125" bestFit="1" customWidth="1"/>
    <col min="14" max="14" width="18.85546875" bestFit="1" customWidth="1"/>
  </cols>
  <sheetData>
    <row r="2" spans="1:14" x14ac:dyDescent="0.3">
      <c r="A2" s="4" t="s">
        <v>28</v>
      </c>
      <c r="B2" s="10"/>
      <c r="C2" s="4"/>
      <c r="E2" s="11"/>
    </row>
    <row r="3" spans="1:14" x14ac:dyDescent="0.3">
      <c r="A3" s="4"/>
      <c r="B3" s="10"/>
      <c r="C3" s="4"/>
      <c r="E3" s="11"/>
    </row>
    <row r="4" spans="1:14" x14ac:dyDescent="0.3">
      <c r="A4" s="4" t="s">
        <v>0</v>
      </c>
      <c r="B4" s="10"/>
      <c r="C4" s="4"/>
      <c r="E4" s="11"/>
    </row>
    <row r="5" spans="1:14" x14ac:dyDescent="0.3">
      <c r="E5" s="11"/>
    </row>
    <row r="6" spans="1:14" x14ac:dyDescent="0.3">
      <c r="E6" s="11" t="s">
        <v>1</v>
      </c>
      <c r="G6" s="1">
        <v>875500</v>
      </c>
    </row>
    <row r="7" spans="1:14" x14ac:dyDescent="0.3">
      <c r="B7" s="7"/>
      <c r="E7" s="11" t="s">
        <v>2</v>
      </c>
      <c r="G7" s="1">
        <v>30000</v>
      </c>
    </row>
    <row r="8" spans="1:14" x14ac:dyDescent="0.3">
      <c r="B8" s="7"/>
      <c r="E8" s="11" t="s">
        <v>3</v>
      </c>
      <c r="G8" s="15">
        <v>300000</v>
      </c>
    </row>
    <row r="9" spans="1:14" ht="19.5" thickBot="1" x14ac:dyDescent="0.35">
      <c r="B9" s="7"/>
      <c r="E9" s="11" t="s">
        <v>15</v>
      </c>
      <c r="G9" s="2">
        <v>139691</v>
      </c>
    </row>
    <row r="10" spans="1:14" ht="19.5" thickTop="1" x14ac:dyDescent="0.3">
      <c r="B10" s="7"/>
      <c r="E10" s="11"/>
      <c r="F10" s="3" t="s">
        <v>4</v>
      </c>
      <c r="G10" s="1">
        <f>SUM(G6:G9)</f>
        <v>1345191</v>
      </c>
    </row>
    <row r="11" spans="1:14" ht="21.75" thickBot="1" x14ac:dyDescent="0.4">
      <c r="B11" s="7"/>
      <c r="E11" s="11"/>
      <c r="F11" t="s">
        <v>6</v>
      </c>
      <c r="G11" s="2">
        <v>-205043.98</v>
      </c>
      <c r="L11" s="16" t="s">
        <v>16</v>
      </c>
      <c r="M11" s="16">
        <v>5210</v>
      </c>
      <c r="N11" s="17">
        <v>65696.7</v>
      </c>
    </row>
    <row r="12" spans="1:14" ht="21.75" thickTop="1" x14ac:dyDescent="0.35">
      <c r="B12" s="9">
        <v>41885</v>
      </c>
      <c r="C12" t="s">
        <v>8</v>
      </c>
      <c r="D12" s="1">
        <v>69457.53</v>
      </c>
      <c r="E12" s="11"/>
      <c r="F12" s="4" t="s">
        <v>7</v>
      </c>
      <c r="G12" s="5">
        <f>SUM(G10:G11)</f>
        <v>1140147.02</v>
      </c>
      <c r="L12" s="16" t="s">
        <v>16</v>
      </c>
      <c r="M12" s="16">
        <v>5211</v>
      </c>
      <c r="N12" s="17">
        <v>65886.429999999993</v>
      </c>
    </row>
    <row r="13" spans="1:14" ht="21.75" thickBot="1" x14ac:dyDescent="0.4">
      <c r="B13" s="9">
        <v>41885</v>
      </c>
      <c r="C13" t="s">
        <v>9</v>
      </c>
      <c r="D13" s="1">
        <v>66556.22</v>
      </c>
      <c r="E13" s="11"/>
      <c r="F13" t="s">
        <v>6</v>
      </c>
      <c r="G13" s="13">
        <f>-D21</f>
        <v>-274305</v>
      </c>
      <c r="L13" s="16" t="s">
        <v>16</v>
      </c>
      <c r="M13" s="16">
        <v>5222</v>
      </c>
      <c r="N13" s="17">
        <v>65341.32</v>
      </c>
    </row>
    <row r="14" spans="1:14" ht="21.75" thickBot="1" x14ac:dyDescent="0.4">
      <c r="B14" s="9">
        <v>41885</v>
      </c>
      <c r="C14" t="s">
        <v>10</v>
      </c>
      <c r="D14" s="2">
        <v>69030.23</v>
      </c>
      <c r="E14" s="11"/>
      <c r="G14" s="14">
        <f>G12+G13</f>
        <v>865842.02</v>
      </c>
      <c r="L14" s="16"/>
      <c r="M14" s="16"/>
      <c r="N14" s="18">
        <v>0</v>
      </c>
    </row>
    <row r="15" spans="1:14" ht="22.5" thickTop="1" thickBot="1" x14ac:dyDescent="0.4">
      <c r="B15" s="8"/>
      <c r="C15" s="3" t="s">
        <v>5</v>
      </c>
      <c r="D15" s="1">
        <f>SUM(D12:D14)</f>
        <v>205043.97999999998</v>
      </c>
      <c r="E15" s="11"/>
      <c r="F15" t="s">
        <v>6</v>
      </c>
      <c r="G15" s="2">
        <v>-196924.5</v>
      </c>
      <c r="L15" s="16"/>
      <c r="M15" s="16"/>
      <c r="N15" s="17">
        <f>SUM(N11:N14)</f>
        <v>196924.45</v>
      </c>
    </row>
    <row r="16" spans="1:14" ht="19.5" thickTop="1" x14ac:dyDescent="0.3">
      <c r="B16" s="7"/>
      <c r="E16" s="11"/>
      <c r="F16" s="4" t="s">
        <v>7</v>
      </c>
      <c r="G16" s="5">
        <f>G15+G14</f>
        <v>668917.52</v>
      </c>
    </row>
    <row r="17" spans="2:7" ht="19.5" thickBot="1" x14ac:dyDescent="0.35">
      <c r="B17" s="6">
        <v>41929</v>
      </c>
      <c r="C17" t="s">
        <v>11</v>
      </c>
      <c r="D17" s="1">
        <v>69759.5</v>
      </c>
      <c r="E17" s="11"/>
      <c r="F17" t="s">
        <v>6</v>
      </c>
      <c r="G17" s="2">
        <v>-404872.58</v>
      </c>
    </row>
    <row r="18" spans="2:7" ht="19.5" thickTop="1" x14ac:dyDescent="0.3">
      <c r="B18" s="6">
        <v>41929</v>
      </c>
      <c r="C18" t="s">
        <v>12</v>
      </c>
      <c r="D18" s="1">
        <v>69120.5</v>
      </c>
      <c r="E18" s="11"/>
      <c r="F18" s="19" t="s">
        <v>7</v>
      </c>
      <c r="G18" s="5">
        <f>G16+G17</f>
        <v>264044.94</v>
      </c>
    </row>
    <row r="19" spans="2:7" ht="19.5" thickBot="1" x14ac:dyDescent="0.35">
      <c r="B19" s="6">
        <v>41929</v>
      </c>
      <c r="C19" t="s">
        <v>13</v>
      </c>
      <c r="D19" s="1">
        <v>67871.5</v>
      </c>
      <c r="E19" s="11"/>
      <c r="F19" t="s">
        <v>6</v>
      </c>
      <c r="G19" s="20">
        <v>-135428</v>
      </c>
    </row>
    <row r="20" spans="2:7" ht="20.25" thickTop="1" thickBot="1" x14ac:dyDescent="0.35">
      <c r="B20" s="6">
        <v>41929</v>
      </c>
      <c r="C20" t="s">
        <v>14</v>
      </c>
      <c r="D20" s="12">
        <v>67553.5</v>
      </c>
      <c r="E20" s="11"/>
      <c r="G20" s="5">
        <f>G18+G19</f>
        <v>128616.94</v>
      </c>
    </row>
    <row r="21" spans="2:7" ht="19.5" thickTop="1" x14ac:dyDescent="0.3">
      <c r="D21" s="1">
        <f>SUM(D17:D20)</f>
        <v>274305</v>
      </c>
      <c r="E21" s="11"/>
    </row>
    <row r="22" spans="2:7" x14ac:dyDescent="0.3">
      <c r="E22" s="11"/>
    </row>
    <row r="23" spans="2:7" x14ac:dyDescent="0.3">
      <c r="E23" s="11"/>
    </row>
    <row r="24" spans="2:7" x14ac:dyDescent="0.3">
      <c r="B24" s="6">
        <v>41954</v>
      </c>
      <c r="C24" t="s">
        <v>17</v>
      </c>
      <c r="D24" s="1">
        <v>65696.7</v>
      </c>
      <c r="E24" s="11"/>
    </row>
    <row r="25" spans="2:7" x14ac:dyDescent="0.3">
      <c r="B25" s="6">
        <v>41954</v>
      </c>
      <c r="C25" t="s">
        <v>18</v>
      </c>
      <c r="D25" s="1">
        <v>65886.429999999993</v>
      </c>
      <c r="E25" s="11"/>
    </row>
    <row r="26" spans="2:7" ht="19.5" thickBot="1" x14ac:dyDescent="0.35">
      <c r="B26" s="6">
        <v>41923</v>
      </c>
      <c r="C26" t="s">
        <v>19</v>
      </c>
      <c r="D26" s="12">
        <v>65341.32</v>
      </c>
      <c r="E26" s="11"/>
    </row>
    <row r="27" spans="2:7" ht="19.5" thickTop="1" x14ac:dyDescent="0.3">
      <c r="D27" s="1">
        <f>SUM(D24:D26)</f>
        <v>196924.45</v>
      </c>
      <c r="E27" s="11"/>
    </row>
    <row r="28" spans="2:7" x14ac:dyDescent="0.3">
      <c r="E28" s="11"/>
    </row>
    <row r="29" spans="2:7" x14ac:dyDescent="0.3">
      <c r="B29" s="6">
        <v>42003</v>
      </c>
      <c r="C29" t="s">
        <v>20</v>
      </c>
      <c r="D29" s="1">
        <v>65978.97</v>
      </c>
      <c r="E29" s="11"/>
    </row>
    <row r="30" spans="2:7" x14ac:dyDescent="0.3">
      <c r="B30" s="6">
        <v>42003</v>
      </c>
      <c r="C30" t="s">
        <v>21</v>
      </c>
      <c r="D30" s="1">
        <v>69796.78</v>
      </c>
      <c r="E30" s="11"/>
    </row>
    <row r="31" spans="2:7" x14ac:dyDescent="0.3">
      <c r="B31" s="6">
        <v>42003</v>
      </c>
      <c r="C31" t="s">
        <v>22</v>
      </c>
      <c r="D31" s="1">
        <v>65132.71</v>
      </c>
      <c r="E31" s="11"/>
    </row>
    <row r="32" spans="2:7" x14ac:dyDescent="0.3">
      <c r="B32" s="6">
        <v>42003</v>
      </c>
      <c r="C32" t="s">
        <v>23</v>
      </c>
      <c r="D32" s="1">
        <v>65431.55</v>
      </c>
      <c r="E32" s="11"/>
    </row>
    <row r="33" spans="2:5" x14ac:dyDescent="0.3">
      <c r="B33" s="6">
        <v>42003</v>
      </c>
      <c r="C33" t="s">
        <v>24</v>
      </c>
      <c r="D33" s="1">
        <v>70075.45</v>
      </c>
      <c r="E33" s="11"/>
    </row>
    <row r="34" spans="2:5" ht="19.5" thickBot="1" x14ac:dyDescent="0.35">
      <c r="B34" s="6">
        <v>42003</v>
      </c>
      <c r="C34" t="s">
        <v>25</v>
      </c>
      <c r="D34" s="12">
        <v>68457.119999999995</v>
      </c>
      <c r="E34" s="11"/>
    </row>
    <row r="35" spans="2:5" ht="19.5" thickTop="1" x14ac:dyDescent="0.3">
      <c r="D35" s="1">
        <f>SUM(D29:D34)</f>
        <v>404872.58</v>
      </c>
    </row>
    <row r="37" spans="2:5" x14ac:dyDescent="0.3">
      <c r="B37" s="6">
        <v>42019</v>
      </c>
      <c r="C37" t="s">
        <v>26</v>
      </c>
      <c r="D37" s="1">
        <v>66209</v>
      </c>
    </row>
    <row r="38" spans="2:5" ht="19.5" thickBot="1" x14ac:dyDescent="0.35">
      <c r="B38" s="6">
        <v>42019</v>
      </c>
      <c r="C38" t="s">
        <v>27</v>
      </c>
      <c r="D38" s="2">
        <v>69219</v>
      </c>
    </row>
    <row r="39" spans="2:5" ht="19.5" thickTop="1" x14ac:dyDescent="0.3">
      <c r="D39" s="1">
        <f>SUM(D37:D38)</f>
        <v>135428</v>
      </c>
    </row>
  </sheetData>
  <pageMargins left="0.31496062992125984" right="0.11811023622047245" top="0.74803149606299213" bottom="0.74803149606299213" header="0.31496062992125984" footer="0.31496062992125984"/>
  <pageSetup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1:F43"/>
  <sheetViews>
    <sheetView topLeftCell="A31" workbookViewId="0">
      <selection activeCell="E48" sqref="E48"/>
    </sheetView>
  </sheetViews>
  <sheetFormatPr baseColWidth="10" defaultRowHeight="15" x14ac:dyDescent="0.25"/>
  <cols>
    <col min="5" max="5" width="11.85546875" bestFit="1" customWidth="1"/>
    <col min="6" max="6" width="18.85546875" bestFit="1" customWidth="1"/>
  </cols>
  <sheetData>
    <row r="41" spans="4:6" ht="18.75" x14ac:dyDescent="0.3">
      <c r="D41" s="4"/>
      <c r="E41" s="4"/>
      <c r="F41" s="1"/>
    </row>
    <row r="42" spans="4:6" ht="18.75" x14ac:dyDescent="0.3">
      <c r="D42" s="4"/>
      <c r="E42" s="4"/>
      <c r="F42" s="1"/>
    </row>
    <row r="43" spans="4:6" ht="18.75" x14ac:dyDescent="0.3">
      <c r="D43" s="4"/>
      <c r="E43" s="4"/>
      <c r="F43" s="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F154"/>
  <sheetViews>
    <sheetView tabSelected="1" workbookViewId="0">
      <pane xSplit="2" ySplit="4" topLeftCell="C110" activePane="bottomRight" state="frozen"/>
      <selection pane="topRight" activeCell="C1" sqref="C1"/>
      <selection pane="bottomLeft" activeCell="A5" sqref="A5"/>
      <selection pane="bottomRight" activeCell="G119" sqref="G119"/>
    </sheetView>
  </sheetViews>
  <sheetFormatPr baseColWidth="10" defaultRowHeight="15.75" x14ac:dyDescent="0.25"/>
  <cols>
    <col min="1" max="1" width="6" style="31" customWidth="1"/>
    <col min="2" max="2" width="51.85546875" style="31" customWidth="1"/>
    <col min="3" max="3" width="4.42578125" style="31" customWidth="1"/>
    <col min="4" max="4" width="17.42578125" style="30" bestFit="1" customWidth="1"/>
    <col min="5" max="5" width="11.42578125" style="31"/>
    <col min="6" max="6" width="16.7109375" style="31" customWidth="1"/>
    <col min="7" max="16384" width="11.42578125" style="31"/>
  </cols>
  <sheetData>
    <row r="2" spans="2:4" ht="21" x14ac:dyDescent="0.35">
      <c r="B2" s="53" t="s">
        <v>45</v>
      </c>
      <c r="C2" s="53"/>
      <c r="D2" s="53"/>
    </row>
    <row r="3" spans="2:4" ht="16.5" thickBot="1" x14ac:dyDescent="0.3"/>
    <row r="4" spans="2:4" ht="19.5" thickBot="1" x14ac:dyDescent="0.35">
      <c r="B4" s="28" t="s">
        <v>46</v>
      </c>
      <c r="C4" s="29"/>
      <c r="D4" s="33" t="s">
        <v>47</v>
      </c>
    </row>
    <row r="6" spans="2:4" x14ac:dyDescent="0.25">
      <c r="B6" s="36" t="s">
        <v>48</v>
      </c>
      <c r="C6" s="36"/>
      <c r="D6" s="34">
        <v>23400</v>
      </c>
    </row>
    <row r="7" spans="2:4" x14ac:dyDescent="0.25">
      <c r="B7" s="36" t="s">
        <v>49</v>
      </c>
      <c r="C7" s="36"/>
      <c r="D7" s="34">
        <v>27798</v>
      </c>
    </row>
    <row r="8" spans="2:4" x14ac:dyDescent="0.25">
      <c r="B8" s="36" t="s">
        <v>50</v>
      </c>
      <c r="C8" s="36"/>
      <c r="D8" s="34">
        <v>841.53</v>
      </c>
    </row>
    <row r="9" spans="2:4" x14ac:dyDescent="0.25">
      <c r="B9" s="36" t="s">
        <v>51</v>
      </c>
      <c r="C9" s="36"/>
      <c r="D9" s="34">
        <v>2126</v>
      </c>
    </row>
    <row r="10" spans="2:4" x14ac:dyDescent="0.25">
      <c r="B10" s="36" t="s">
        <v>52</v>
      </c>
      <c r="C10" s="36"/>
      <c r="D10" s="34">
        <v>4012.8</v>
      </c>
    </row>
    <row r="11" spans="2:4" x14ac:dyDescent="0.25">
      <c r="B11" s="36" t="s">
        <v>53</v>
      </c>
      <c r="C11" s="36"/>
      <c r="D11" s="34">
        <v>23578.07</v>
      </c>
    </row>
    <row r="12" spans="2:4" x14ac:dyDescent="0.25">
      <c r="B12" s="39"/>
      <c r="C12" s="36"/>
      <c r="D12" s="34">
        <v>0</v>
      </c>
    </row>
    <row r="13" spans="2:4" x14ac:dyDescent="0.25">
      <c r="B13" s="36" t="s">
        <v>89</v>
      </c>
      <c r="C13" s="36"/>
      <c r="D13" s="34">
        <f>5707.2+4245+5160.14+2425.27+645.02+712.35+6840.78+285.01+6450.18+3551.54+2502+5561.04+714.03</f>
        <v>44799.56</v>
      </c>
    </row>
    <row r="14" spans="2:4" x14ac:dyDescent="0.25">
      <c r="B14" s="36" t="s">
        <v>93</v>
      </c>
      <c r="C14" s="36"/>
      <c r="D14" s="34">
        <f>5875+2440</f>
        <v>8315</v>
      </c>
    </row>
    <row r="15" spans="2:4" x14ac:dyDescent="0.25">
      <c r="B15" s="50" t="s">
        <v>63</v>
      </c>
      <c r="C15" s="36"/>
      <c r="D15" s="34">
        <f>30000+85000+125000+180000+232000+150000+175000+45000+24500+15000+13000+8000+11000+2000+7300+1800</f>
        <v>1104600</v>
      </c>
    </row>
    <row r="16" spans="2:4" x14ac:dyDescent="0.25">
      <c r="B16" s="36" t="s">
        <v>118</v>
      </c>
      <c r="C16" s="36"/>
      <c r="D16" s="34">
        <v>702</v>
      </c>
    </row>
    <row r="17" spans="2:4" x14ac:dyDescent="0.25">
      <c r="B17" s="36" t="s">
        <v>124</v>
      </c>
      <c r="C17" s="36"/>
      <c r="D17" s="34">
        <v>146526.22</v>
      </c>
    </row>
    <row r="18" spans="2:4" x14ac:dyDescent="0.25">
      <c r="B18" s="36" t="s">
        <v>58</v>
      </c>
      <c r="C18" s="36"/>
      <c r="D18" s="34">
        <f>1300+3900+3900+5200+5850+3250+3250+4550+400</f>
        <v>31600</v>
      </c>
    </row>
    <row r="19" spans="2:4" x14ac:dyDescent="0.25">
      <c r="B19" s="36" t="s">
        <v>101</v>
      </c>
      <c r="C19" s="36"/>
      <c r="D19" s="34">
        <f>3000+750+1500+350</f>
        <v>5600</v>
      </c>
    </row>
    <row r="20" spans="2:4" x14ac:dyDescent="0.25">
      <c r="B20" s="36" t="s">
        <v>88</v>
      </c>
      <c r="C20" s="36"/>
      <c r="D20" s="34">
        <f>4160+2080+1050</f>
        <v>7290</v>
      </c>
    </row>
    <row r="21" spans="2:4" x14ac:dyDescent="0.25">
      <c r="B21" s="36" t="s">
        <v>62</v>
      </c>
      <c r="C21" s="36"/>
      <c r="D21" s="34">
        <v>3200</v>
      </c>
    </row>
    <row r="22" spans="2:4" x14ac:dyDescent="0.25">
      <c r="B22" s="36" t="s">
        <v>76</v>
      </c>
      <c r="C22" s="36"/>
      <c r="D22" s="34">
        <v>4872</v>
      </c>
    </row>
    <row r="23" spans="2:4" x14ac:dyDescent="0.25">
      <c r="B23" s="40" t="s">
        <v>189</v>
      </c>
      <c r="C23" s="36"/>
      <c r="D23" s="34">
        <f>58076.47+26678.09</f>
        <v>84754.559999999998</v>
      </c>
    </row>
    <row r="24" spans="2:4" x14ac:dyDescent="0.25">
      <c r="B24" s="36" t="s">
        <v>159</v>
      </c>
      <c r="C24" s="36"/>
      <c r="D24" s="34">
        <v>58775</v>
      </c>
    </row>
    <row r="25" spans="2:4" x14ac:dyDescent="0.25">
      <c r="B25" s="36" t="s">
        <v>151</v>
      </c>
      <c r="C25" s="36"/>
      <c r="D25" s="34">
        <v>10500</v>
      </c>
    </row>
    <row r="26" spans="2:4" x14ac:dyDescent="0.25">
      <c r="B26" s="36" t="s">
        <v>135</v>
      </c>
      <c r="C26" s="36"/>
      <c r="D26" s="34">
        <v>21356.41</v>
      </c>
    </row>
    <row r="27" spans="2:4" x14ac:dyDescent="0.25">
      <c r="B27" s="36" t="s">
        <v>152</v>
      </c>
      <c r="C27" s="36"/>
      <c r="D27" s="34">
        <f>67500+5300</f>
        <v>72800</v>
      </c>
    </row>
    <row r="28" spans="2:4" x14ac:dyDescent="0.25">
      <c r="B28" s="36" t="s">
        <v>110</v>
      </c>
      <c r="C28" s="36"/>
      <c r="D28" s="34">
        <v>156316.06</v>
      </c>
    </row>
    <row r="29" spans="2:4" x14ac:dyDescent="0.25">
      <c r="B29" s="36" t="s">
        <v>120</v>
      </c>
      <c r="C29" s="36"/>
      <c r="D29" s="34">
        <f>119848.74+40316.15</f>
        <v>160164.89000000001</v>
      </c>
    </row>
    <row r="30" spans="2:4" x14ac:dyDescent="0.25">
      <c r="B30" s="36" t="s">
        <v>111</v>
      </c>
      <c r="C30" s="36"/>
      <c r="D30" s="34">
        <v>42829.45</v>
      </c>
    </row>
    <row r="31" spans="2:4" x14ac:dyDescent="0.25">
      <c r="B31" s="36" t="s">
        <v>61</v>
      </c>
      <c r="C31" s="36"/>
      <c r="D31" s="34">
        <v>3800</v>
      </c>
    </row>
    <row r="32" spans="2:4" x14ac:dyDescent="0.25">
      <c r="B32" s="36" t="s">
        <v>56</v>
      </c>
      <c r="C32" s="36"/>
      <c r="D32" s="34">
        <v>2100</v>
      </c>
    </row>
    <row r="33" spans="2:4" x14ac:dyDescent="0.25">
      <c r="B33" s="36" t="s">
        <v>71</v>
      </c>
      <c r="C33" s="36"/>
      <c r="D33" s="34">
        <f>9690+3420+3990+1710+2850+2850</f>
        <v>24510</v>
      </c>
    </row>
    <row r="34" spans="2:4" x14ac:dyDescent="0.25">
      <c r="B34" s="36" t="s">
        <v>147</v>
      </c>
      <c r="C34" s="36"/>
      <c r="D34" s="34">
        <v>98.99</v>
      </c>
    </row>
    <row r="35" spans="2:4" x14ac:dyDescent="0.25">
      <c r="B35" s="36" t="s">
        <v>114</v>
      </c>
      <c r="C35" s="36"/>
      <c r="D35" s="34">
        <v>19898.41</v>
      </c>
    </row>
    <row r="36" spans="2:4" x14ac:dyDescent="0.25">
      <c r="B36" s="36" t="s">
        <v>85</v>
      </c>
      <c r="C36" s="36"/>
      <c r="D36" s="34">
        <f>1600+1600+4800+1600</f>
        <v>9600</v>
      </c>
    </row>
    <row r="37" spans="2:4" x14ac:dyDescent="0.25">
      <c r="B37" s="36" t="s">
        <v>174</v>
      </c>
      <c r="C37" s="36"/>
      <c r="D37" s="34">
        <v>6450.01</v>
      </c>
    </row>
    <row r="38" spans="2:4" x14ac:dyDescent="0.25">
      <c r="B38" s="36" t="s">
        <v>145</v>
      </c>
      <c r="C38" s="36"/>
      <c r="D38" s="34">
        <f>13896+7424</f>
        <v>21320</v>
      </c>
    </row>
    <row r="39" spans="2:4" x14ac:dyDescent="0.25">
      <c r="B39" s="51" t="s">
        <v>155</v>
      </c>
      <c r="C39" s="36"/>
      <c r="D39" s="34">
        <f>250000+135000+80000+70000+30000+50000+50000+10000</f>
        <v>675000</v>
      </c>
    </row>
    <row r="40" spans="2:4" x14ac:dyDescent="0.25">
      <c r="B40" s="37" t="s">
        <v>156</v>
      </c>
      <c r="C40" s="36"/>
      <c r="D40" s="34">
        <f>500000+307000+100000+300000+290000+271316.69+80000+47730.31</f>
        <v>1896047</v>
      </c>
    </row>
    <row r="41" spans="2:4" x14ac:dyDescent="0.25">
      <c r="B41" s="36" t="s">
        <v>99</v>
      </c>
      <c r="C41" s="36"/>
      <c r="D41" s="34">
        <v>3567.23</v>
      </c>
    </row>
    <row r="42" spans="2:4" x14ac:dyDescent="0.25">
      <c r="B42" s="36" t="s">
        <v>131</v>
      </c>
      <c r="C42" s="36"/>
      <c r="D42" s="34">
        <v>4615.63</v>
      </c>
    </row>
    <row r="43" spans="2:4" x14ac:dyDescent="0.25">
      <c r="B43" s="36" t="s">
        <v>171</v>
      </c>
      <c r="C43" s="36"/>
      <c r="D43" s="34">
        <v>3950</v>
      </c>
    </row>
    <row r="44" spans="2:4" x14ac:dyDescent="0.25">
      <c r="B44" s="36" t="s">
        <v>122</v>
      </c>
      <c r="C44" s="36"/>
      <c r="D44" s="34">
        <v>9895.23</v>
      </c>
    </row>
    <row r="45" spans="2:4" x14ac:dyDescent="0.25">
      <c r="B45" s="36" t="s">
        <v>138</v>
      </c>
      <c r="C45" s="36"/>
      <c r="D45" s="34">
        <v>300</v>
      </c>
    </row>
    <row r="46" spans="2:4" x14ac:dyDescent="0.25">
      <c r="B46" s="35" t="s">
        <v>137</v>
      </c>
      <c r="C46" s="36"/>
      <c r="D46" s="34">
        <f>530+195+200+100+200+58+234+180</f>
        <v>1697</v>
      </c>
    </row>
    <row r="47" spans="2:4" x14ac:dyDescent="0.25">
      <c r="B47" s="36" t="s">
        <v>139</v>
      </c>
      <c r="C47" s="36"/>
      <c r="D47" s="34">
        <v>8391.6</v>
      </c>
    </row>
    <row r="48" spans="2:4" x14ac:dyDescent="0.25">
      <c r="B48" s="36" t="s">
        <v>158</v>
      </c>
      <c r="C48" s="36"/>
      <c r="D48" s="34">
        <v>30726.26</v>
      </c>
    </row>
    <row r="49" spans="2:4" x14ac:dyDescent="0.25">
      <c r="B49" s="36" t="s">
        <v>87</v>
      </c>
      <c r="C49" s="36"/>
      <c r="D49" s="34">
        <v>849.2</v>
      </c>
    </row>
    <row r="50" spans="2:4" x14ac:dyDescent="0.25">
      <c r="B50" s="36" t="s">
        <v>100</v>
      </c>
      <c r="C50" s="36"/>
      <c r="D50" s="34">
        <v>1038.5999999999999</v>
      </c>
    </row>
    <row r="51" spans="2:4" x14ac:dyDescent="0.25">
      <c r="B51" s="52" t="s">
        <v>113</v>
      </c>
      <c r="C51" s="36"/>
      <c r="D51" s="34">
        <f>200000+10000+79000</f>
        <v>289000</v>
      </c>
    </row>
    <row r="52" spans="2:4" x14ac:dyDescent="0.25">
      <c r="B52" s="52" t="s">
        <v>144</v>
      </c>
      <c r="C52" s="36"/>
      <c r="D52" s="34">
        <v>188000</v>
      </c>
    </row>
    <row r="53" spans="2:4" x14ac:dyDescent="0.25">
      <c r="B53" s="36" t="s">
        <v>81</v>
      </c>
      <c r="C53" s="36"/>
      <c r="D53" s="34">
        <f>1400+3150+5250+700+12100+3150+2100+13300+3500+4200+350</f>
        <v>49200</v>
      </c>
    </row>
    <row r="54" spans="2:4" x14ac:dyDescent="0.25">
      <c r="B54" s="41" t="s">
        <v>79</v>
      </c>
      <c r="C54" s="36"/>
      <c r="D54" s="34">
        <f>9500.4+17980+8700+6545+53340+44450+27940</f>
        <v>168455.4</v>
      </c>
    </row>
    <row r="55" spans="2:4" x14ac:dyDescent="0.25">
      <c r="B55" s="36" t="s">
        <v>117</v>
      </c>
      <c r="C55" s="36"/>
      <c r="D55" s="34">
        <f>90000+30060</f>
        <v>120060</v>
      </c>
    </row>
    <row r="56" spans="2:4" x14ac:dyDescent="0.25">
      <c r="B56" s="36" t="s">
        <v>67</v>
      </c>
      <c r="C56" s="36"/>
      <c r="D56" s="34">
        <v>1950</v>
      </c>
    </row>
    <row r="57" spans="2:4" x14ac:dyDescent="0.25">
      <c r="B57" s="36" t="s">
        <v>54</v>
      </c>
      <c r="C57" s="36"/>
      <c r="D57" s="34">
        <v>17001</v>
      </c>
    </row>
    <row r="58" spans="2:4" x14ac:dyDescent="0.25">
      <c r="B58" s="36" t="s">
        <v>172</v>
      </c>
      <c r="C58" s="36"/>
      <c r="D58" s="34">
        <v>3000</v>
      </c>
    </row>
    <row r="59" spans="2:4" x14ac:dyDescent="0.25">
      <c r="B59" s="36" t="s">
        <v>143</v>
      </c>
      <c r="C59" s="36"/>
      <c r="D59" s="34">
        <f>166556.22+129443</f>
        <v>295999.21999999997</v>
      </c>
    </row>
    <row r="60" spans="2:4" x14ac:dyDescent="0.25">
      <c r="B60" s="36" t="s">
        <v>78</v>
      </c>
      <c r="C60" s="36"/>
      <c r="D60" s="34">
        <f>450+2700+900+1350+1350+1800+1350+1350+1000+1000+2000+1000+650+1400</f>
        <v>18300</v>
      </c>
    </row>
    <row r="61" spans="2:4" x14ac:dyDescent="0.25">
      <c r="B61" s="36" t="s">
        <v>94</v>
      </c>
      <c r="C61" s="36"/>
      <c r="D61" s="34">
        <v>600</v>
      </c>
    </row>
    <row r="62" spans="2:4" x14ac:dyDescent="0.25">
      <c r="B62" s="36" t="s">
        <v>86</v>
      </c>
      <c r="C62" s="36"/>
      <c r="D62" s="34">
        <f>60000+30000</f>
        <v>90000</v>
      </c>
    </row>
    <row r="63" spans="2:4" x14ac:dyDescent="0.25">
      <c r="B63" s="36" t="s">
        <v>64</v>
      </c>
      <c r="C63" s="36"/>
      <c r="D63" s="34">
        <v>1900</v>
      </c>
    </row>
    <row r="64" spans="2:4" x14ac:dyDescent="0.25">
      <c r="B64" s="36" t="s">
        <v>55</v>
      </c>
      <c r="C64" s="36"/>
      <c r="D64" s="34">
        <v>65570</v>
      </c>
    </row>
    <row r="65" spans="2:4" x14ac:dyDescent="0.25">
      <c r="B65" s="36" t="s">
        <v>82</v>
      </c>
      <c r="C65" s="36"/>
      <c r="D65" s="34">
        <v>8600</v>
      </c>
    </row>
    <row r="66" spans="2:4" x14ac:dyDescent="0.25">
      <c r="B66" s="36" t="s">
        <v>74</v>
      </c>
      <c r="C66" s="36"/>
      <c r="D66" s="34">
        <f>1683+1683+2356.2+1346.4+499</f>
        <v>7567.6</v>
      </c>
    </row>
    <row r="67" spans="2:4" x14ac:dyDescent="0.25">
      <c r="B67" s="36" t="s">
        <v>84</v>
      </c>
      <c r="C67" s="36"/>
      <c r="D67" s="34">
        <v>517.5</v>
      </c>
    </row>
    <row r="68" spans="2:4" x14ac:dyDescent="0.25">
      <c r="B68" s="36" t="s">
        <v>73</v>
      </c>
      <c r="C68" s="36"/>
      <c r="D68" s="34">
        <f>720+720+720</f>
        <v>2160</v>
      </c>
    </row>
    <row r="69" spans="2:4" x14ac:dyDescent="0.25">
      <c r="B69" s="36" t="s">
        <v>80</v>
      </c>
      <c r="C69" s="36"/>
      <c r="D69" s="34">
        <f>100+1700+650+900</f>
        <v>3350</v>
      </c>
    </row>
    <row r="70" spans="2:4" x14ac:dyDescent="0.25">
      <c r="B70" s="36" t="s">
        <v>187</v>
      </c>
      <c r="C70" s="36"/>
      <c r="D70" s="34">
        <v>36800</v>
      </c>
    </row>
    <row r="71" spans="2:4" x14ac:dyDescent="0.25">
      <c r="B71" s="36" t="s">
        <v>133</v>
      </c>
      <c r="C71" s="36"/>
      <c r="D71" s="34">
        <v>4771.75</v>
      </c>
    </row>
    <row r="72" spans="2:4" x14ac:dyDescent="0.25">
      <c r="B72" s="36" t="s">
        <v>190</v>
      </c>
      <c r="C72" s="36"/>
      <c r="D72" s="34">
        <v>5045</v>
      </c>
    </row>
    <row r="73" spans="2:4" x14ac:dyDescent="0.25">
      <c r="B73" s="36" t="s">
        <v>127</v>
      </c>
      <c r="C73" s="36"/>
      <c r="D73" s="34">
        <v>57880</v>
      </c>
    </row>
    <row r="74" spans="2:4" x14ac:dyDescent="0.25">
      <c r="B74" s="36" t="s">
        <v>134</v>
      </c>
      <c r="C74" s="36"/>
      <c r="D74" s="34">
        <v>14384</v>
      </c>
    </row>
    <row r="75" spans="2:4" x14ac:dyDescent="0.25">
      <c r="B75" s="36" t="s">
        <v>177</v>
      </c>
      <c r="C75" s="36"/>
      <c r="D75" s="34">
        <v>10500</v>
      </c>
    </row>
    <row r="76" spans="2:4" x14ac:dyDescent="0.25">
      <c r="B76" s="36" t="s">
        <v>72</v>
      </c>
      <c r="C76" s="36"/>
      <c r="D76" s="34">
        <f>1400+500+1200+300+300+228+200</f>
        <v>4128</v>
      </c>
    </row>
    <row r="77" spans="2:4" x14ac:dyDescent="0.25">
      <c r="B77" s="36" t="s">
        <v>175</v>
      </c>
      <c r="C77" s="36"/>
      <c r="D77" s="34">
        <v>11855.1</v>
      </c>
    </row>
    <row r="78" spans="2:4" x14ac:dyDescent="0.25">
      <c r="B78" s="36" t="s">
        <v>186</v>
      </c>
      <c r="C78" s="36"/>
      <c r="D78" s="34">
        <f>94658.95+7616.67+5985.9</f>
        <v>108261.51999999999</v>
      </c>
    </row>
    <row r="79" spans="2:4" x14ac:dyDescent="0.25">
      <c r="B79" s="36" t="s">
        <v>116</v>
      </c>
      <c r="C79" s="36"/>
      <c r="D79" s="34">
        <v>62235.28</v>
      </c>
    </row>
    <row r="80" spans="2:4" x14ac:dyDescent="0.25">
      <c r="B80" s="36" t="s">
        <v>59</v>
      </c>
      <c r="C80" s="36"/>
      <c r="D80" s="34">
        <f>2080+5200+5200+4160+3120+2080+2080+2080+1040+1150+1100+1100</f>
        <v>30390</v>
      </c>
    </row>
    <row r="81" spans="2:4" x14ac:dyDescent="0.25">
      <c r="B81" s="50" t="s">
        <v>150</v>
      </c>
      <c r="C81" s="36"/>
      <c r="D81" s="34">
        <f>10000+30000+11000+28000+27500+25000+49500+45000+47000+3000+20000+34500+55455.7</f>
        <v>385955.7</v>
      </c>
    </row>
    <row r="82" spans="2:4" x14ac:dyDescent="0.25">
      <c r="B82" s="36" t="s">
        <v>136</v>
      </c>
      <c r="C82" s="36"/>
      <c r="D82" s="34">
        <v>18590</v>
      </c>
    </row>
    <row r="83" spans="2:4" x14ac:dyDescent="0.25">
      <c r="B83" s="36" t="s">
        <v>83</v>
      </c>
      <c r="C83" s="36"/>
      <c r="D83" s="34">
        <f>168770.63+151798.73+99242.99+96713.27+86979.04+90549.62+54743.8+34526.9+10211.8+23305.5+9122.6+11251.68+2698</f>
        <v>839914.56000000017</v>
      </c>
    </row>
    <row r="84" spans="2:4" x14ac:dyDescent="0.25">
      <c r="B84" s="36" t="s">
        <v>57</v>
      </c>
      <c r="C84" s="36"/>
      <c r="D84" s="34">
        <f>1840+2556</f>
        <v>4396</v>
      </c>
    </row>
    <row r="85" spans="2:4" x14ac:dyDescent="0.25">
      <c r="B85" s="36" t="s">
        <v>154</v>
      </c>
      <c r="C85" s="36"/>
      <c r="D85" s="34">
        <f>50000+20000+25660+15000+8238+2000+1860+250+1150</f>
        <v>124158</v>
      </c>
    </row>
    <row r="86" spans="2:4" x14ac:dyDescent="0.25">
      <c r="B86" s="37" t="s">
        <v>193</v>
      </c>
      <c r="C86" s="36"/>
      <c r="D86" s="34">
        <f>4000+25418.94+9956.33+24159.45+13824.27+57951.27+107204.08+59600.99+15304.53+9442.07+2448.98+13577.62+5165.63+8000</f>
        <v>356054.16000000003</v>
      </c>
    </row>
    <row r="87" spans="2:4" ht="18.75" x14ac:dyDescent="0.3">
      <c r="B87" s="49" t="s">
        <v>182</v>
      </c>
      <c r="C87" s="36"/>
      <c r="D87" s="34">
        <f>38091.8+57010.87+32342.4+51727.47+45938.51+40637.53+44852.86+41276.53+109151.3+53796.09+90532.49+83623.59+54569.4+50450.01+49866.68+59710.34+57896.26+30054.23+68092.24+120454.52</f>
        <v>1180075.1200000001</v>
      </c>
    </row>
    <row r="88" spans="2:4" x14ac:dyDescent="0.25">
      <c r="B88" s="36" t="s">
        <v>153</v>
      </c>
      <c r="C88" s="36"/>
      <c r="D88" s="34">
        <f>50000+50000+75000+30000+65000+5000+20000+22000+23000+54576.6</f>
        <v>394576.6</v>
      </c>
    </row>
    <row r="89" spans="2:4" x14ac:dyDescent="0.25">
      <c r="B89" s="36" t="s">
        <v>184</v>
      </c>
      <c r="C89" s="36"/>
      <c r="D89" s="34">
        <f>50000+30000+15000+5000+45000+5000+25000+26350</f>
        <v>201350</v>
      </c>
    </row>
    <row r="90" spans="2:4" x14ac:dyDescent="0.25">
      <c r="B90" s="36" t="s">
        <v>146</v>
      </c>
      <c r="C90" s="36"/>
      <c r="D90" s="34">
        <v>16200</v>
      </c>
    </row>
    <row r="91" spans="2:4" x14ac:dyDescent="0.25">
      <c r="B91" s="36" t="s">
        <v>179</v>
      </c>
      <c r="C91" s="36"/>
      <c r="D91" s="34">
        <v>2200</v>
      </c>
    </row>
    <row r="92" spans="2:4" x14ac:dyDescent="0.25">
      <c r="B92" s="36" t="s">
        <v>178</v>
      </c>
      <c r="C92" s="36"/>
      <c r="D92" s="34">
        <v>31500</v>
      </c>
    </row>
    <row r="93" spans="2:4" x14ac:dyDescent="0.25">
      <c r="B93" s="36" t="s">
        <v>104</v>
      </c>
      <c r="C93" s="36"/>
      <c r="D93" s="34">
        <f>177.99+249.52+622.97+893+2500</f>
        <v>4443.4799999999996</v>
      </c>
    </row>
    <row r="94" spans="2:4" x14ac:dyDescent="0.25">
      <c r="B94" s="36" t="s">
        <v>108</v>
      </c>
      <c r="C94" s="36"/>
      <c r="D94" s="34">
        <f>8400+15207.13</f>
        <v>23607.129999999997</v>
      </c>
    </row>
    <row r="95" spans="2:4" x14ac:dyDescent="0.25">
      <c r="B95" s="36" t="s">
        <v>163</v>
      </c>
      <c r="C95" s="36"/>
      <c r="D95" s="34">
        <v>2380.5</v>
      </c>
    </row>
    <row r="96" spans="2:4" x14ac:dyDescent="0.25">
      <c r="B96" s="36" t="s">
        <v>168</v>
      </c>
      <c r="C96" s="36"/>
      <c r="D96" s="34">
        <v>1894.72</v>
      </c>
    </row>
    <row r="97" spans="2:4" x14ac:dyDescent="0.25">
      <c r="B97" s="36" t="s">
        <v>167</v>
      </c>
      <c r="C97" s="36"/>
      <c r="D97" s="34">
        <v>1098.17</v>
      </c>
    </row>
    <row r="98" spans="2:4" x14ac:dyDescent="0.25">
      <c r="B98" s="36" t="s">
        <v>162</v>
      </c>
      <c r="C98" s="36"/>
      <c r="D98" s="34">
        <v>69254.63</v>
      </c>
    </row>
    <row r="99" spans="2:4" x14ac:dyDescent="0.25">
      <c r="B99" s="36" t="s">
        <v>166</v>
      </c>
      <c r="C99" s="36"/>
      <c r="D99" s="34">
        <v>9102.2000000000007</v>
      </c>
    </row>
    <row r="100" spans="2:4" x14ac:dyDescent="0.25">
      <c r="B100" s="36" t="s">
        <v>165</v>
      </c>
      <c r="C100" s="36"/>
      <c r="D100" s="34">
        <v>1069.43</v>
      </c>
    </row>
    <row r="101" spans="2:4" x14ac:dyDescent="0.25">
      <c r="B101" s="36" t="s">
        <v>164</v>
      </c>
      <c r="C101" s="36"/>
      <c r="D101" s="34">
        <v>20132.36</v>
      </c>
    </row>
    <row r="102" spans="2:4" x14ac:dyDescent="0.25">
      <c r="B102" s="36" t="s">
        <v>125</v>
      </c>
      <c r="C102" s="36"/>
      <c r="D102" s="34">
        <v>27072.22</v>
      </c>
    </row>
    <row r="103" spans="2:4" x14ac:dyDescent="0.25">
      <c r="B103" s="36" t="s">
        <v>161</v>
      </c>
      <c r="C103" s="36"/>
      <c r="D103" s="34">
        <v>85148.99</v>
      </c>
    </row>
    <row r="104" spans="2:4" x14ac:dyDescent="0.25">
      <c r="B104" s="36" t="s">
        <v>142</v>
      </c>
      <c r="C104" s="36"/>
      <c r="D104" s="34">
        <v>25079.93</v>
      </c>
    </row>
    <row r="105" spans="2:4" x14ac:dyDescent="0.25">
      <c r="B105" s="36" t="s">
        <v>126</v>
      </c>
      <c r="C105" s="36"/>
      <c r="D105" s="34">
        <v>4316.2</v>
      </c>
    </row>
    <row r="106" spans="2:4" x14ac:dyDescent="0.25">
      <c r="B106" s="36" t="s">
        <v>149</v>
      </c>
      <c r="C106" s="36"/>
      <c r="D106" s="34">
        <v>355</v>
      </c>
    </row>
    <row r="107" spans="2:4" x14ac:dyDescent="0.25">
      <c r="B107" s="36" t="s">
        <v>105</v>
      </c>
      <c r="C107" s="36"/>
      <c r="D107" s="34">
        <f>1000+400+2030+6948.5+1200+4594.28+3200+1300+600+5400+31600+12600+5187.7+400</f>
        <v>76460.479999999996</v>
      </c>
    </row>
    <row r="108" spans="2:4" x14ac:dyDescent="0.25">
      <c r="B108" s="36" t="s">
        <v>132</v>
      </c>
      <c r="C108" s="36"/>
      <c r="D108" s="34">
        <v>475</v>
      </c>
    </row>
    <row r="109" spans="2:4" x14ac:dyDescent="0.25">
      <c r="B109" s="36" t="s">
        <v>183</v>
      </c>
      <c r="C109" s="36"/>
      <c r="D109" s="34">
        <v>100000</v>
      </c>
    </row>
    <row r="110" spans="2:4" x14ac:dyDescent="0.25">
      <c r="B110" s="36" t="s">
        <v>129</v>
      </c>
      <c r="C110" s="36"/>
      <c r="D110" s="34">
        <v>3551.99</v>
      </c>
    </row>
    <row r="111" spans="2:4" x14ac:dyDescent="0.25">
      <c r="B111" s="36" t="s">
        <v>130</v>
      </c>
      <c r="C111" s="36"/>
      <c r="D111" s="34">
        <f>4000+5250+8000</f>
        <v>17250</v>
      </c>
    </row>
    <row r="112" spans="2:4" x14ac:dyDescent="0.25">
      <c r="B112" s="36" t="s">
        <v>97</v>
      </c>
      <c r="C112" s="36"/>
      <c r="D112" s="34">
        <f>486046.2+96431.92</f>
        <v>582478.12</v>
      </c>
    </row>
    <row r="113" spans="2:4" x14ac:dyDescent="0.25">
      <c r="B113" s="36" t="s">
        <v>119</v>
      </c>
      <c r="C113" s="36"/>
      <c r="D113" s="34">
        <v>150</v>
      </c>
    </row>
    <row r="114" spans="2:4" x14ac:dyDescent="0.25">
      <c r="B114" s="38" t="s">
        <v>181</v>
      </c>
      <c r="C114" s="36"/>
      <c r="D114" s="34">
        <v>4848.05</v>
      </c>
    </row>
    <row r="115" spans="2:4" x14ac:dyDescent="0.25">
      <c r="B115" s="38" t="s">
        <v>180</v>
      </c>
      <c r="C115" s="36"/>
      <c r="D115" s="34">
        <v>23296</v>
      </c>
    </row>
    <row r="116" spans="2:4" x14ac:dyDescent="0.25">
      <c r="B116" s="36" t="s">
        <v>173</v>
      </c>
      <c r="C116" s="36"/>
      <c r="D116" s="34">
        <v>50400</v>
      </c>
    </row>
    <row r="117" spans="2:4" x14ac:dyDescent="0.25">
      <c r="B117" s="36" t="s">
        <v>157</v>
      </c>
      <c r="C117" s="36"/>
      <c r="D117" s="34">
        <f>40000+10000+55000+15000+145669</f>
        <v>265669</v>
      </c>
    </row>
    <row r="118" spans="2:4" x14ac:dyDescent="0.25">
      <c r="B118" s="36" t="s">
        <v>140</v>
      </c>
      <c r="C118" s="36"/>
      <c r="D118" s="34">
        <f>800+1800</f>
        <v>2600</v>
      </c>
    </row>
    <row r="119" spans="2:4" x14ac:dyDescent="0.25">
      <c r="B119" s="36" t="s">
        <v>109</v>
      </c>
      <c r="C119" s="36"/>
      <c r="D119" s="34">
        <v>1779.44</v>
      </c>
    </row>
    <row r="120" spans="2:4" x14ac:dyDescent="0.25">
      <c r="B120" s="36" t="s">
        <v>90</v>
      </c>
      <c r="C120" s="36"/>
      <c r="D120" s="34">
        <f>10000+10340+10000+103500+40000+71000+7000+6000+4000+9200+7500</f>
        <v>278540</v>
      </c>
    </row>
    <row r="121" spans="2:4" x14ac:dyDescent="0.25">
      <c r="B121" s="36" t="s">
        <v>103</v>
      </c>
      <c r="C121" s="36"/>
      <c r="D121" s="34">
        <v>6600</v>
      </c>
    </row>
    <row r="122" spans="2:4" x14ac:dyDescent="0.25">
      <c r="B122" s="36" t="s">
        <v>107</v>
      </c>
      <c r="C122" s="36"/>
      <c r="D122" s="34">
        <v>44330.58</v>
      </c>
    </row>
    <row r="123" spans="2:4" x14ac:dyDescent="0.25">
      <c r="B123" s="36" t="s">
        <v>91</v>
      </c>
      <c r="C123" s="36"/>
      <c r="D123" s="34">
        <f>15443.75+995.3+2453.34</f>
        <v>18892.39</v>
      </c>
    </row>
    <row r="124" spans="2:4" x14ac:dyDescent="0.25">
      <c r="B124" s="36" t="s">
        <v>102</v>
      </c>
      <c r="C124" s="36"/>
      <c r="D124" s="34">
        <v>13989.42</v>
      </c>
    </row>
    <row r="125" spans="2:4" x14ac:dyDescent="0.25">
      <c r="B125" s="36" t="s">
        <v>106</v>
      </c>
      <c r="C125" s="36"/>
      <c r="D125" s="34">
        <v>20622.330000000002</v>
      </c>
    </row>
    <row r="126" spans="2:4" x14ac:dyDescent="0.25">
      <c r="B126" s="36" t="s">
        <v>115</v>
      </c>
      <c r="C126" s="36"/>
      <c r="D126" s="34">
        <v>22399.19</v>
      </c>
    </row>
    <row r="127" spans="2:4" x14ac:dyDescent="0.25">
      <c r="B127" s="36" t="s">
        <v>128</v>
      </c>
      <c r="C127" s="36"/>
      <c r="D127" s="34">
        <v>1185</v>
      </c>
    </row>
    <row r="128" spans="2:4" x14ac:dyDescent="0.25">
      <c r="B128" s="36" t="s">
        <v>169</v>
      </c>
      <c r="C128" s="36"/>
      <c r="D128" s="34">
        <v>1052.03</v>
      </c>
    </row>
    <row r="129" spans="2:6" x14ac:dyDescent="0.25">
      <c r="B129" s="36" t="s">
        <v>160</v>
      </c>
      <c r="C129" s="36"/>
      <c r="D129" s="34">
        <v>9345.61</v>
      </c>
    </row>
    <row r="130" spans="2:6" x14ac:dyDescent="0.25">
      <c r="B130" s="36" t="s">
        <v>141</v>
      </c>
      <c r="C130" s="36"/>
      <c r="D130" s="34">
        <f>69030.23+130183.77</f>
        <v>199214</v>
      </c>
    </row>
    <row r="131" spans="2:6" x14ac:dyDescent="0.25">
      <c r="B131" s="35" t="s">
        <v>92</v>
      </c>
      <c r="C131" s="36"/>
      <c r="D131" s="34">
        <v>5954.3</v>
      </c>
    </row>
    <row r="132" spans="2:6" x14ac:dyDescent="0.25">
      <c r="B132" s="36" t="s">
        <v>65</v>
      </c>
      <c r="C132" s="36"/>
      <c r="D132" s="34">
        <f>3150+12750+11400</f>
        <v>27300</v>
      </c>
    </row>
    <row r="133" spans="2:6" x14ac:dyDescent="0.25">
      <c r="B133" s="36" t="s">
        <v>66</v>
      </c>
      <c r="C133" s="36"/>
      <c r="D133" s="34">
        <f>2800+350+1760+12600+700+1300</f>
        <v>19510</v>
      </c>
    </row>
    <row r="134" spans="2:6" x14ac:dyDescent="0.25">
      <c r="B134" s="36" t="s">
        <v>98</v>
      </c>
      <c r="C134" s="36"/>
      <c r="D134" s="34">
        <v>250</v>
      </c>
    </row>
    <row r="135" spans="2:6" x14ac:dyDescent="0.25">
      <c r="B135" s="36" t="s">
        <v>188</v>
      </c>
      <c r="C135" s="36"/>
      <c r="D135" s="34">
        <f>20000+5000+13080</f>
        <v>38080</v>
      </c>
    </row>
    <row r="136" spans="2:6" x14ac:dyDescent="0.25">
      <c r="B136" s="36" t="s">
        <v>148</v>
      </c>
      <c r="C136" s="36"/>
      <c r="D136" s="34">
        <v>1392</v>
      </c>
    </row>
    <row r="137" spans="2:6" x14ac:dyDescent="0.25">
      <c r="B137" s="36" t="s">
        <v>96</v>
      </c>
      <c r="C137" s="36"/>
      <c r="D137" s="34">
        <v>300</v>
      </c>
    </row>
    <row r="138" spans="2:6" ht="36.75" x14ac:dyDescent="0.25">
      <c r="B138" s="42" t="s">
        <v>95</v>
      </c>
      <c r="C138" s="36"/>
      <c r="D138" s="34">
        <f>1200+1200+1200+2400+1200+1200+1200+2400</f>
        <v>12000</v>
      </c>
    </row>
    <row r="139" spans="2:6" x14ac:dyDescent="0.25">
      <c r="B139" s="36" t="s">
        <v>70</v>
      </c>
      <c r="C139" s="36"/>
      <c r="D139" s="34">
        <f>5500+38500+16500+5500+5500+11000+1250+625</f>
        <v>84375</v>
      </c>
    </row>
    <row r="140" spans="2:6" x14ac:dyDescent="0.25">
      <c r="B140" s="36" t="s">
        <v>185</v>
      </c>
      <c r="C140" s="36"/>
      <c r="D140" s="34">
        <f>12101.57+21981.84+13546.87+75000+60000+15000+3787.89</f>
        <v>201418.17</v>
      </c>
    </row>
    <row r="141" spans="2:6" x14ac:dyDescent="0.25">
      <c r="B141" s="36" t="s">
        <v>121</v>
      </c>
      <c r="C141" s="36"/>
      <c r="D141" s="34">
        <v>4885</v>
      </c>
    </row>
    <row r="142" spans="2:6" x14ac:dyDescent="0.25">
      <c r="B142" s="36" t="s">
        <v>60</v>
      </c>
      <c r="C142" s="36"/>
      <c r="D142" s="34">
        <f>900+6300+34200+6300+13500+6300+2700+12600+1000+1000+500</f>
        <v>85300</v>
      </c>
    </row>
    <row r="143" spans="2:6" x14ac:dyDescent="0.25">
      <c r="B143" s="36" t="s">
        <v>77</v>
      </c>
      <c r="C143" s="36"/>
      <c r="D143" s="34">
        <f>1600+2400+3200</f>
        <v>7200</v>
      </c>
      <c r="F143" s="30"/>
    </row>
    <row r="144" spans="2:6" x14ac:dyDescent="0.25">
      <c r="B144" s="36" t="s">
        <v>69</v>
      </c>
      <c r="C144" s="36"/>
      <c r="D144" s="34">
        <f>15229.6+3334.26+820</f>
        <v>19383.86</v>
      </c>
    </row>
    <row r="145" spans="2:4" x14ac:dyDescent="0.25">
      <c r="B145" s="36" t="s">
        <v>112</v>
      </c>
      <c r="C145" s="36"/>
      <c r="D145" s="34">
        <f>250000+15000+142554.58</f>
        <v>407554.57999999996</v>
      </c>
    </row>
    <row r="146" spans="2:4" x14ac:dyDescent="0.25">
      <c r="B146" s="36" t="s">
        <v>75</v>
      </c>
      <c r="C146" s="36"/>
      <c r="D146" s="34">
        <f>2885+2885+1442.5</f>
        <v>7212.5</v>
      </c>
    </row>
    <row r="147" spans="2:4" x14ac:dyDescent="0.25">
      <c r="B147" s="36" t="s">
        <v>123</v>
      </c>
      <c r="C147" s="36"/>
      <c r="D147" s="34">
        <v>1960</v>
      </c>
    </row>
    <row r="148" spans="2:4" x14ac:dyDescent="0.25">
      <c r="B148" s="36" t="s">
        <v>68</v>
      </c>
      <c r="C148" s="36"/>
      <c r="D148" s="34">
        <f>230+920</f>
        <v>1150</v>
      </c>
    </row>
    <row r="149" spans="2:4" x14ac:dyDescent="0.25">
      <c r="B149" s="36" t="s">
        <v>176</v>
      </c>
      <c r="C149" s="36"/>
      <c r="D149" s="34">
        <v>11002.94</v>
      </c>
    </row>
    <row r="150" spans="2:4" x14ac:dyDescent="0.25">
      <c r="B150" s="36" t="s">
        <v>170</v>
      </c>
      <c r="C150" s="36"/>
      <c r="D150" s="34">
        <v>21450</v>
      </c>
    </row>
    <row r="151" spans="2:4" ht="16.5" thickBot="1" x14ac:dyDescent="0.3">
      <c r="D151" s="32">
        <v>0</v>
      </c>
    </row>
    <row r="152" spans="2:4" ht="16.5" thickTop="1" x14ac:dyDescent="0.25">
      <c r="B152" s="44" t="s">
        <v>194</v>
      </c>
      <c r="D152" s="30">
        <f>SUM(D6:D151)</f>
        <v>12980826.16</v>
      </c>
    </row>
    <row r="153" spans="2:4" ht="16.5" thickBot="1" x14ac:dyDescent="0.3">
      <c r="B153" s="43" t="s">
        <v>191</v>
      </c>
      <c r="D153" s="45">
        <v>-12781493.24</v>
      </c>
    </row>
    <row r="154" spans="2:4" ht="33" customHeight="1" thickBot="1" x14ac:dyDescent="0.35">
      <c r="B154" s="46" t="s">
        <v>192</v>
      </c>
      <c r="C154" s="47"/>
      <c r="D154" s="48">
        <f>D152+D153</f>
        <v>199332.91999999993</v>
      </c>
    </row>
  </sheetData>
  <sortState ref="B13:D150">
    <sortCondition ref="B13:B150"/>
  </sortState>
  <mergeCells count="1">
    <mergeCell ref="B2:D2"/>
  </mergeCells>
  <pageMargins left="0.70866141732283472" right="0.70866141732283472" top="0.74803149606299213" bottom="0.35433070866141736" header="0.31496062992125984" footer="0.31496062992125984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9" sqref="H9"/>
    </sheetView>
  </sheetViews>
  <sheetFormatPr baseColWidth="10" defaultRowHeight="15" x14ac:dyDescent="0.25"/>
  <cols>
    <col min="1" max="1" width="11.5703125" bestFit="1" customWidth="1"/>
    <col min="3" max="3" width="12.5703125" customWidth="1"/>
    <col min="4" max="4" width="14.28515625" style="21" bestFit="1" customWidth="1"/>
    <col min="5" max="5" width="13.85546875" style="21" bestFit="1" customWidth="1"/>
    <col min="6" max="6" width="11.42578125" style="21"/>
  </cols>
  <sheetData>
    <row r="1" spans="1:6" x14ac:dyDescent="0.25">
      <c r="A1" s="22"/>
    </row>
    <row r="2" spans="1:6" ht="15.75" x14ac:dyDescent="0.25">
      <c r="A2" s="23"/>
      <c r="B2" s="19"/>
      <c r="C2" s="19"/>
      <c r="D2" s="24"/>
      <c r="E2" s="24"/>
      <c r="F2" s="24"/>
    </row>
    <row r="3" spans="1:6" ht="15.75" x14ac:dyDescent="0.25">
      <c r="A3" s="23"/>
      <c r="B3" s="19" t="s">
        <v>29</v>
      </c>
      <c r="C3" s="19" t="s">
        <v>42</v>
      </c>
      <c r="D3" s="24">
        <v>71382.5</v>
      </c>
      <c r="E3" s="24"/>
      <c r="F3" s="24"/>
    </row>
    <row r="4" spans="1:6" ht="16.5" thickBot="1" x14ac:dyDescent="0.3">
      <c r="B4" s="23" t="s">
        <v>44</v>
      </c>
      <c r="C4" s="19"/>
      <c r="D4" s="25">
        <v>-61350</v>
      </c>
      <c r="E4" s="24">
        <f>D3+D4</f>
        <v>10032.5</v>
      </c>
      <c r="F4" s="24"/>
    </row>
    <row r="5" spans="1:6" ht="16.5" thickTop="1" x14ac:dyDescent="0.25">
      <c r="A5" s="23"/>
      <c r="B5" s="19"/>
      <c r="C5" s="19"/>
      <c r="D5" s="24"/>
      <c r="E5" s="24">
        <v>0</v>
      </c>
      <c r="F5" s="24"/>
    </row>
    <row r="6" spans="1:6" ht="15.75" x14ac:dyDescent="0.25">
      <c r="A6" s="23">
        <v>42002</v>
      </c>
      <c r="B6" s="19" t="s">
        <v>30</v>
      </c>
      <c r="C6" s="19" t="s">
        <v>43</v>
      </c>
      <c r="D6" s="24"/>
      <c r="E6" s="24">
        <v>70610.5</v>
      </c>
      <c r="F6" s="24"/>
    </row>
    <row r="7" spans="1:6" ht="15.75" x14ac:dyDescent="0.25">
      <c r="A7" s="23"/>
      <c r="B7" s="19"/>
      <c r="C7" s="19"/>
      <c r="D7" s="24"/>
      <c r="E7" s="24">
        <v>0</v>
      </c>
      <c r="F7" s="24"/>
    </row>
    <row r="8" spans="1:6" ht="15.75" x14ac:dyDescent="0.25">
      <c r="A8" s="23">
        <v>42003</v>
      </c>
      <c r="B8" s="19" t="s">
        <v>31</v>
      </c>
      <c r="C8" s="19" t="s">
        <v>38</v>
      </c>
      <c r="D8" s="24"/>
      <c r="E8" s="24">
        <v>10000</v>
      </c>
      <c r="F8" s="24"/>
    </row>
    <row r="9" spans="1:6" ht="15.75" x14ac:dyDescent="0.25">
      <c r="A9" s="23"/>
      <c r="B9" s="19"/>
      <c r="C9" s="19"/>
      <c r="D9" s="24"/>
      <c r="E9" s="24">
        <v>0</v>
      </c>
      <c r="F9" s="24"/>
    </row>
    <row r="10" spans="1:6" ht="15.75" x14ac:dyDescent="0.25">
      <c r="A10" s="23">
        <v>42003</v>
      </c>
      <c r="B10" s="19" t="s">
        <v>32</v>
      </c>
      <c r="C10" s="19" t="s">
        <v>38</v>
      </c>
      <c r="D10" s="24"/>
      <c r="E10" s="24">
        <v>10000</v>
      </c>
      <c r="F10" s="24"/>
    </row>
    <row r="11" spans="1:6" ht="15.75" x14ac:dyDescent="0.25">
      <c r="A11" s="23"/>
      <c r="B11" s="19"/>
      <c r="C11" s="19"/>
      <c r="D11" s="24"/>
      <c r="E11" s="24">
        <v>0</v>
      </c>
      <c r="F11" s="24"/>
    </row>
    <row r="12" spans="1:6" ht="15.75" x14ac:dyDescent="0.25">
      <c r="A12" s="23">
        <v>42003</v>
      </c>
      <c r="B12" s="19" t="s">
        <v>33</v>
      </c>
      <c r="C12" s="19"/>
      <c r="D12" s="24" t="s">
        <v>37</v>
      </c>
      <c r="E12" s="24">
        <v>90500</v>
      </c>
      <c r="F12" s="24"/>
    </row>
    <row r="13" spans="1:6" ht="15.75" x14ac:dyDescent="0.25">
      <c r="A13" s="23"/>
      <c r="B13" s="19"/>
      <c r="C13" s="19"/>
      <c r="D13" s="24"/>
      <c r="E13" s="24">
        <v>0</v>
      </c>
      <c r="F13" s="24"/>
    </row>
    <row r="14" spans="1:6" ht="15.75" x14ac:dyDescent="0.25">
      <c r="A14" s="23">
        <v>42033</v>
      </c>
      <c r="B14" s="19" t="s">
        <v>34</v>
      </c>
      <c r="C14" s="19" t="s">
        <v>41</v>
      </c>
      <c r="D14" s="24"/>
      <c r="E14" s="24">
        <v>63280</v>
      </c>
      <c r="F14" s="24"/>
    </row>
    <row r="15" spans="1:6" ht="15.75" x14ac:dyDescent="0.25">
      <c r="A15" s="23"/>
      <c r="B15" s="19"/>
      <c r="C15" s="19"/>
      <c r="D15" s="24"/>
      <c r="E15" s="24">
        <v>0</v>
      </c>
      <c r="F15" s="24"/>
    </row>
    <row r="16" spans="1:6" ht="15.75" x14ac:dyDescent="0.25">
      <c r="A16" s="23">
        <v>42032</v>
      </c>
      <c r="B16" s="19" t="s">
        <v>35</v>
      </c>
      <c r="C16" s="19" t="s">
        <v>40</v>
      </c>
      <c r="D16" s="24"/>
      <c r="E16" s="24">
        <v>65735</v>
      </c>
      <c r="F16" s="24"/>
    </row>
    <row r="17" spans="1:6" ht="15.75" x14ac:dyDescent="0.25">
      <c r="A17" s="23"/>
      <c r="B17" s="19"/>
      <c r="C17" s="19"/>
      <c r="D17" s="24"/>
      <c r="E17" s="24">
        <v>0</v>
      </c>
      <c r="F17" s="24"/>
    </row>
    <row r="18" spans="1:6" ht="15.75" x14ac:dyDescent="0.25">
      <c r="A18" s="26">
        <v>42032</v>
      </c>
      <c r="B18" s="19" t="s">
        <v>36</v>
      </c>
      <c r="C18" s="19" t="s">
        <v>39</v>
      </c>
      <c r="D18" s="24"/>
      <c r="E18" s="24">
        <v>66312</v>
      </c>
      <c r="F18" s="24"/>
    </row>
    <row r="19" spans="1:6" ht="15.75" x14ac:dyDescent="0.25">
      <c r="A19" s="19"/>
      <c r="B19" s="19"/>
      <c r="C19" s="19"/>
      <c r="D19" s="24"/>
      <c r="E19" s="24">
        <v>0</v>
      </c>
      <c r="F19" s="24"/>
    </row>
    <row r="20" spans="1:6" ht="16.5" thickBot="1" x14ac:dyDescent="0.3">
      <c r="A20" s="19"/>
      <c r="B20" s="19"/>
      <c r="C20" s="19"/>
      <c r="D20" s="24"/>
      <c r="E20" s="25">
        <v>0</v>
      </c>
      <c r="F20" s="24"/>
    </row>
    <row r="21" spans="1:6" ht="16.5" thickTop="1" x14ac:dyDescent="0.25">
      <c r="A21" s="19"/>
      <c r="B21" s="19"/>
      <c r="C21" s="19"/>
      <c r="D21" s="27" t="s">
        <v>5</v>
      </c>
      <c r="E21" s="24">
        <f>SUM(E4:E20)</f>
        <v>386470</v>
      </c>
      <c r="F21" s="24"/>
    </row>
    <row r="22" spans="1:6" ht="15.75" x14ac:dyDescent="0.25">
      <c r="A22" s="19"/>
      <c r="B22" s="19"/>
      <c r="C22" s="19"/>
      <c r="D22" s="24"/>
      <c r="E22" s="24"/>
      <c r="F22" s="24"/>
    </row>
    <row r="23" spans="1:6" ht="15.75" x14ac:dyDescent="0.25">
      <c r="A23" s="19"/>
      <c r="B23" s="19"/>
      <c r="C23" s="19"/>
      <c r="D23" s="24"/>
      <c r="E23" s="24"/>
      <c r="F23" s="24"/>
    </row>
    <row r="24" spans="1:6" ht="15.75" x14ac:dyDescent="0.25">
      <c r="A24" s="19"/>
      <c r="B24" s="19"/>
      <c r="C24" s="19"/>
      <c r="D24" s="24"/>
      <c r="E24" s="24"/>
      <c r="F24" s="24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PAGOS </vt:lpstr>
      <vt:lpstr>Hoja3</vt:lpstr>
      <vt:lpstr>DESGLOSE GASTOS DEAN </vt:lpstr>
      <vt:lpstr>Hoja2</vt:lpstr>
      <vt:lpstr>EXISTENCIA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2015-07-01T21:12:24Z</cp:lastPrinted>
  <dcterms:created xsi:type="dcterms:W3CDTF">2014-09-03T18:50:15Z</dcterms:created>
  <dcterms:modified xsi:type="dcterms:W3CDTF">2015-07-01T21:14:07Z</dcterms:modified>
</cp:coreProperties>
</file>