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3500" windowHeight="9735" firstSheet="19" activeTab="21"/>
  </bookViews>
  <sheets>
    <sheet name="E N E R O  2 0 1 7     " sheetId="1" r:id="rId1"/>
    <sheet name="Hoja1" sheetId="21" r:id="rId2"/>
    <sheet name="REMISIONES ENERO 2017   " sheetId="2" r:id="rId3"/>
    <sheet name="F E B R E R O   2 0 1 7     " sheetId="3" r:id="rId4"/>
    <sheet name="REMISIONES  FEBRERO  2017    " sheetId="4" r:id="rId5"/>
    <sheet name="M A R Z O  2 0 1 7     " sheetId="6" r:id="rId6"/>
    <sheet name="REMISIONES MARZO 2017  " sheetId="7" r:id="rId7"/>
    <sheet name="A B R I L   2 0 1 7      " sheetId="8" r:id="rId8"/>
    <sheet name="REMISIONES  ABRIL  2017     " sheetId="9" r:id="rId9"/>
    <sheet name="M A Y O      2 0 1 7    " sheetId="10" r:id="rId10"/>
    <sheet name="REMISIONES  MAYO   2017   " sheetId="11" r:id="rId11"/>
    <sheet name="J U N I O     2 0 1 7    " sheetId="12" r:id="rId12"/>
    <sheet name="REMISIONES JUNIO 2017      " sheetId="13" r:id="rId13"/>
    <sheet name="J U L I O     2 0 1 7      " sheetId="14" r:id="rId14"/>
    <sheet name="REMISIONES  JULIO   2017" sheetId="15" r:id="rId15"/>
    <sheet name="A G O S T O     2 0 1 7    " sheetId="16" r:id="rId16"/>
    <sheet name="REMISIONES Ago 2 0 1 7    " sheetId="18" r:id="rId17"/>
    <sheet name="SEPTIEMBRE   2017   " sheetId="19" r:id="rId18"/>
    <sheet name="REMISIONES Septiembre 2017" sheetId="20" r:id="rId19"/>
    <sheet name="OCTUBRE    2017         " sheetId="17" r:id="rId20"/>
    <sheet name="REMISIONES OCTUBRRE   2017   " sheetId="22" r:id="rId21"/>
    <sheet name="NOVIEMBRE    2017     " sheetId="23" r:id="rId22"/>
    <sheet name="REMISIONES  NOVIEMBRE  2017" sheetId="24" r:id="rId23"/>
    <sheet name="Hoja6" sheetId="25" r:id="rId24"/>
    <sheet name="Hoja7" sheetId="26" r:id="rId25"/>
    <sheet name="Hoja8" sheetId="27" r:id="rId26"/>
    <sheet name="ELIAS Y PEPE    2 0 1 7     " sheetId="28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4" l="1"/>
  <c r="L8" i="24"/>
  <c r="L6" i="24"/>
  <c r="C70" i="24"/>
  <c r="C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Q22" i="24"/>
  <c r="N22" i="24"/>
  <c r="L22" i="24"/>
  <c r="K47" i="23"/>
  <c r="I38" i="23"/>
  <c r="F38" i="23"/>
  <c r="C38" i="23"/>
  <c r="M37" i="23"/>
  <c r="N36" i="23"/>
  <c r="L38" i="23"/>
  <c r="K40" i="23" s="1"/>
  <c r="F36" i="24" l="1"/>
  <c r="E36" i="24"/>
  <c r="F41" i="23"/>
  <c r="F44" i="23" s="1"/>
  <c r="F48" i="23" s="1"/>
  <c r="K44" i="23" s="1"/>
  <c r="K49" i="23" s="1"/>
  <c r="E18" i="22" l="1"/>
  <c r="Y22" i="22"/>
  <c r="V22" i="22"/>
  <c r="T22" i="22"/>
  <c r="T5" i="22"/>
  <c r="T1" i="22"/>
  <c r="F25" i="22" l="1"/>
  <c r="F26" i="22"/>
  <c r="F27" i="22"/>
  <c r="F28" i="22"/>
  <c r="F29" i="22"/>
  <c r="F30" i="22"/>
  <c r="F31" i="22"/>
  <c r="F32" i="22"/>
  <c r="F33" i="22"/>
  <c r="F34" i="22"/>
  <c r="E8" i="22" l="1"/>
  <c r="J34" i="22"/>
  <c r="J30" i="22" l="1"/>
  <c r="J47" i="22" s="1"/>
  <c r="L10" i="17"/>
  <c r="J29" i="22"/>
  <c r="O47" i="22"/>
  <c r="L47" i="22"/>
  <c r="L9" i="17" l="1"/>
  <c r="L38" i="17" l="1"/>
  <c r="L13" i="19" l="1"/>
  <c r="L12" i="19"/>
  <c r="L11" i="19"/>
  <c r="L10" i="19"/>
  <c r="L9" i="19" l="1"/>
  <c r="C65" i="20" l="1"/>
  <c r="E24" i="20" l="1"/>
  <c r="O22" i="22"/>
  <c r="J15" i="22"/>
  <c r="J14" i="22"/>
  <c r="F18" i="22"/>
  <c r="F19" i="22"/>
  <c r="F20" i="22"/>
  <c r="F21" i="22"/>
  <c r="F22" i="22"/>
  <c r="F23" i="22"/>
  <c r="J12" i="22"/>
  <c r="J11" i="22"/>
  <c r="J9" i="22"/>
  <c r="J2" i="22"/>
  <c r="J5" i="22"/>
  <c r="J4" i="22"/>
  <c r="J22" i="22" l="1"/>
  <c r="L22" i="22" l="1"/>
  <c r="C70" i="22" l="1"/>
  <c r="C36" i="22"/>
  <c r="F35" i="22"/>
  <c r="F24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K47" i="17"/>
  <c r="I38" i="17"/>
  <c r="K40" i="17" s="1"/>
  <c r="F38" i="17"/>
  <c r="C38" i="17"/>
  <c r="M37" i="17"/>
  <c r="N36" i="17"/>
  <c r="F41" i="17" l="1"/>
  <c r="F44" i="17" s="1"/>
  <c r="F48" i="17" s="1"/>
  <c r="K44" i="17" s="1"/>
  <c r="K49" i="17" s="1"/>
  <c r="F36" i="22"/>
  <c r="E36" i="22"/>
  <c r="E21" i="20"/>
  <c r="J54" i="20"/>
  <c r="L54" i="20"/>
  <c r="O54" i="20"/>
  <c r="J51" i="20"/>
  <c r="J49" i="20"/>
  <c r="J48" i="20" l="1"/>
  <c r="E8" i="20" l="1"/>
  <c r="J41" i="20"/>
  <c r="O41" i="20"/>
  <c r="L41" i="20"/>
  <c r="J39" i="20"/>
  <c r="J38" i="20"/>
  <c r="J35" i="20"/>
  <c r="J33" i="20"/>
  <c r="J32" i="20"/>
  <c r="J31" i="20"/>
  <c r="J29" i="20"/>
  <c r="J28" i="20"/>
  <c r="F23" i="28" l="1"/>
  <c r="C26" i="28"/>
  <c r="L38" i="16"/>
  <c r="E32" i="18" l="1"/>
  <c r="J18" i="20"/>
  <c r="O18" i="20"/>
  <c r="J7" i="20"/>
  <c r="J5" i="20"/>
  <c r="J9" i="20"/>
  <c r="J8" i="20"/>
  <c r="L12" i="16" l="1"/>
  <c r="L18" i="20" l="1"/>
  <c r="E31" i="20" l="1"/>
  <c r="C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K47" i="19"/>
  <c r="L38" i="19"/>
  <c r="I38" i="19"/>
  <c r="F38" i="19"/>
  <c r="C38" i="19"/>
  <c r="M37" i="19"/>
  <c r="N36" i="19"/>
  <c r="K40" i="19" l="1"/>
  <c r="F41" i="19" s="1"/>
  <c r="F44" i="19" s="1"/>
  <c r="F48" i="19" s="1"/>
  <c r="K44" i="19" s="1"/>
  <c r="K49" i="19" s="1"/>
  <c r="F31" i="20"/>
  <c r="E23" i="18" l="1"/>
  <c r="X16" i="18"/>
  <c r="U16" i="18"/>
  <c r="S16" i="18"/>
  <c r="S12" i="18"/>
  <c r="S9" i="18"/>
  <c r="S8" i="18" l="1"/>
  <c r="S7" i="18"/>
  <c r="E7" i="18" l="1"/>
  <c r="O53" i="18"/>
  <c r="J47" i="18" l="1"/>
  <c r="J44" i="18"/>
  <c r="J42" i="18"/>
  <c r="J39" i="18"/>
  <c r="J37" i="18"/>
  <c r="J33" i="18" l="1"/>
  <c r="J53" i="18"/>
  <c r="L53" i="18"/>
  <c r="E32" i="15" l="1"/>
  <c r="J18" i="18" l="1"/>
  <c r="J17" i="18"/>
  <c r="J16" i="18"/>
  <c r="J14" i="18"/>
  <c r="J13" i="18" l="1"/>
  <c r="J10" i="18"/>
  <c r="J9" i="18" l="1"/>
  <c r="J7" i="18"/>
  <c r="J5" i="18"/>
  <c r="O25" i="18"/>
  <c r="L25" i="18"/>
  <c r="J25" i="18" l="1"/>
  <c r="C43" i="15"/>
  <c r="L11" i="14" l="1"/>
  <c r="C72" i="18" l="1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E3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K47" i="16"/>
  <c r="I38" i="16"/>
  <c r="F38" i="16"/>
  <c r="C38" i="16"/>
  <c r="M37" i="16"/>
  <c r="N36" i="16"/>
  <c r="F17" i="18" l="1"/>
  <c r="F38" i="18" s="1"/>
  <c r="K40" i="16"/>
  <c r="F41" i="16" s="1"/>
  <c r="F44" i="16" s="1"/>
  <c r="F48" i="16" s="1"/>
  <c r="K44" i="16" s="1"/>
  <c r="K49" i="16" s="1"/>
  <c r="R25" i="15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5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7" i="14" s="1"/>
  <c r="K42" i="14" s="1"/>
  <c r="K47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J63" i="13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<sst xmlns="http://schemas.openxmlformats.org/spreadsheetml/2006/main" count="2474" uniqueCount="913">
  <si>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</si>
  <si>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</si>
  <si>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</si>
  <si>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</si>
  <si>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</si>
  <si>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</si>
  <si>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</si>
  <si>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</si>
  <si>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</si>
  <si>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</si>
  <si>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</si>
  <si>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</si>
  <si>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</si>
  <si>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</si>
  <si>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</si>
  <si>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</si>
  <si>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</si>
  <si>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</si>
  <si>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</si>
  <si>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</si>
  <si>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</si>
  <si>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</si>
  <si>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</si>
  <si>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</si>
  <si>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</si>
  <si>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</si>
  <si>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</si>
  <si>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</si>
  <si>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</si>
  <si>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</si>
  <si>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</si>
  <si>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</si>
  <si>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</si>
  <si>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</si>
  <si>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</si>
  <si>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</si>
  <si>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</si>
  <si>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</si>
  <si>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</si>
  <si>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</si>
  <si>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</si>
  <si>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</si>
  <si>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</si>
  <si>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</si>
  <si>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</si>
  <si>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</si>
  <si>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</si>
  <si>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</si>
  <si>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</si>
  <si>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</si>
  <si>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</si>
  <si>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</si>
  <si>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</si>
  <si>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</si>
  <si>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</si>
  <si>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</si>
  <si>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</si>
  <si>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</si>
  <si>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</si>
  <si>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</si>
  <si>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</si>
  <si>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</si>
  <si>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</si>
  <si>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</si>
  <si>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</si>
  <si>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</si>
  <si>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</si>
  <si>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</si>
  <si>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</si>
  <si>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</si>
  <si>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</si>
  <si>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</si>
  <si>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</si>
  <si>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</si>
  <si>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</si>
  <si>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</si>
  <si>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</si>
  <si>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</si>
  <si>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</si>
  <si>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</si>
  <si>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</si>
  <si>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</si>
  <si>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</si>
  <si>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</si>
  <si>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</si>
  <si>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</si>
  <si>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</si>
  <si>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</si>
  <si>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</si>
  <si>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</si>
  <si>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</si>
  <si>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</si>
  <si>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</si>
  <si>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</si>
  <si>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</si>
  <si>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</si>
  <si>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</si>
  <si>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</si>
  <si>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</si>
  <si>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</si>
  <si>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</si>
  <si>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</si>
  <si>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</si>
  <si>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</si>
  <si>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</si>
  <si>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</si>
  <si>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</si>
  <si>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</si>
  <si>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</si>
  <si>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</si>
  <si>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</si>
  <si>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</si>
  <si>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</si>
  <si>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</si>
  <si>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</si>
  <si>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</si>
  <si>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</si>
  <si>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</si>
  <si>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</si>
  <si>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</si>
  <si>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</si>
  <si>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</si>
  <si>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</si>
  <si>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</si>
  <si>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</si>
  <si>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</si>
  <si>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</si>
  <si>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</si>
  <si>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</si>
  <si>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</si>
  <si>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</si>
  <si>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</si>
  <si>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</si>
  <si>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</si>
  <si>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</si>
  <si>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</si>
  <si>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</si>
  <si>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</si>
  <si>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</si>
  <si>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</si>
  <si>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</si>
  <si>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</si>
  <si>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</si>
  <si>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</si>
  <si>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</si>
  <si>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</si>
  <si>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</si>
  <si>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</si>
  <si>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</si>
  <si>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</si>
  <si>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</si>
  <si>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</si>
  <si>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</si>
  <si>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</si>
  <si>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</si>
  <si>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</si>
  <si>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</si>
  <si>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</si>
  <si>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</si>
  <si>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</si>
  <si>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</si>
  <si>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</si>
  <si>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</si>
  <si>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</si>
  <si>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</si>
  <si>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</si>
  <si>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</si>
  <si>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</si>
  <si>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</si>
  <si>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</si>
  <si>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</si>
  <si>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</si>
  <si>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</si>
  <si>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</si>
  <si>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</si>
  <si>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</si>
  <si>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</si>
  <si>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</si>
  <si>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</si>
  <si>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</si>
  <si>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</si>
  <si>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</si>
  <si>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</si>
  <si>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</si>
  <si>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</si>
  <si>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</si>
  <si>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</si>
  <si>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</si>
  <si>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</si>
  <si>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</si>
  <si>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</si>
  <si>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</si>
  <si>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</si>
  <si>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</si>
  <si>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</si>
  <si>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</si>
  <si>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</si>
  <si>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</si>
  <si>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</si>
  <si>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</si>
  <si>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</si>
  <si>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</si>
  <si>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</si>
  <si>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</si>
  <si>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</si>
  <si>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</si>
  <si>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</si>
  <si>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</si>
  <si>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</si>
  <si>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</si>
  <si>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</si>
  <si>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</si>
  <si>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</si>
  <si>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</si>
  <si>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</si>
  <si>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</si>
  <si>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</si>
  <si>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</si>
  <si>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</si>
  <si>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</si>
  <si>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</si>
  <si>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</si>
  <si>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</si>
  <si>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</si>
  <si>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</si>
  <si>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</si>
  <si>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</si>
  <si>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</si>
  <si>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</si>
  <si>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</si>
  <si>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</si>
  <si>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</si>
  <si>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</si>
  <si>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</si>
  <si>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</si>
  <si>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</si>
  <si>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</si>
  <si>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</si>
  <si>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</si>
  <si>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</si>
  <si>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</si>
  <si>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</si>
  <si>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</si>
  <si>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</si>
  <si>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</si>
  <si>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</si>
  <si>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</si>
  <si>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</si>
  <si>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</si>
  <si>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</si>
  <si>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</si>
  <si>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</si>
  <si>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</si>
  <si>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</si>
  <si>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</si>
  <si>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</si>
  <si>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</si>
  <si>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</si>
  <si>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</si>
  <si>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</si>
  <si>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</si>
  <si>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</si>
  <si>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</si>
  <si>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</si>
  <si>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</si>
  <si>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</si>
  <si>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</si>
  <si>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</si>
  <si>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</si>
  <si>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</si>
  <si>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</si>
  <si>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</si>
  <si>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</si>
  <si>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</si>
  <si>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</si>
  <si>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</si>
  <si>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</si>
  <si>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</si>
  <si>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</si>
  <si>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</si>
  <si>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</si>
  <si>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</si>
  <si>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</si>
  <si>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</si>
  <si>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</si>
  <si>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</si>
  <si>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</si>
  <si>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</si>
  <si>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</si>
  <si>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</si>
  <si>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</si>
  <si>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</si>
  <si>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</si>
  <si>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</si>
  <si>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</si>
  <si>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</si>
  <si>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</si>
  <si>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</si>
  <si>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</si>
  <si>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</si>
  <si>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</si>
  <si>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</si>
  <si>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</si>
  <si>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</si>
  <si>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</si>
  <si>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</si>
  <si>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</si>
  <si>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</si>
  <si>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</si>
  <si>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</si>
  <si>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</si>
  <si>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</si>
  <si>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</si>
  <si>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</si>
  <si>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</si>
  <si>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</si>
  <si>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</si>
  <si>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</si>
  <si>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</si>
  <si>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</si>
  <si>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</si>
  <si>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</si>
  <si>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</si>
  <si>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</si>
  <si>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</si>
  <si>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</si>
  <si>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</si>
  <si>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</si>
  <si>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</si>
  <si>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</si>
  <si>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</si>
  <si>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</si>
  <si>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</si>
  <si>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</si>
  <si>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</si>
  <si>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</si>
  <si>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</si>
  <si>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</si>
  <si>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</si>
  <si>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</si>
  <si>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</si>
  <si>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</si>
  <si>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</si>
  <si>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</si>
  <si>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</si>
  <si>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</si>
  <si>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</si>
  <si>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</si>
  <si>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</si>
  <si>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</si>
  <si>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</si>
  <si>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</si>
  <si>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</si>
  <si>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</si>
  <si>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</si>
  <si>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</si>
  <si>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</si>
  <si>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</si>
  <si>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</si>
  <si>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</si>
  <si>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</si>
  <si>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</si>
  <si>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</si>
  <si>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</si>
  <si>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</si>
  <si>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</si>
  <si>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</si>
  <si>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</si>
  <si>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</si>
  <si>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</si>
  <si>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</si>
  <si>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</si>
  <si>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</si>
  <si>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</si>
  <si>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</si>
  <si>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</si>
  <si>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</si>
  <si>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</si>
  <si>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</si>
  <si>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</si>
  <si>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</si>
  <si>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</si>
  <si>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</si>
  <si>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</si>
  <si>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</si>
  <si>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</si>
  <si>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</si>
  <si>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</si>
  <si>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</si>
  <si>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</si>
  <si>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</si>
  <si>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</si>
  <si>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</si>
  <si>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</si>
  <si>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</si>
  <si>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</si>
  <si>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</si>
  <si>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</si>
  <si>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</si>
  <si>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</si>
  <si>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</si>
  <si>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</si>
  <si>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</si>
  <si>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</si>
  <si>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</si>
  <si>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</si>
  <si>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</si>
  <si>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</si>
  <si>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</si>
  <si>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</si>
  <si>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</si>
  <si>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</si>
  <si>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</si>
  <si>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</si>
  <si>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</si>
  <si>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</si>
  <si>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</si>
  <si>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</si>
  <si>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</si>
  <si>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</si>
  <si>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</si>
  <si>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</si>
  <si>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</si>
  <si>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</si>
  <si>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</si>
  <si>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</si>
  <si>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</si>
  <si>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</si>
  <si>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</si>
  <si>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</si>
  <si>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</si>
  <si>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</si>
  <si>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</si>
  <si>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</si>
  <si>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</si>
  <si>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</si>
  <si>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</si>
  <si>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</si>
  <si>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</si>
  <si>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</si>
  <si>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</si>
  <si>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</si>
  <si>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</si>
  <si>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</si>
  <si>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</si>
  <si>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</si>
  <si>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</si>
  <si>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</si>
  <si>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</si>
  <si>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</si>
  <si>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</si>
  <si>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</si>
  <si>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</si>
  <si>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</si>
  <si>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</si>
  <si>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</si>
  <si>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</si>
  <si>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</si>
  <si>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</si>
  <si>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</si>
  <si>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</si>
  <si>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</si>
  <si>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</si>
  <si>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</si>
  <si>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</si>
  <si>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</si>
  <si>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</si>
  <si>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</si>
  <si>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</si>
  <si>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</si>
  <si>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</si>
  <si>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</si>
  <si>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</si>
  <si>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</si>
  <si>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</si>
  <si>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</si>
  <si>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</si>
  <si>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</si>
  <si>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</si>
  <si>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</si>
  <si>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</si>
  <si>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</si>
  <si>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</si>
  <si>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</si>
  <si>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</si>
  <si>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</si>
  <si>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</si>
  <si>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</si>
  <si>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</si>
  <si>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</si>
  <si>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</si>
  <si>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</si>
  <si>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</si>
  <si>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</si>
  <si>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</si>
  <si>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</si>
  <si>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</si>
  <si>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</si>
  <si>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</si>
  <si>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</si>
  <si>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</si>
  <si>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</si>
  <si>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</si>
  <si>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</si>
  <si>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</si>
  <si>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</si>
  <si>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</si>
  <si>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</si>
  <si>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</si>
  <si>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</si>
  <si>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</si>
  <si>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</si>
  <si>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</si>
  <si>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</si>
  <si>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</si>
  <si>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</si>
  <si>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</si>
  <si>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</si>
  <si>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</si>
  <si>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</si>
  <si>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</si>
  <si>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</si>
  <si>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</si>
  <si>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</si>
  <si>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</si>
  <si>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</si>
  <si>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</si>
  <si>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</si>
  <si>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</si>
  <si>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</si>
  <si>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</si>
  <si>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</si>
  <si>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</si>
  <si>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</si>
  <si>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</si>
  <si>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</si>
  <si>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</si>
  <si>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</si>
  <si>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</si>
  <si>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</si>
  <si>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</si>
  <si>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</si>
  <si>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</si>
  <si>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</si>
  <si>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</si>
  <si>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</si>
  <si>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</si>
  <si>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</si>
  <si>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</si>
  <si>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</si>
  <si>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</si>
  <si>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</si>
  <si>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</si>
  <si>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</si>
  <si>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</si>
  <si>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</si>
  <si>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</si>
  <si>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</si>
  <si>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</si>
  <si>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</si>
  <si>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</si>
  <si>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</si>
  <si>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</si>
  <si>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</si>
  <si>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</si>
  <si>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</si>
  <si>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</si>
  <si>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</si>
  <si>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</si>
  <si>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</si>
  <si>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</si>
  <si>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</si>
  <si>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</si>
  <si>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</si>
  <si>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</si>
  <si>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</si>
  <si>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</si>
  <si>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</si>
  <si>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</si>
  <si>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</si>
  <si>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</si>
  <si>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</si>
  <si>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</si>
  <si>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</si>
  <si>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</si>
  <si>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</si>
  <si>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</si>
  <si>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</si>
  <si>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</si>
  <si>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</si>
  <si>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</si>
  <si>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</si>
  <si>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</si>
  <si>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</si>
  <si>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</si>
  <si>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</si>
  <si>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</si>
  <si>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</si>
  <si>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</si>
  <si>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</si>
  <si>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</si>
  <si>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</si>
  <si>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</si>
  <si>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</si>
  <si>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</si>
  <si>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</si>
  <si>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</si>
  <si>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</si>
  <si>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</si>
  <si>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</si>
  <si>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</si>
  <si>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</si>
  <si>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</si>
  <si>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</si>
  <si>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</si>
  <si>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</si>
  <si>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</si>
  <si>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</si>
  <si>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</si>
  <si>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</si>
  <si>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</si>
  <si>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>R-21126-21372-POLLO</t>
  </si>
  <si>
    <t>R-21372-21370-21428-21649</t>
  </si>
  <si>
    <t>R-21649-21719</t>
  </si>
  <si>
    <t>21812 D</t>
  </si>
  <si>
    <t xml:space="preserve">ELIAS 30 Jul </t>
  </si>
  <si>
    <t>.</t>
  </si>
  <si>
    <t xml:space="preserve">BALANCE       DE    A G O S TO            2 0 1 7        11  S U R   </t>
  </si>
  <si>
    <t xml:space="preserve">ELIAS  </t>
  </si>
  <si>
    <t xml:space="preserve">ELIAS </t>
  </si>
  <si>
    <t xml:space="preserve">REMISIONES  11 SUR   A G O S T O         2 0 1 7 </t>
  </si>
  <si>
    <t>22010 D</t>
  </si>
  <si>
    <t>R-21719</t>
  </si>
  <si>
    <t>CONDIMENTOS</t>
  </si>
  <si>
    <t>POLLO-ARABE</t>
  </si>
  <si>
    <t>ARABE-MAIZ POBLANA</t>
  </si>
  <si>
    <t>MAIZ POBLANA</t>
  </si>
  <si>
    <t xml:space="preserve">24-30-Jul </t>
  </si>
  <si>
    <t>22278 D</t>
  </si>
  <si>
    <t>22362 D</t>
  </si>
  <si>
    <t>22556 D</t>
  </si>
  <si>
    <t>22756 D</t>
  </si>
  <si>
    <t>22759 D</t>
  </si>
  <si>
    <t>23020 D</t>
  </si>
  <si>
    <t>23026 D</t>
  </si>
  <si>
    <t>23164 D</t>
  </si>
  <si>
    <t>23386 D</t>
  </si>
  <si>
    <t>R-2719-21727-21812-21850-MAIZ</t>
  </si>
  <si>
    <t>R-21850-22010-MAIZ</t>
  </si>
  <si>
    <t>R-22010-22278-22362</t>
  </si>
  <si>
    <t>MAIZ--POLLO-CHORIZO</t>
  </si>
  <si>
    <t>R-22362</t>
  </si>
  <si>
    <t>R-22362-22556</t>
  </si>
  <si>
    <t>R-22556</t>
  </si>
  <si>
    <t>R-22556-22756</t>
  </si>
  <si>
    <t>R-22756--MAIZ-POLLO</t>
  </si>
  <si>
    <t xml:space="preserve">MAIZ--POLLO  </t>
  </si>
  <si>
    <t xml:space="preserve">29-Jul --12-Ago </t>
  </si>
  <si>
    <t>23079 D</t>
  </si>
  <si>
    <t>23202 D</t>
  </si>
  <si>
    <t>23430 D</t>
  </si>
  <si>
    <t>23441 D</t>
  </si>
  <si>
    <t>23635 D</t>
  </si>
  <si>
    <t>23771 D</t>
  </si>
  <si>
    <t>NOMINA 31</t>
  </si>
  <si>
    <t>NOMINA 32</t>
  </si>
  <si>
    <t>NOMINA 33</t>
  </si>
  <si>
    <t>NOMINA 34</t>
  </si>
  <si>
    <t>24013 D</t>
  </si>
  <si>
    <t>24018 D</t>
  </si>
  <si>
    <t>24019 D</t>
  </si>
  <si>
    <t>24373 D</t>
  </si>
  <si>
    <t>24295 D</t>
  </si>
  <si>
    <t>24550 D</t>
  </si>
  <si>
    <t>24299 D</t>
  </si>
  <si>
    <t>R-22556--22759</t>
  </si>
  <si>
    <t>R-22759-23026-23079-23202-23020-23164</t>
  </si>
  <si>
    <t>R-23164-23441-23430-23386--POLLO</t>
  </si>
  <si>
    <t xml:space="preserve">Elias  13 Ago </t>
  </si>
  <si>
    <t>R-23386</t>
  </si>
  <si>
    <t xml:space="preserve">Elias  14 Ago </t>
  </si>
  <si>
    <t>R-236386-236935</t>
  </si>
  <si>
    <t>R-23635-POLLO-CHORIZO</t>
  </si>
  <si>
    <t>R-23635-23771-MAIZ</t>
  </si>
  <si>
    <t>DEBEN</t>
  </si>
  <si>
    <t>R-24013-POLLO</t>
  </si>
  <si>
    <t>R-24013-24018-24019-POLLO</t>
  </si>
  <si>
    <t>R-24295-MAIZ</t>
  </si>
  <si>
    <t>R-24295-POLLO</t>
  </si>
  <si>
    <t xml:space="preserve">12-Ago --22-Ago </t>
  </si>
  <si>
    <t>24510 D</t>
  </si>
  <si>
    <t>24659 D</t>
  </si>
  <si>
    <t>24756 D</t>
  </si>
  <si>
    <t>24880 D</t>
  </si>
  <si>
    <t>00163 E</t>
  </si>
  <si>
    <t>R-24295-24373-24299-24510-POLLO</t>
  </si>
  <si>
    <t>R-24510-24550-24659</t>
  </si>
  <si>
    <t>R-24659-MAIZ</t>
  </si>
  <si>
    <t>POLLO3</t>
  </si>
  <si>
    <t>R-24659-24756-POLLO</t>
  </si>
  <si>
    <t>00049 E</t>
  </si>
  <si>
    <t>BEATRIZ</t>
  </si>
  <si>
    <t>R-24756-24880-0049</t>
  </si>
  <si>
    <t>R-0049--MAIZ--POLLO</t>
  </si>
  <si>
    <t xml:space="preserve">Elias  27-Ago </t>
  </si>
  <si>
    <t xml:space="preserve">Elias  28-Ago </t>
  </si>
  <si>
    <t xml:space="preserve">R-0049  </t>
  </si>
  <si>
    <t>00414 E</t>
  </si>
  <si>
    <t>Abono</t>
  </si>
  <si>
    <t>Sin Remision</t>
  </si>
  <si>
    <t xml:space="preserve">22 Ago --29-Ago </t>
  </si>
  <si>
    <t>00494 E</t>
  </si>
  <si>
    <t>00687 E</t>
  </si>
  <si>
    <t>R-163-414</t>
  </si>
  <si>
    <t xml:space="preserve">BALANCE       DE    SEPTIEMBRE             2 0 1 7        11  S U R   </t>
  </si>
  <si>
    <t xml:space="preserve">REMISIONES  11 SUR    SEPTIEMBRE          2 0 1 7 </t>
  </si>
  <si>
    <t>0827 E</t>
  </si>
  <si>
    <t>0956 E</t>
  </si>
  <si>
    <t>1188 E</t>
  </si>
  <si>
    <t>1304 E</t>
  </si>
  <si>
    <t>1312 E</t>
  </si>
  <si>
    <t>1428 E</t>
  </si>
  <si>
    <t>163-E</t>
  </si>
  <si>
    <t>XXXXX</t>
  </si>
  <si>
    <t>R-494-POLLO-CHORIZO</t>
  </si>
  <si>
    <t xml:space="preserve">R-494-POLLO   </t>
  </si>
  <si>
    <t xml:space="preserve">EQ. TELEFONICO 31-Ago </t>
  </si>
  <si>
    <t>pollo-cebolla</t>
  </si>
  <si>
    <t>varios</t>
  </si>
  <si>
    <t>31-6 Ago</t>
  </si>
  <si>
    <t xml:space="preserve">7-13-Ago </t>
  </si>
  <si>
    <t xml:space="preserve">14-20-Ago </t>
  </si>
  <si>
    <t xml:space="preserve">21-27-Ago </t>
  </si>
  <si>
    <t xml:space="preserve">GANANCIA </t>
  </si>
  <si>
    <t>INFORMATIVO</t>
  </si>
  <si>
    <t xml:space="preserve">Elias  1-Sept </t>
  </si>
  <si>
    <t>R-494-687-827-POLLO-ARABE</t>
  </si>
  <si>
    <t>POLLO Y ARABE</t>
  </si>
  <si>
    <t>GASOLINA 2-Sep</t>
  </si>
  <si>
    <t>R-827-956-ARABE</t>
  </si>
  <si>
    <t>R-956-</t>
  </si>
  <si>
    <t>NOMINA 35</t>
  </si>
  <si>
    <t>NOMINA 36</t>
  </si>
  <si>
    <t>NOMINA 37</t>
  </si>
  <si>
    <t>NOMINA 38</t>
  </si>
  <si>
    <t xml:space="preserve">Elias  04-Sept </t>
  </si>
  <si>
    <t>R-1188--POLLO</t>
  </si>
  <si>
    <t>R-1188-</t>
  </si>
  <si>
    <t>28-3 Sept</t>
  </si>
  <si>
    <t>R-1188-1304-pollo-salsa</t>
  </si>
  <si>
    <t>pollo--salsas</t>
  </si>
  <si>
    <t xml:space="preserve">29-Ago --09.-Sep </t>
  </si>
  <si>
    <t>1652 E</t>
  </si>
  <si>
    <t>1712 E</t>
  </si>
  <si>
    <t>1864 E</t>
  </si>
  <si>
    <t>2011 E</t>
  </si>
  <si>
    <t>2114 E</t>
  </si>
  <si>
    <t>2211 E</t>
  </si>
  <si>
    <t>2335 E</t>
  </si>
  <si>
    <t>2491 E</t>
  </si>
  <si>
    <t>2663 E</t>
  </si>
  <si>
    <t>2744 E</t>
  </si>
  <si>
    <t>2745 E</t>
  </si>
  <si>
    <t>2910 E</t>
  </si>
  <si>
    <t>3084 E</t>
  </si>
  <si>
    <t xml:space="preserve">09-Sep -23-Sep </t>
  </si>
  <si>
    <t>3494 E</t>
  </si>
  <si>
    <t>3687 E</t>
  </si>
  <si>
    <t>3924 E</t>
  </si>
  <si>
    <t>4195 E</t>
  </si>
  <si>
    <t>4196 E</t>
  </si>
  <si>
    <t>3329 E</t>
  </si>
  <si>
    <t xml:space="preserve">23-seP --30-Seo </t>
  </si>
  <si>
    <t>R-134-1312-1428</t>
  </si>
  <si>
    <t xml:space="preserve">Multa Moto </t>
  </si>
  <si>
    <t>Juan Alonso</t>
  </si>
  <si>
    <t>R-1428-1652-1712</t>
  </si>
  <si>
    <t>R-1712-1864-Pollo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</si>
  <si>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</si>
  <si>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</si>
  <si>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 xml:space="preserve">Elias  10-Sep </t>
  </si>
  <si>
    <t>R-1864-2011-Pollo</t>
  </si>
  <si>
    <t xml:space="preserve">Elias  11-Sep </t>
  </si>
  <si>
    <t>R-2114-POLLO-POBLANA</t>
  </si>
  <si>
    <t>POLLO-LA POBLANA</t>
  </si>
  <si>
    <t>Chorizo--maiz</t>
  </si>
  <si>
    <t>4347 E</t>
  </si>
  <si>
    <t>4477 E</t>
  </si>
  <si>
    <t>4485 E</t>
  </si>
  <si>
    <t xml:space="preserve">BALANCE       DE   OCTUBRE              2 0 1 7        11  S U R   </t>
  </si>
  <si>
    <t xml:space="preserve">REMISIONES  11 SUR    OCTUBRE          2 0 1 7 </t>
  </si>
  <si>
    <t>5039 E</t>
  </si>
  <si>
    <t>5103 E</t>
  </si>
  <si>
    <t>R-2114--2211</t>
  </si>
  <si>
    <t>R-2211-2335</t>
  </si>
  <si>
    <t xml:space="preserve">04-10 Sep </t>
  </si>
  <si>
    <t xml:space="preserve">11-17 Sep </t>
  </si>
  <si>
    <t>18-24 SEP</t>
  </si>
  <si>
    <t>25-01 Oct</t>
  </si>
  <si>
    <t>R-2335-2491-2663-MAIZ</t>
  </si>
  <si>
    <t>R-2744-2745-2663</t>
  </si>
  <si>
    <t>R-2910</t>
  </si>
  <si>
    <t xml:space="preserve">ELIAS  17-Sep </t>
  </si>
  <si>
    <t>4757 E</t>
  </si>
  <si>
    <t>5296 E</t>
  </si>
  <si>
    <t>5466 E</t>
  </si>
  <si>
    <t>5562 E</t>
  </si>
  <si>
    <t xml:space="preserve">ELIAS  18 Sep </t>
  </si>
  <si>
    <t>R-2910--POLLO</t>
  </si>
  <si>
    <t>R-3084-CHORIZO</t>
  </si>
  <si>
    <t>R-2910-3084--POLLO</t>
  </si>
  <si>
    <t>Chorizo--CEBOLLA</t>
  </si>
  <si>
    <t>R-3084--3329</t>
  </si>
  <si>
    <t xml:space="preserve">ROBO </t>
  </si>
  <si>
    <t xml:space="preserve">ELIAS  24-Sep </t>
  </si>
  <si>
    <t>R-3329</t>
  </si>
  <si>
    <t>R-3329-3494-3687-POLLO</t>
  </si>
  <si>
    <t>R-3687-POLLO-CHORIZO</t>
  </si>
  <si>
    <t xml:space="preserve">R3687   </t>
  </si>
  <si>
    <t>R-3687-3924-ARABE</t>
  </si>
  <si>
    <t>R-3924-POLLO</t>
  </si>
  <si>
    <t>R-3924-4196-4195-4347-4485-4477</t>
  </si>
  <si>
    <t xml:space="preserve">30-Sep --13-Oct </t>
  </si>
  <si>
    <t>6113 E</t>
  </si>
  <si>
    <t>6114 E</t>
  </si>
  <si>
    <t>6416 E</t>
  </si>
  <si>
    <t>6417 E</t>
  </si>
  <si>
    <t>6534 E</t>
  </si>
  <si>
    <t>6537 E</t>
  </si>
  <si>
    <t>arabe</t>
  </si>
  <si>
    <t>informativo</t>
  </si>
  <si>
    <t xml:space="preserve">LUZ   X MES </t>
  </si>
  <si>
    <t>LUZ   x mes</t>
  </si>
  <si>
    <t>NOMINA  39</t>
  </si>
  <si>
    <t>NOMINA 40</t>
  </si>
  <si>
    <t>NOMINA 42</t>
  </si>
  <si>
    <t>NOMINA 41</t>
  </si>
  <si>
    <t>NOMINA 43</t>
  </si>
  <si>
    <t>NOMINA 44</t>
  </si>
  <si>
    <t>2--08-Oct</t>
  </si>
  <si>
    <t xml:space="preserve">09-15 Octm </t>
  </si>
  <si>
    <t>02-Y 03-OCT</t>
  </si>
  <si>
    <t xml:space="preserve">Elias 1-Oct </t>
  </si>
  <si>
    <t>R-4477</t>
  </si>
  <si>
    <t>Elias  02 Oct</t>
  </si>
  <si>
    <t>R-4477--4757</t>
  </si>
  <si>
    <t>R-4757</t>
  </si>
  <si>
    <t>TOSTADAS</t>
  </si>
  <si>
    <t>R-4757-5039</t>
  </si>
  <si>
    <t>R-5039-5103-5296</t>
  </si>
  <si>
    <t>R-5296-POLLO</t>
  </si>
  <si>
    <t xml:space="preserve">POLLO  </t>
  </si>
  <si>
    <t xml:space="preserve">Elias  08-Oct </t>
  </si>
  <si>
    <t>R-5296-5466</t>
  </si>
  <si>
    <t>R-5466-5562</t>
  </si>
  <si>
    <t>R-5562</t>
  </si>
  <si>
    <t>estos depositos estan fisicamente en cada corte</t>
  </si>
  <si>
    <t>MAIZ--ARABE</t>
  </si>
  <si>
    <t>R-6113</t>
  </si>
  <si>
    <t>R-6113-6114-6417-6416</t>
  </si>
  <si>
    <t>R-6416-6534</t>
  </si>
  <si>
    <t>R-6534</t>
  </si>
  <si>
    <t>R-6534-POLLO</t>
  </si>
  <si>
    <t>6811 E</t>
  </si>
  <si>
    <t>6929 E</t>
  </si>
  <si>
    <t>7134 E</t>
  </si>
  <si>
    <t>7230 E</t>
  </si>
  <si>
    <t xml:space="preserve">13-Oct --23-Oct </t>
  </si>
  <si>
    <t>7405 E</t>
  </si>
  <si>
    <t>7423 E</t>
  </si>
  <si>
    <t>7454 E</t>
  </si>
  <si>
    <t>7669 E</t>
  </si>
  <si>
    <t>7688 E</t>
  </si>
  <si>
    <t>7703 E</t>
  </si>
  <si>
    <t>7841 E</t>
  </si>
  <si>
    <t>7844 E</t>
  </si>
  <si>
    <t>6201 E</t>
  </si>
  <si>
    <t>7995 E</t>
  </si>
  <si>
    <t>8137 E</t>
  </si>
  <si>
    <t>8140 E</t>
  </si>
  <si>
    <t xml:space="preserve">23-Oct --30-Oct </t>
  </si>
  <si>
    <t>R-65834-6537-6811-MAIZ</t>
  </si>
  <si>
    <t/>
  </si>
  <si>
    <t xml:space="preserve">Elias 09 Oct </t>
  </si>
  <si>
    <t>R-6811-6929</t>
  </si>
  <si>
    <t xml:space="preserve">16-22-Oct </t>
  </si>
  <si>
    <t>R-7134-POLLO</t>
  </si>
  <si>
    <t>R-7134-7230-POLLO-ARABE</t>
  </si>
  <si>
    <t>ARABE-POLLO</t>
  </si>
  <si>
    <t>R-7405-</t>
  </si>
  <si>
    <t xml:space="preserve">PEPE  19 Oct </t>
  </si>
  <si>
    <t>R-7423-7454-POLLO</t>
  </si>
  <si>
    <t>R-7669</t>
  </si>
  <si>
    <t xml:space="preserve">ELIAS  22 Oct </t>
  </si>
  <si>
    <t>R-7669-7688-7703-POLLO-MAIZ</t>
  </si>
  <si>
    <t>R-7841-CHORIZO</t>
  </si>
  <si>
    <t xml:space="preserve">23-29 Oct </t>
  </si>
  <si>
    <t>R-7841-7844-7995-POLLO</t>
  </si>
  <si>
    <t>8439 E</t>
  </si>
  <si>
    <t>8480 E</t>
  </si>
  <si>
    <t>8488 E</t>
  </si>
  <si>
    <t xml:space="preserve">BALANCE       DE   NOVIEMBRE               2 0 1 7        11  S U R   </t>
  </si>
  <si>
    <t xml:space="preserve">Elias </t>
  </si>
  <si>
    <t xml:space="preserve">PEPE  </t>
  </si>
  <si>
    <t xml:space="preserve">SALIDAS       11 SUR    NOVIEMBRE          2 0 1 7 </t>
  </si>
  <si>
    <t>R-7995-8137</t>
  </si>
  <si>
    <t xml:space="preserve">ELIAS  29- Oct </t>
  </si>
  <si>
    <t>R-8137-*POLLO</t>
  </si>
  <si>
    <t xml:space="preserve">ARABE   </t>
  </si>
  <si>
    <t xml:space="preserve">PEPE  30-Oct </t>
  </si>
  <si>
    <t>R-8439-arabe</t>
  </si>
  <si>
    <t>r-8137-8140-8439-8480-pollo</t>
  </si>
  <si>
    <t>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</si>
</sst>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7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0" borderId="24" xfId="1" applyFont="1" applyFill="1" applyBorder="1" applyAlignment="1"/>
    <xf numFmtId="44" fontId="2" fillId="0" borderId="25" xfId="1" applyFont="1" applyFill="1" applyBorder="1" applyAlignment="1"/>
    <xf numFmtId="0" fontId="2" fillId="0" borderId="0" xfId="0" applyFont="1" applyBorder="1" applyAlignment="1">
      <alignment horizontal="center"/>
    </xf>
    <xf numFmtId="44" fontId="2" fillId="14" borderId="13" xfId="1" applyFont="1" applyFill="1" applyBorder="1" applyAlignment="1">
      <alignment horizontal="right"/>
    </xf>
    <xf numFmtId="44" fontId="2" fillId="14" borderId="24" xfId="1" applyFont="1" applyFill="1" applyBorder="1" applyAlignment="1"/>
    <xf numFmtId="44" fontId="20" fillId="0" borderId="0" xfId="1" applyFont="1" applyBorder="1"/>
    <xf numFmtId="44" fontId="8" fillId="0" borderId="0" xfId="1" applyFont="1" applyFill="1" applyBorder="1"/>
    <xf numFmtId="0" fontId="10" fillId="0" borderId="48" xfId="0" applyFont="1" applyFill="1" applyBorder="1" applyAlignment="1">
      <alignment horizontal="center"/>
    </xf>
    <xf numFmtId="164" fontId="2" fillId="4" borderId="9" xfId="1" applyNumberFormat="1" applyFont="1" applyFill="1" applyBorder="1" applyAlignment="1">
      <alignment horizontal="center"/>
    </xf>
    <xf numFmtId="0" fontId="2" fillId="0" borderId="13" xfId="0" applyFont="1" applyFill="1" applyBorder="1"/>
    <xf numFmtId="1" fontId="23" fillId="4" borderId="44" xfId="0" applyNumberFormat="1" applyFont="1" applyFill="1" applyBorder="1" applyAlignment="1">
      <alignment horizontal="center"/>
    </xf>
    <xf numFmtId="44" fontId="2" fillId="4" borderId="0" xfId="1" applyFont="1" applyFill="1"/>
    <xf numFmtId="0" fontId="2" fillId="0" borderId="46" xfId="0" applyFont="1" applyBorder="1"/>
    <xf numFmtId="0" fontId="10" fillId="0" borderId="4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5" fontId="2" fillId="0" borderId="76" xfId="0" applyNumberFormat="1" applyFont="1" applyFill="1" applyBorder="1"/>
    <xf numFmtId="44" fontId="10" fillId="9" borderId="22" xfId="1" applyFont="1" applyFill="1" applyBorder="1"/>
    <xf numFmtId="44" fontId="2" fillId="9" borderId="22" xfId="1" applyFont="1" applyFill="1" applyBorder="1"/>
    <xf numFmtId="165" fontId="14" fillId="0" borderId="0" xfId="0" applyNumberFormat="1" applyFont="1" applyFill="1"/>
    <xf numFmtId="44" fontId="10" fillId="8" borderId="3" xfId="1" applyFont="1" applyFill="1" applyBorder="1" applyAlignment="1">
      <alignment horizontal="center"/>
    </xf>
    <xf numFmtId="0" fontId="34" fillId="0" borderId="0" xfId="0" applyFont="1" applyFill="1" applyBorder="1"/>
    <xf numFmtId="16" fontId="8" fillId="0" borderId="0" xfId="0" applyNumberFormat="1" applyFont="1" applyFill="1"/>
    <xf numFmtId="44" fontId="20" fillId="0" borderId="9" xfId="0" applyNumberFormat="1" applyFont="1" applyBorder="1"/>
    <xf numFmtId="44" fontId="2" fillId="3" borderId="0" xfId="1" applyFont="1" applyFill="1"/>
    <xf numFmtId="44" fontId="24" fillId="3" borderId="45" xfId="1" applyFont="1" applyFill="1" applyBorder="1"/>
    <xf numFmtId="44" fontId="10" fillId="0" borderId="44" xfId="1" applyFont="1" applyFill="1" applyBorder="1"/>
    <xf numFmtId="44" fontId="2" fillId="0" borderId="0" xfId="0" applyNumberFormat="1" applyFont="1" applyBorder="1"/>
    <xf numFmtId="164" fontId="33" fillId="4" borderId="44" xfId="0" applyNumberFormat="1" applyFont="1" applyFill="1" applyBorder="1" applyAlignment="1">
      <alignment horizontal="center"/>
    </xf>
    <xf numFmtId="44" fontId="1" fillId="0" borderId="0" xfId="1" applyFont="1" applyFill="1" applyBorder="1"/>
    <xf numFmtId="44" fontId="10" fillId="0" borderId="0" xfId="1" applyFont="1" applyFill="1" applyBorder="1" applyAlignment="1">
      <alignment horizontal="left"/>
    </xf>
    <xf numFmtId="44" fontId="30" fillId="0" borderId="0" xfId="1" applyFont="1" applyFill="1" applyBorder="1"/>
    <xf numFmtId="44" fontId="28" fillId="0" borderId="46" xfId="1" applyFont="1" applyFill="1" applyBorder="1"/>
    <xf numFmtId="16" fontId="2" fillId="13" borderId="0" xfId="0" applyNumberFormat="1" applyFont="1" applyFill="1" applyBorder="1"/>
    <xf numFmtId="44" fontId="2" fillId="13" borderId="0" xfId="1" applyFont="1" applyFill="1" applyBorder="1" applyAlignment="1">
      <alignment horizontal="right"/>
    </xf>
    <xf numFmtId="44" fontId="10" fillId="1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10" fillId="0" borderId="48" xfId="1" applyFont="1" applyFill="1" applyBorder="1"/>
    <xf numFmtId="44" fontId="2" fillId="0" borderId="48" xfId="1" applyFont="1" applyFill="1" applyBorder="1"/>
    <xf numFmtId="44" fontId="1" fillId="9" borderId="0" xfId="1" applyFont="1" applyFill="1"/>
    <xf numFmtId="44" fontId="0" fillId="9" borderId="0" xfId="1" applyFont="1" applyFill="1"/>
    <xf numFmtId="44" fontId="2" fillId="17" borderId="77" xfId="1" applyFont="1" applyFill="1" applyBorder="1"/>
    <xf numFmtId="44" fontId="15" fillId="17" borderId="49" xfId="1" applyFont="1" applyFill="1" applyBorder="1"/>
    <xf numFmtId="44" fontId="2" fillId="17" borderId="9" xfId="1" applyFont="1" applyFill="1" applyBorder="1"/>
    <xf numFmtId="44" fontId="2" fillId="17" borderId="49" xfId="1" applyFont="1" applyFill="1" applyBorder="1"/>
    <xf numFmtId="0" fontId="20" fillId="22" borderId="20" xfId="0" applyFont="1" applyFill="1" applyBorder="1"/>
    <xf numFmtId="44" fontId="2" fillId="22" borderId="13" xfId="1" applyFont="1" applyFill="1" applyBorder="1" applyAlignment="1">
      <alignment horizontal="right"/>
    </xf>
    <xf numFmtId="44" fontId="18" fillId="0" borderId="36" xfId="1" applyFont="1" applyBorder="1"/>
    <xf numFmtId="44" fontId="2" fillId="9" borderId="24" xfId="1" applyFont="1" applyFill="1" applyBorder="1" applyAlignment="1"/>
    <xf numFmtId="44" fontId="2" fillId="9" borderId="25" xfId="1" applyFont="1" applyFill="1" applyBorder="1" applyAlignment="1"/>
    <xf numFmtId="165" fontId="2" fillId="9" borderId="13" xfId="0" applyNumberFormat="1" applyFont="1" applyFill="1" applyBorder="1"/>
    <xf numFmtId="164" fontId="2" fillId="9" borderId="0" xfId="0" applyNumberFormat="1" applyFont="1" applyFill="1"/>
    <xf numFmtId="164" fontId="2" fillId="0" borderId="0" xfId="0" applyNumberFormat="1" applyFont="1" applyFill="1"/>
    <xf numFmtId="44" fontId="2" fillId="17" borderId="22" xfId="1" applyFont="1" applyFill="1" applyBorder="1"/>
    <xf numFmtId="44" fontId="20" fillId="0" borderId="81" xfId="1" applyFont="1" applyFill="1" applyBorder="1" applyAlignment="1">
      <alignment wrapText="1"/>
    </xf>
    <xf numFmtId="0" fontId="10" fillId="0" borderId="4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1" fontId="23" fillId="0" borderId="47" xfId="0" applyNumberFormat="1" applyFont="1" applyFill="1" applyBorder="1" applyAlignment="1">
      <alignment horizontal="center"/>
    </xf>
    <xf numFmtId="44" fontId="2" fillId="0" borderId="47" xfId="1" applyFont="1" applyFill="1" applyBorder="1"/>
    <xf numFmtId="164" fontId="33" fillId="0" borderId="48" xfId="0" applyNumberFormat="1" applyFont="1" applyFill="1" applyBorder="1" applyAlignment="1">
      <alignment horizontal="center"/>
    </xf>
    <xf numFmtId="44" fontId="2" fillId="0" borderId="81" xfId="1" applyFont="1" applyFill="1" applyBorder="1" applyAlignment="1">
      <alignment wrapText="1"/>
    </xf>
    <xf numFmtId="44" fontId="2" fillId="0" borderId="13" xfId="1" quotePrefix="1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165" fontId="9" fillId="0" borderId="16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44" fontId="20" fillId="21" borderId="2" xfId="1" applyFont="1" applyFill="1" applyBorder="1" applyAlignment="1">
      <alignment horizontal="center"/>
    </xf>
    <xf numFmtId="44" fontId="20" fillId="21" borderId="3" xfId="1" applyFont="1" applyFill="1" applyBorder="1" applyAlignment="1">
      <alignment horizontal="center"/>
    </xf>
    <xf numFmtId="165" fontId="20" fillId="21" borderId="3" xfId="1" applyNumberFormat="1" applyFont="1" applyFill="1" applyBorder="1" applyAlignment="1">
      <alignment horizontal="center"/>
    </xf>
    <xf numFmtId="44" fontId="20" fillId="21" borderId="37" xfId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wrapText="1"/>
    </xf>
    <xf numFmtId="44" fontId="20" fillId="9" borderId="78" xfId="1" applyFont="1" applyFill="1" applyBorder="1" applyAlignment="1">
      <alignment horizontal="center" wrapText="1"/>
    </xf>
    <xf numFmtId="44" fontId="20" fillId="9" borderId="79" xfId="1" applyFont="1" applyFill="1" applyBorder="1" applyAlignment="1">
      <alignment horizontal="center" wrapText="1"/>
    </xf>
    <xf numFmtId="44" fontId="20" fillId="9" borderId="80" xfId="1" applyFont="1" applyFill="1" applyBorder="1" applyAlignment="1">
      <alignment horizontal="center" wrapText="1"/>
    </xf>
    <xf numFmtId="44" fontId="20" fillId="9" borderId="81" xfId="1" applyFont="1" applyFill="1" applyBorder="1" applyAlignment="1">
      <alignment horizontal="center" wrapText="1"/>
    </xf>
    <xf numFmtId="44" fontId="20" fillId="9" borderId="82" xfId="1" applyFont="1" applyFill="1" applyBorder="1" applyAlignment="1">
      <alignment horizontal="center" wrapText="1"/>
    </xf>
    <xf numFmtId="44" fontId="20" fillId="9" borderId="45" xfId="1" applyFont="1" applyFill="1" applyBorder="1" applyAlignment="1">
      <alignment horizontal="center" wrapText="1"/>
    </xf>
    <xf numFmtId="44" fontId="20" fillId="9" borderId="83" xfId="1" applyFont="1" applyFill="1" applyBorder="1" applyAlignment="1">
      <alignment horizontal="center" wrapText="1"/>
    </xf>
    <xf numFmtId="44" fontId="20" fillId="9" borderId="84" xfId="1" applyFont="1" applyFill="1" applyBorder="1" applyAlignment="1">
      <alignment horizontal="center" wrapText="1"/>
    </xf>
    <xf numFmtId="44" fontId="20" fillId="9" borderId="85" xfId="1" applyFont="1" applyFill="1" applyBorder="1" applyAlignment="1">
      <alignment horizontal="center" wrapText="1"/>
    </xf>
    <xf numFmtId="44" fontId="20" fillId="9" borderId="29" xfId="1" applyFont="1" applyFill="1" applyBorder="1" applyAlignment="1">
      <alignment horizontal="center" wrapText="1"/>
    </xf>
    <xf numFmtId="44" fontId="20" fillId="9" borderId="42" xfId="1" applyFont="1" applyFill="1" applyBorder="1" applyAlignment="1">
      <alignment horizontal="center" wrapText="1"/>
    </xf>
    <xf numFmtId="44" fontId="20" fillId="9" borderId="30" xfId="1" applyFont="1" applyFill="1" applyBorder="1" applyAlignment="1">
      <alignment horizontal="center" wrapText="1"/>
    </xf>
    <xf numFmtId="164" fontId="33" fillId="22" borderId="48" xfId="0" applyNumberFormat="1" applyFont="1" applyFill="1" applyBorder="1" applyAlignment="1">
      <alignment horizontal="center"/>
    </xf>
    <xf numFmtId="1" fontId="23" fillId="22" borderId="48" xfId="0" applyNumberFormat="1" applyFont="1" applyFill="1" applyBorder="1" applyAlignment="1">
      <alignment horizontal="center"/>
    </xf>
    <xf numFmtId="164" fontId="33" fillId="22" borderId="46" xfId="0" applyNumberFormat="1" applyFont="1" applyFill="1" applyBorder="1" applyAlignment="1">
      <alignment horizontal="center"/>
    </xf>
    <xf numFmtId="1" fontId="23" fillId="22" borderId="46" xfId="0" applyNumberFormat="1" applyFont="1" applyFill="1" applyBorder="1" applyAlignment="1">
      <alignment horizontal="center"/>
    </xf>
    <xf numFmtId="0" fontId="2" fillId="22" borderId="0" xfId="0" applyFont="1" applyFill="1"/>
    <xf numFmtId="1" fontId="29" fillId="0" borderId="44" xfId="0" applyNumberFormat="1" applyFont="1" applyFill="1" applyBorder="1" applyAlignment="1">
      <alignment horizontal="center"/>
    </xf>
    <xf numFmtId="44" fontId="37" fillId="0" borderId="45" xfId="1" applyFont="1" applyFill="1" applyBorder="1"/>
    <xf numFmtId="1" fontId="29" fillId="0" borderId="48" xfId="0" applyNumberFormat="1" applyFont="1" applyFill="1" applyBorder="1" applyAlignment="1">
      <alignment horizontal="center"/>
    </xf>
    <xf numFmtId="1" fontId="29" fillId="0" borderId="46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6" fontId="10" fillId="0" borderId="13" xfId="0" applyNumberFormat="1" applyFont="1" applyBorder="1" applyAlignment="1"/>
    <xf numFmtId="44" fontId="10" fillId="18" borderId="0" xfId="1" applyFont="1" applyFill="1" applyBorder="1"/>
    <xf numFmtId="164" fontId="10" fillId="19" borderId="0" xfId="0" applyNumberFormat="1" applyFont="1" applyFill="1" applyAlignment="1">
      <alignment horizontal="center"/>
    </xf>
    <xf numFmtId="0" fontId="38" fillId="0" borderId="0" xfId="0" applyFont="1" applyAlignment="1">
      <alignment horizontal="center"/>
    </xf>
    <xf numFmtId="44" fontId="39" fillId="0" borderId="42" xfId="1" applyFont="1" applyBorder="1"/>
    <xf numFmtId="0" fontId="2" fillId="19" borderId="0" xfId="0" applyFont="1" applyFill="1" applyBorder="1"/>
    <xf numFmtId="0" fontId="2" fillId="19" borderId="20" xfId="0" applyFont="1" applyFill="1" applyBorder="1"/>
    <xf numFmtId="44" fontId="2" fillId="0" borderId="86" xfId="1" applyFont="1" applyFill="1" applyBorder="1"/>
    <xf numFmtId="44" fontId="2" fillId="0" borderId="0" xfId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00FF00"/>
      <color rgb="FFFF6600"/>
      <color rgb="FF33CCFF"/>
      <color rgb="FFFF00FF"/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42</xdr:row>
      <xdr:rowOff>57150</xdr:rowOff>
    </xdr:from>
    <xdr:to>
      <xdr:col>8</xdr:col>
      <xdr:colOff>95250</xdr:colOff>
      <xdr:row>46</xdr:row>
      <xdr:rowOff>142875</xdr:rowOff>
    </xdr:to>
    <xdr:cxnSp macro="">
      <xdr:nvCxnSpPr>
        <xdr:cNvPr id="12" name="Conector recto de flecha 11"/>
        <xdr:cNvCxnSpPr/>
      </xdr:nvCxnSpPr>
      <xdr:spPr>
        <a:xfrm flipV="1">
          <a:off x="4591050" y="8772525"/>
          <a:ext cx="1104900" cy="895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9" workbookViewId="0">
      <selection activeCell="C43" sqref="C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34" t="s">
        <v>0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439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440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441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41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101"/>
      <c r="K40" s="432">
        <f>I38+L38</f>
        <v>103445.36</v>
      </c>
      <c r="L40" s="433"/>
    </row>
    <row r="41" spans="1:17" ht="15.75" x14ac:dyDescent="0.25">
      <c r="B41" s="102"/>
      <c r="C41" s="77"/>
      <c r="D41" s="448" t="s">
        <v>62</v>
      </c>
      <c r="E41" s="448"/>
      <c r="F41" s="103">
        <f>F38-K40</f>
        <v>1062051.412</v>
      </c>
      <c r="I41" s="104"/>
      <c r="J41" s="104"/>
    </row>
    <row r="42" spans="1:17" ht="15.75" x14ac:dyDescent="0.25">
      <c r="D42" s="449" t="s">
        <v>63</v>
      </c>
      <c r="E42" s="449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450" t="s">
        <v>66</v>
      </c>
      <c r="J44" s="451"/>
      <c r="K44" s="454">
        <f>F48+L46</f>
        <v>161813.49199999991</v>
      </c>
      <c r="L44" s="455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452"/>
      <c r="J45" s="453"/>
      <c r="K45" s="456"/>
      <c r="L45" s="457"/>
    </row>
    <row r="46" spans="1:17" ht="17.25" thickTop="1" thickBot="1" x14ac:dyDescent="0.3">
      <c r="C46" s="94"/>
      <c r="D46" s="458" t="s">
        <v>69</v>
      </c>
      <c r="E46" s="458"/>
      <c r="F46" s="109">
        <v>263182.99</v>
      </c>
      <c r="I46" s="459"/>
      <c r="J46" s="459"/>
      <c r="K46" s="460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442">
        <v>-279978.36</v>
      </c>
      <c r="L47" s="442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443"/>
      <c r="E49" s="443"/>
      <c r="F49" s="77"/>
      <c r="I49" s="444" t="s">
        <v>247</v>
      </c>
      <c r="J49" s="445"/>
      <c r="K49" s="446">
        <f>K44+K47</f>
        <v>-118164.86800000007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25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34" t="s">
        <v>351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0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0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439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440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8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441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441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257"/>
      <c r="K40" s="432">
        <f>I38+L38</f>
        <v>122791.22</v>
      </c>
      <c r="L40" s="433"/>
    </row>
    <row r="41" spans="1:17" ht="15.75" x14ac:dyDescent="0.25">
      <c r="B41" s="102"/>
      <c r="C41" s="77"/>
      <c r="D41" s="448" t="s">
        <v>62</v>
      </c>
      <c r="E41" s="448"/>
      <c r="F41" s="103">
        <f>F38-K40</f>
        <v>1199870.662</v>
      </c>
      <c r="I41" s="104"/>
      <c r="J41" s="104"/>
    </row>
    <row r="42" spans="1:17" ht="15.75" x14ac:dyDescent="0.25">
      <c r="D42" s="449" t="s">
        <v>63</v>
      </c>
      <c r="E42" s="449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450" t="s">
        <v>66</v>
      </c>
      <c r="J44" s="451"/>
      <c r="K44" s="454">
        <f>F48+L46</f>
        <v>62100.375999999931</v>
      </c>
      <c r="L44" s="455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452"/>
      <c r="J45" s="453"/>
      <c r="K45" s="456"/>
      <c r="L45" s="457"/>
    </row>
    <row r="46" spans="1:17" ht="17.25" thickTop="1" thickBot="1" x14ac:dyDescent="0.3">
      <c r="C46" s="94"/>
      <c r="D46" s="458" t="s">
        <v>69</v>
      </c>
      <c r="E46" s="458"/>
      <c r="F46" s="109">
        <v>205816.17</v>
      </c>
      <c r="I46" s="459"/>
      <c r="J46" s="459"/>
      <c r="K46" s="460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442">
        <f>-C4</f>
        <v>-190939.59</v>
      </c>
      <c r="L47" s="442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443"/>
      <c r="E49" s="443"/>
      <c r="F49" s="77"/>
      <c r="I49" s="444" t="s">
        <v>274</v>
      </c>
      <c r="J49" s="445"/>
      <c r="K49" s="446">
        <f>K44+K47</f>
        <v>-128839.21400000007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1">
        <v>25832.04</v>
      </c>
      <c r="H18" s="272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0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3">
        <v>25832.04</v>
      </c>
      <c r="V25" s="274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0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K27" sqref="K27: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34" t="s">
        <v>419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9" ht="16.5" thickTop="1" thickBot="1" x14ac:dyDescent="0.3">
      <c r="A5" s="16"/>
      <c r="B5" s="285">
        <v>42887</v>
      </c>
      <c r="C5" s="286">
        <v>28873</v>
      </c>
      <c r="D5" s="238" t="s">
        <v>448</v>
      </c>
      <c r="E5" s="279">
        <v>42887</v>
      </c>
      <c r="F5" s="280">
        <v>28972.81</v>
      </c>
      <c r="G5" s="22"/>
      <c r="H5" s="23">
        <v>42887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7">
        <v>42888</v>
      </c>
      <c r="C6" s="288">
        <v>61684.52</v>
      </c>
      <c r="D6" s="239" t="s">
        <v>447</v>
      </c>
      <c r="E6" s="281">
        <v>42888</v>
      </c>
      <c r="F6" s="282">
        <v>61984.49</v>
      </c>
      <c r="G6" s="33"/>
      <c r="H6" s="23">
        <v>42888</v>
      </c>
      <c r="I6" s="292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7">
        <v>42889</v>
      </c>
      <c r="C7" s="288">
        <v>75569.149999999994</v>
      </c>
      <c r="D7" s="238" t="s">
        <v>449</v>
      </c>
      <c r="E7" s="281">
        <v>42889</v>
      </c>
      <c r="F7" s="282">
        <v>66576.460000000006</v>
      </c>
      <c r="G7" s="22"/>
      <c r="H7" s="23">
        <v>42889</v>
      </c>
      <c r="I7" s="292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7">
        <v>42890</v>
      </c>
      <c r="C8" s="288">
        <v>40486.33</v>
      </c>
      <c r="D8" s="238" t="s">
        <v>451</v>
      </c>
      <c r="E8" s="281">
        <v>42890</v>
      </c>
      <c r="F8" s="282">
        <v>44436.33</v>
      </c>
      <c r="G8" s="22"/>
      <c r="H8" s="23">
        <v>42890</v>
      </c>
      <c r="I8" s="292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7">
        <v>42891</v>
      </c>
      <c r="C9" s="288">
        <v>32363.8</v>
      </c>
      <c r="D9" s="238" t="s">
        <v>452</v>
      </c>
      <c r="E9" s="281">
        <v>42891</v>
      </c>
      <c r="F9" s="282">
        <v>32463.8</v>
      </c>
      <c r="G9" s="22"/>
      <c r="H9" s="23">
        <v>42891</v>
      </c>
      <c r="I9" s="292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7">
        <v>42892</v>
      </c>
      <c r="C10" s="288">
        <v>30468</v>
      </c>
      <c r="D10" s="239" t="s">
        <v>453</v>
      </c>
      <c r="E10" s="281">
        <v>42892</v>
      </c>
      <c r="F10" s="282">
        <v>30651.81</v>
      </c>
      <c r="G10" s="22"/>
      <c r="H10" s="23">
        <v>42892</v>
      </c>
      <c r="I10" s="292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7">
        <v>42893</v>
      </c>
      <c r="C11" s="288">
        <v>35675.06</v>
      </c>
      <c r="D11" s="240" t="s">
        <v>454</v>
      </c>
      <c r="E11" s="281">
        <v>42893</v>
      </c>
      <c r="F11" s="282">
        <v>35775.06</v>
      </c>
      <c r="G11" s="22"/>
      <c r="H11" s="23">
        <v>42893</v>
      </c>
      <c r="I11" s="292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7">
        <v>42894</v>
      </c>
      <c r="C12" s="288">
        <v>25349.32</v>
      </c>
      <c r="D12" s="238" t="s">
        <v>455</v>
      </c>
      <c r="E12" s="281">
        <v>42894</v>
      </c>
      <c r="F12" s="282">
        <v>26419.32</v>
      </c>
      <c r="G12" s="22"/>
      <c r="H12" s="23">
        <v>42894</v>
      </c>
      <c r="I12" s="292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7">
        <v>42895</v>
      </c>
      <c r="C13" s="288">
        <v>44950.85</v>
      </c>
      <c r="D13" s="240" t="s">
        <v>456</v>
      </c>
      <c r="E13" s="281">
        <v>42895</v>
      </c>
      <c r="F13" s="282">
        <v>51106.35</v>
      </c>
      <c r="G13" s="22"/>
      <c r="H13" s="23">
        <v>42895</v>
      </c>
      <c r="I13" s="292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7">
        <v>42896</v>
      </c>
      <c r="C14" s="288">
        <v>61663.35</v>
      </c>
      <c r="D14" s="238" t="s">
        <v>459</v>
      </c>
      <c r="E14" s="281">
        <v>42896</v>
      </c>
      <c r="F14" s="282">
        <v>64763.5</v>
      </c>
      <c r="G14" s="22"/>
      <c r="H14" s="23">
        <v>42896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7">
        <v>42897</v>
      </c>
      <c r="C15" s="288">
        <v>44549.66</v>
      </c>
      <c r="D15" s="238" t="s">
        <v>464</v>
      </c>
      <c r="E15" s="281">
        <v>42897</v>
      </c>
      <c r="F15" s="282">
        <v>47697.46</v>
      </c>
      <c r="G15" s="22"/>
      <c r="H15" s="23">
        <v>42897</v>
      </c>
      <c r="I15" s="292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7">
        <v>42898</v>
      </c>
      <c r="C16" s="288">
        <v>33605.35</v>
      </c>
      <c r="D16" s="238" t="s">
        <v>467</v>
      </c>
      <c r="E16" s="281">
        <v>42898</v>
      </c>
      <c r="F16" s="282">
        <v>31723.35</v>
      </c>
      <c r="G16" s="22"/>
      <c r="H16" s="23">
        <v>42898</v>
      </c>
      <c r="I16" s="292">
        <v>118</v>
      </c>
      <c r="J16" s="42"/>
      <c r="K16" s="463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7">
        <v>42899</v>
      </c>
      <c r="C17" s="288">
        <v>39135.68</v>
      </c>
      <c r="D17" s="238" t="s">
        <v>468</v>
      </c>
      <c r="E17" s="281">
        <v>42899</v>
      </c>
      <c r="F17" s="282">
        <v>39735.68</v>
      </c>
      <c r="G17" s="22"/>
      <c r="H17" s="23">
        <v>42899</v>
      </c>
      <c r="I17" s="292">
        <v>100</v>
      </c>
      <c r="J17" s="42"/>
      <c r="K17" s="463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7">
        <v>42900</v>
      </c>
      <c r="C18" s="288">
        <v>39956.76</v>
      </c>
      <c r="D18" s="238" t="s">
        <v>479</v>
      </c>
      <c r="E18" s="281">
        <v>42900</v>
      </c>
      <c r="F18" s="282">
        <v>40056.76</v>
      </c>
      <c r="G18" s="22"/>
      <c r="H18" s="23">
        <v>42900</v>
      </c>
      <c r="I18" s="292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7">
        <v>42901</v>
      </c>
      <c r="C19" s="288">
        <v>3857</v>
      </c>
      <c r="D19" s="238" t="s">
        <v>480</v>
      </c>
      <c r="E19" s="281">
        <v>42901</v>
      </c>
      <c r="F19" s="282">
        <v>39087.49</v>
      </c>
      <c r="G19" s="22"/>
      <c r="H19" s="23">
        <v>42901</v>
      </c>
      <c r="I19" s="292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7">
        <v>42902</v>
      </c>
      <c r="C20" s="288">
        <v>78352.600000000006</v>
      </c>
      <c r="D20" s="239" t="s">
        <v>482</v>
      </c>
      <c r="E20" s="281">
        <v>42902</v>
      </c>
      <c r="F20" s="282">
        <v>78452.69</v>
      </c>
      <c r="G20" s="22"/>
      <c r="H20" s="23">
        <v>42902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7">
        <v>42903</v>
      </c>
      <c r="C21" s="288">
        <v>72259.95</v>
      </c>
      <c r="D21" s="238" t="s">
        <v>486</v>
      </c>
      <c r="E21" s="281">
        <v>42903</v>
      </c>
      <c r="F21" s="282">
        <v>75860.070000000007</v>
      </c>
      <c r="G21" s="22"/>
      <c r="H21" s="23">
        <v>42903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7">
        <v>42904</v>
      </c>
      <c r="C22" s="288">
        <v>72259.95</v>
      </c>
      <c r="D22" s="238" t="s">
        <v>486</v>
      </c>
      <c r="E22" s="281">
        <v>42904</v>
      </c>
      <c r="F22" s="282">
        <v>75860.070000000007</v>
      </c>
      <c r="G22" s="22"/>
      <c r="H22" s="23">
        <v>42904</v>
      </c>
      <c r="I22" s="292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7">
        <v>42905</v>
      </c>
      <c r="C23" s="288">
        <v>42590.89</v>
      </c>
      <c r="D23" s="241" t="s">
        <v>501</v>
      </c>
      <c r="E23" s="281">
        <v>42905</v>
      </c>
      <c r="F23" s="282">
        <v>35625.949999999997</v>
      </c>
      <c r="G23" s="22"/>
      <c r="H23" s="23">
        <v>42905</v>
      </c>
      <c r="I23" s="292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7">
        <v>42906</v>
      </c>
      <c r="C24" s="288">
        <v>24891.54</v>
      </c>
      <c r="D24" s="238" t="s">
        <v>502</v>
      </c>
      <c r="E24" s="281">
        <v>42906</v>
      </c>
      <c r="F24" s="282">
        <v>25013.54</v>
      </c>
      <c r="G24" s="22"/>
      <c r="H24" s="23">
        <v>42906</v>
      </c>
      <c r="I24" s="292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7">
        <v>42907</v>
      </c>
      <c r="C25" s="288">
        <v>33751.96</v>
      </c>
      <c r="D25" s="241" t="s">
        <v>503</v>
      </c>
      <c r="E25" s="281">
        <v>42907</v>
      </c>
      <c r="F25" s="282">
        <v>33851.96</v>
      </c>
      <c r="G25" s="22"/>
      <c r="H25" s="23">
        <v>42907</v>
      </c>
      <c r="I25" s="292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7">
        <v>42908</v>
      </c>
      <c r="C26" s="288">
        <v>35072.68</v>
      </c>
      <c r="D26" s="238" t="s">
        <v>504</v>
      </c>
      <c r="E26" s="281">
        <v>42908</v>
      </c>
      <c r="F26" s="282">
        <v>35252.68</v>
      </c>
      <c r="G26" s="22"/>
      <c r="H26" s="23">
        <v>42908</v>
      </c>
      <c r="I26" s="292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7">
        <v>42909</v>
      </c>
      <c r="C27" s="288">
        <v>72548.88</v>
      </c>
      <c r="D27" s="238" t="s">
        <v>505</v>
      </c>
      <c r="E27" s="281">
        <v>42909</v>
      </c>
      <c r="F27" s="282">
        <v>72704.88</v>
      </c>
      <c r="G27" s="22"/>
      <c r="H27" s="23">
        <v>42909</v>
      </c>
      <c r="I27" s="292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7">
        <v>42910</v>
      </c>
      <c r="C28" s="288">
        <v>74849.16</v>
      </c>
      <c r="D28" s="238" t="s">
        <v>506</v>
      </c>
      <c r="E28" s="281">
        <v>42910</v>
      </c>
      <c r="F28" s="282">
        <v>74992.210000000006</v>
      </c>
      <c r="G28" s="22"/>
      <c r="H28" s="23">
        <v>42910</v>
      </c>
      <c r="I28" s="292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7">
        <v>42911</v>
      </c>
      <c r="C29" s="288">
        <v>51562.3</v>
      </c>
      <c r="D29" s="238" t="s">
        <v>507</v>
      </c>
      <c r="E29" s="281">
        <v>42911</v>
      </c>
      <c r="F29" s="282">
        <v>51662.19</v>
      </c>
      <c r="G29" s="22"/>
      <c r="H29" s="23">
        <v>42911</v>
      </c>
      <c r="I29" s="292">
        <v>100</v>
      </c>
      <c r="J29" s="36"/>
      <c r="K29" s="294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7">
        <v>42912</v>
      </c>
      <c r="C30" s="288">
        <v>47223.05</v>
      </c>
      <c r="D30" s="238" t="s">
        <v>531</v>
      </c>
      <c r="E30" s="281">
        <v>42912</v>
      </c>
      <c r="F30" s="282">
        <v>54423.05</v>
      </c>
      <c r="G30" s="22"/>
      <c r="H30" s="23">
        <v>42912</v>
      </c>
      <c r="I30" s="292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7">
        <v>42913</v>
      </c>
      <c r="C31" s="288">
        <v>30952.799999999999</v>
      </c>
      <c r="D31" s="238" t="s">
        <v>527</v>
      </c>
      <c r="E31" s="281">
        <v>42913</v>
      </c>
      <c r="F31" s="282">
        <v>33402</v>
      </c>
      <c r="G31" s="22"/>
      <c r="H31" s="23">
        <v>42913</v>
      </c>
      <c r="I31" s="292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6">
        <v>2449</v>
      </c>
      <c r="P31" s="22"/>
      <c r="Q31" s="22"/>
    </row>
    <row r="32" spans="1:18" ht="15.75" thickBot="1" x14ac:dyDescent="0.3">
      <c r="A32" s="16"/>
      <c r="B32" s="287">
        <v>42914</v>
      </c>
      <c r="C32" s="288">
        <v>41598.160000000003</v>
      </c>
      <c r="D32" s="238" t="s">
        <v>528</v>
      </c>
      <c r="E32" s="281">
        <v>42914</v>
      </c>
      <c r="F32" s="282">
        <v>41698.160000000003</v>
      </c>
      <c r="G32" s="22"/>
      <c r="H32" s="23">
        <v>42914</v>
      </c>
      <c r="I32" s="292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7">
        <v>42915</v>
      </c>
      <c r="C33" s="288">
        <v>34120.300000000003</v>
      </c>
      <c r="D33" s="240" t="s">
        <v>528</v>
      </c>
      <c r="E33" s="281">
        <v>42915</v>
      </c>
      <c r="F33" s="282">
        <v>34650.730000000003</v>
      </c>
      <c r="G33" s="22"/>
      <c r="H33" s="23">
        <v>42915</v>
      </c>
      <c r="I33" s="292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7">
        <v>42916</v>
      </c>
      <c r="C34" s="289">
        <v>94286.21</v>
      </c>
      <c r="D34" s="238" t="s">
        <v>532</v>
      </c>
      <c r="E34" s="281">
        <v>42916</v>
      </c>
      <c r="F34" s="282">
        <v>94386.21</v>
      </c>
      <c r="G34" s="22"/>
      <c r="H34" s="23">
        <v>42916</v>
      </c>
      <c r="I34" s="292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3"/>
      <c r="F35" s="284"/>
      <c r="G35" s="22"/>
      <c r="H35" s="23"/>
      <c r="I35" s="292"/>
      <c r="J35" s="36"/>
      <c r="K35" s="441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1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6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275"/>
      <c r="K40" s="432">
        <f>I38+L38</f>
        <v>142659.79</v>
      </c>
      <c r="L40" s="433"/>
    </row>
    <row r="41" spans="1:17" ht="15.75" x14ac:dyDescent="0.25">
      <c r="B41" s="102"/>
      <c r="C41" s="77"/>
      <c r="D41" s="448" t="s">
        <v>62</v>
      </c>
      <c r="E41" s="448"/>
      <c r="F41" s="103">
        <f>F38-K40</f>
        <v>1316627.27</v>
      </c>
      <c r="I41" s="104"/>
      <c r="J41" s="104"/>
    </row>
    <row r="42" spans="1:17" ht="15.75" x14ac:dyDescent="0.25">
      <c r="D42" s="449" t="s">
        <v>63</v>
      </c>
      <c r="E42" s="449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450" t="s">
        <v>66</v>
      </c>
      <c r="J44" s="451"/>
      <c r="K44" s="454">
        <f>F48+L46</f>
        <v>184318.88000000009</v>
      </c>
      <c r="L44" s="455"/>
    </row>
    <row r="45" spans="1:17" ht="15.75" thickBot="1" x14ac:dyDescent="0.3">
      <c r="D45" s="108" t="s">
        <v>67</v>
      </c>
      <c r="E45" s="97" t="s">
        <v>68</v>
      </c>
      <c r="F45" s="4"/>
      <c r="I45" s="452"/>
      <c r="J45" s="453"/>
      <c r="K45" s="456"/>
      <c r="L45" s="457"/>
    </row>
    <row r="46" spans="1:17" ht="17.25" thickTop="1" thickBot="1" x14ac:dyDescent="0.3">
      <c r="C46" s="94"/>
      <c r="D46" s="458" t="s">
        <v>69</v>
      </c>
      <c r="E46" s="458"/>
      <c r="F46" s="109">
        <v>184142.28</v>
      </c>
      <c r="I46" s="459"/>
      <c r="J46" s="459"/>
      <c r="K46" s="460"/>
      <c r="L46" s="110"/>
    </row>
    <row r="47" spans="1:17" ht="19.5" thickBot="1" x14ac:dyDescent="0.35">
      <c r="C47" s="94"/>
      <c r="D47" s="276"/>
      <c r="E47" s="276"/>
      <c r="F47" s="111"/>
      <c r="H47" s="112"/>
      <c r="I47" s="277" t="s">
        <v>275</v>
      </c>
      <c r="J47" s="277"/>
      <c r="K47" s="442">
        <f>-C4</f>
        <v>-205816.17</v>
      </c>
      <c r="L47" s="442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443"/>
      <c r="E49" s="443"/>
      <c r="F49" s="77"/>
      <c r="I49" s="461" t="s">
        <v>274</v>
      </c>
      <c r="J49" s="462"/>
      <c r="K49" s="446">
        <f>K44+K47</f>
        <v>-21497.289999999921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K35:K36"/>
    <mergeCell ref="K16:K17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6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6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6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6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6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6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6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7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8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299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299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5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5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5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5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584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6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7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7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7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7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8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1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2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2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5">
        <f>SUM(L32:L44)</f>
        <v>304420.49999999994</v>
      </c>
      <c r="M45" s="178"/>
      <c r="N45" s="179"/>
      <c r="O45" s="304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3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3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3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3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3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09"/>
      <c r="L63" s="313">
        <v>0</v>
      </c>
      <c r="M63" s="309"/>
      <c r="N63" s="310" t="s">
        <v>113</v>
      </c>
      <c r="O63" s="311">
        <v>0</v>
      </c>
      <c r="P63" s="312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5">
        <f>SUM(L54:L63)</f>
        <v>332730.49999999994</v>
      </c>
      <c r="M64" s="178"/>
      <c r="N64" s="179"/>
      <c r="O64" s="304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3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3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3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workbookViewId="0">
      <selection activeCell="L7" sqref="L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434" t="s">
        <v>514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  <c r="Q2" s="468" t="s">
        <v>580</v>
      </c>
      <c r="R2" s="469"/>
      <c r="S2" s="469"/>
      <c r="T2" s="469"/>
      <c r="U2" s="469"/>
      <c r="V2" s="469"/>
      <c r="W2" s="469"/>
      <c r="X2" s="470"/>
    </row>
    <row r="3" spans="1:28" ht="16.5" thickBot="1" x14ac:dyDescent="0.3">
      <c r="C3" s="8" t="s">
        <v>2</v>
      </c>
      <c r="D3" s="9"/>
      <c r="K3" s="318" t="s">
        <v>568</v>
      </c>
      <c r="L3" s="318"/>
    </row>
    <row r="4" spans="1:28" ht="20.25" thickTop="1" thickBot="1" x14ac:dyDescent="0.35">
      <c r="A4" s="10" t="s">
        <v>3</v>
      </c>
      <c r="B4" s="11"/>
      <c r="C4" s="12">
        <v>184142.28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  <c r="Q4" s="112"/>
      <c r="R4" s="106" t="s">
        <v>583</v>
      </c>
      <c r="U4" s="97" t="s">
        <v>583</v>
      </c>
      <c r="X4" s="97" t="s">
        <v>583</v>
      </c>
    </row>
    <row r="5" spans="1:28" ht="16.5" thickTop="1" thickBot="1" x14ac:dyDescent="0.3">
      <c r="A5" s="16"/>
      <c r="B5" s="285">
        <v>42917</v>
      </c>
      <c r="C5" s="286">
        <v>98471.16</v>
      </c>
      <c r="D5" s="238" t="s">
        <v>556</v>
      </c>
      <c r="E5" s="279">
        <v>42917</v>
      </c>
      <c r="F5" s="280">
        <v>101785.16</v>
      </c>
      <c r="G5" s="22"/>
      <c r="H5" s="23">
        <v>42917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  <c r="Q5" s="333">
        <v>42856</v>
      </c>
      <c r="R5" s="337">
        <v>30867.51</v>
      </c>
      <c r="S5" s="22"/>
      <c r="T5" s="279">
        <v>42887</v>
      </c>
      <c r="U5" s="280">
        <v>28972.81</v>
      </c>
      <c r="W5" s="279">
        <v>42917</v>
      </c>
      <c r="X5" s="280">
        <v>101785.16</v>
      </c>
      <c r="AA5" s="74"/>
      <c r="AB5" s="32"/>
    </row>
    <row r="6" spans="1:28" ht="15.75" thickBot="1" x14ac:dyDescent="0.3">
      <c r="A6" s="16"/>
      <c r="B6" s="287">
        <v>42918</v>
      </c>
      <c r="C6" s="288">
        <v>53851.99</v>
      </c>
      <c r="D6" s="239" t="s">
        <v>558</v>
      </c>
      <c r="E6" s="281">
        <v>42918</v>
      </c>
      <c r="F6" s="282">
        <v>57494.99</v>
      </c>
      <c r="G6" s="33"/>
      <c r="H6" s="23">
        <v>42918</v>
      </c>
      <c r="I6" s="292">
        <v>143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  <c r="Q6" s="334">
        <v>42857</v>
      </c>
      <c r="R6" s="332">
        <v>37243.160000000003</v>
      </c>
      <c r="S6" s="22"/>
      <c r="T6" s="281">
        <v>42888</v>
      </c>
      <c r="U6" s="282">
        <v>61984.49</v>
      </c>
      <c r="W6" s="281">
        <v>42918</v>
      </c>
      <c r="X6" s="282">
        <v>57494.99</v>
      </c>
      <c r="AA6" s="74"/>
      <c r="AB6" s="32"/>
    </row>
    <row r="7" spans="1:28" ht="15.75" thickBot="1" x14ac:dyDescent="0.3">
      <c r="A7" s="16"/>
      <c r="B7" s="287">
        <v>42919</v>
      </c>
      <c r="C7" s="288">
        <v>50406.71</v>
      </c>
      <c r="D7" s="238" t="s">
        <v>559</v>
      </c>
      <c r="E7" s="281">
        <v>42919</v>
      </c>
      <c r="F7" s="282">
        <v>50406.71</v>
      </c>
      <c r="G7" s="22"/>
      <c r="H7" s="23">
        <v>42919</v>
      </c>
      <c r="I7" s="292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5"/>
      <c r="Q7" s="334">
        <v>42858</v>
      </c>
      <c r="R7" s="332">
        <v>51492.02</v>
      </c>
      <c r="S7" s="22"/>
      <c r="T7" s="281">
        <v>42889</v>
      </c>
      <c r="U7" s="282">
        <v>66576.460000000006</v>
      </c>
      <c r="W7" s="281">
        <v>42919</v>
      </c>
      <c r="X7" s="282">
        <v>50406.71</v>
      </c>
      <c r="AA7" s="74"/>
      <c r="AB7" s="32"/>
    </row>
    <row r="8" spans="1:28" ht="15.75" thickBot="1" x14ac:dyDescent="0.3">
      <c r="A8" s="16"/>
      <c r="B8" s="287">
        <v>42920</v>
      </c>
      <c r="C8" s="288">
        <v>32836.660000000003</v>
      </c>
      <c r="D8" s="238" t="s">
        <v>560</v>
      </c>
      <c r="E8" s="281">
        <v>42920</v>
      </c>
      <c r="F8" s="282">
        <v>33292.660000000003</v>
      </c>
      <c r="G8" s="22"/>
      <c r="H8" s="23">
        <v>42920</v>
      </c>
      <c r="I8" s="292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5"/>
      <c r="Q8" s="334">
        <v>42859</v>
      </c>
      <c r="R8" s="332">
        <v>31593.87</v>
      </c>
      <c r="S8" s="22"/>
      <c r="T8" s="281">
        <v>42890</v>
      </c>
      <c r="U8" s="282">
        <v>44436.33</v>
      </c>
      <c r="W8" s="281">
        <v>42920</v>
      </c>
      <c r="X8" s="282">
        <v>33292.660000000003</v>
      </c>
      <c r="AA8" s="74"/>
      <c r="AB8" s="32"/>
    </row>
    <row r="9" spans="1:28" ht="15.75" thickBot="1" x14ac:dyDescent="0.3">
      <c r="A9" s="16"/>
      <c r="B9" s="287">
        <v>42921</v>
      </c>
      <c r="C9" s="288">
        <v>49935.09</v>
      </c>
      <c r="D9" s="238" t="s">
        <v>561</v>
      </c>
      <c r="E9" s="281">
        <v>42921</v>
      </c>
      <c r="F9" s="282">
        <v>50125.09</v>
      </c>
      <c r="G9" s="22"/>
      <c r="H9" s="23">
        <v>42921</v>
      </c>
      <c r="I9" s="292">
        <v>190</v>
      </c>
      <c r="J9" s="42" t="s">
        <v>585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5"/>
      <c r="Q9" s="334">
        <v>42860</v>
      </c>
      <c r="R9" s="332">
        <v>50176.05</v>
      </c>
      <c r="S9" s="22"/>
      <c r="T9" s="281">
        <v>42891</v>
      </c>
      <c r="U9" s="282">
        <v>32463.8</v>
      </c>
      <c r="W9" s="281">
        <v>42921</v>
      </c>
      <c r="X9" s="282">
        <v>50125.09</v>
      </c>
      <c r="AA9" s="74"/>
      <c r="AB9" s="32"/>
    </row>
    <row r="10" spans="1:28" ht="15.75" thickBot="1" x14ac:dyDescent="0.3">
      <c r="A10" s="16"/>
      <c r="B10" s="287">
        <v>42922</v>
      </c>
      <c r="C10" s="288">
        <v>45850.86</v>
      </c>
      <c r="D10" s="239" t="s">
        <v>563</v>
      </c>
      <c r="E10" s="281">
        <v>42922</v>
      </c>
      <c r="F10" s="282">
        <v>47190.86</v>
      </c>
      <c r="G10" s="22"/>
      <c r="H10" s="23">
        <v>42922</v>
      </c>
      <c r="I10" s="292">
        <v>470</v>
      </c>
      <c r="J10" s="42" t="s">
        <v>586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5"/>
      <c r="Q10" s="334">
        <v>42861</v>
      </c>
      <c r="R10" s="332">
        <v>66329.66</v>
      </c>
      <c r="S10" s="22"/>
      <c r="T10" s="281">
        <v>42892</v>
      </c>
      <c r="U10" s="282">
        <v>30651.81</v>
      </c>
      <c r="W10" s="281">
        <v>42922</v>
      </c>
      <c r="X10" s="282">
        <v>47190.86</v>
      </c>
      <c r="AA10" s="74"/>
      <c r="AB10" s="32"/>
    </row>
    <row r="11" spans="1:28" ht="15.75" thickBot="1" x14ac:dyDescent="0.3">
      <c r="A11" s="16"/>
      <c r="B11" s="287">
        <v>42923</v>
      </c>
      <c r="C11" s="288">
        <v>76920.479999999996</v>
      </c>
      <c r="D11" s="240" t="s">
        <v>564</v>
      </c>
      <c r="E11" s="281">
        <v>42923</v>
      </c>
      <c r="F11" s="282">
        <v>77020.479999999996</v>
      </c>
      <c r="G11" s="22"/>
      <c r="H11" s="23">
        <v>42923</v>
      </c>
      <c r="I11" s="292">
        <v>100</v>
      </c>
      <c r="J11" s="42" t="s">
        <v>609</v>
      </c>
      <c r="K11" s="37" t="s">
        <v>553</v>
      </c>
      <c r="L11" s="32">
        <f>1400+15547.48</f>
        <v>16947.48</v>
      </c>
      <c r="M11" s="39">
        <v>0</v>
      </c>
      <c r="N11" s="35">
        <v>100</v>
      </c>
      <c r="O11" s="36"/>
      <c r="P11" s="335"/>
      <c r="Q11" s="334">
        <v>42862</v>
      </c>
      <c r="R11" s="332">
        <v>45001.36</v>
      </c>
      <c r="S11" s="22"/>
      <c r="T11" s="281">
        <v>42893</v>
      </c>
      <c r="U11" s="282">
        <v>35775.06</v>
      </c>
      <c r="W11" s="281">
        <v>42923</v>
      </c>
      <c r="X11" s="282">
        <v>77020.479999999996</v>
      </c>
      <c r="AA11" s="74"/>
      <c r="AB11" s="32"/>
    </row>
    <row r="12" spans="1:28" ht="15.75" thickBot="1" x14ac:dyDescent="0.3">
      <c r="A12" s="16"/>
      <c r="B12" s="287">
        <v>42924</v>
      </c>
      <c r="C12" s="288">
        <v>89084.24</v>
      </c>
      <c r="D12" s="238" t="s">
        <v>565</v>
      </c>
      <c r="E12" s="281">
        <v>42924</v>
      </c>
      <c r="F12" s="282">
        <v>89184.24</v>
      </c>
      <c r="G12" s="22"/>
      <c r="H12" s="23">
        <v>42924</v>
      </c>
      <c r="I12" s="292">
        <v>100</v>
      </c>
      <c r="J12" s="42" t="s">
        <v>637</v>
      </c>
      <c r="K12" s="37" t="s">
        <v>554</v>
      </c>
      <c r="L12" s="32">
        <v>14038.01</v>
      </c>
      <c r="M12" s="39">
        <v>0</v>
      </c>
      <c r="N12" s="35">
        <v>100</v>
      </c>
      <c r="O12" s="44" t="s">
        <v>64</v>
      </c>
      <c r="P12" s="336"/>
      <c r="Q12" s="334">
        <v>42863</v>
      </c>
      <c r="R12" s="332">
        <v>33306.1</v>
      </c>
      <c r="S12" s="47"/>
      <c r="T12" s="281">
        <v>42894</v>
      </c>
      <c r="U12" s="282">
        <v>26419.32</v>
      </c>
      <c r="W12" s="281">
        <v>42924</v>
      </c>
      <c r="X12" s="282">
        <v>89184.24</v>
      </c>
      <c r="AA12" s="74"/>
      <c r="AB12" s="32"/>
    </row>
    <row r="13" spans="1:28" ht="15.75" thickBot="1" x14ac:dyDescent="0.3">
      <c r="A13" s="16"/>
      <c r="B13" s="287">
        <v>42925</v>
      </c>
      <c r="C13" s="288">
        <v>48719.96</v>
      </c>
      <c r="D13" s="240" t="s">
        <v>566</v>
      </c>
      <c r="E13" s="281">
        <v>42925</v>
      </c>
      <c r="F13" s="282">
        <v>52619.96</v>
      </c>
      <c r="G13" s="22"/>
      <c r="H13" s="23">
        <v>42925</v>
      </c>
      <c r="I13" s="292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  <c r="Q13" s="334">
        <v>42864</v>
      </c>
      <c r="R13" s="332">
        <v>39095.57</v>
      </c>
      <c r="S13" s="22"/>
      <c r="T13" s="281">
        <v>42895</v>
      </c>
      <c r="U13" s="282">
        <v>51106.35</v>
      </c>
      <c r="W13" s="281">
        <v>42925</v>
      </c>
      <c r="X13" s="282">
        <v>52619.96</v>
      </c>
      <c r="AA13" s="74"/>
      <c r="AB13" s="32"/>
    </row>
    <row r="14" spans="1:28" ht="15.75" thickBot="1" x14ac:dyDescent="0.3">
      <c r="A14" s="16"/>
      <c r="B14" s="287">
        <v>42926</v>
      </c>
      <c r="C14" s="288">
        <v>35507.449999999997</v>
      </c>
      <c r="D14" s="238" t="s">
        <v>570</v>
      </c>
      <c r="E14" s="281">
        <v>42926</v>
      </c>
      <c r="F14" s="282">
        <v>35676.449999999997</v>
      </c>
      <c r="G14" s="22"/>
      <c r="H14" s="23">
        <v>42926</v>
      </c>
      <c r="I14" s="292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  <c r="Q14" s="334">
        <v>42865</v>
      </c>
      <c r="R14" s="332">
        <v>54642.2</v>
      </c>
      <c r="S14" s="22"/>
      <c r="T14" s="281">
        <v>42896</v>
      </c>
      <c r="U14" s="282">
        <v>64763.5</v>
      </c>
      <c r="W14" s="281">
        <v>42926</v>
      </c>
      <c r="X14" s="282">
        <v>35676.449999999997</v>
      </c>
      <c r="AA14" s="74"/>
      <c r="AB14" s="32"/>
    </row>
    <row r="15" spans="1:28" ht="15.75" thickBot="1" x14ac:dyDescent="0.3">
      <c r="A15" s="16"/>
      <c r="B15" s="287">
        <v>42927</v>
      </c>
      <c r="C15" s="288">
        <v>51457.35</v>
      </c>
      <c r="D15" s="238" t="s">
        <v>571</v>
      </c>
      <c r="E15" s="281">
        <v>42927</v>
      </c>
      <c r="F15" s="282">
        <v>52757.35</v>
      </c>
      <c r="G15" s="22"/>
      <c r="H15" s="23">
        <v>42927</v>
      </c>
      <c r="I15" s="292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  <c r="Q15" s="334">
        <v>42866</v>
      </c>
      <c r="R15" s="332">
        <v>32257.5</v>
      </c>
      <c r="S15" s="22"/>
      <c r="T15" s="281">
        <v>42897</v>
      </c>
      <c r="U15" s="282">
        <v>47697.46</v>
      </c>
      <c r="W15" s="281">
        <v>42927</v>
      </c>
      <c r="X15" s="282">
        <v>52757.35</v>
      </c>
      <c r="AA15" s="74"/>
      <c r="AB15" s="32"/>
    </row>
    <row r="16" spans="1:28" ht="15.75" thickBot="1" x14ac:dyDescent="0.3">
      <c r="A16" s="16"/>
      <c r="B16" s="287">
        <v>42928</v>
      </c>
      <c r="C16" s="288">
        <v>49633.55</v>
      </c>
      <c r="D16" s="238" t="s">
        <v>573</v>
      </c>
      <c r="E16" s="281">
        <v>42928</v>
      </c>
      <c r="F16" s="282">
        <v>49733.55</v>
      </c>
      <c r="G16" s="22"/>
      <c r="H16" s="23">
        <v>42928</v>
      </c>
      <c r="I16" s="292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5"/>
      <c r="Q16" s="334">
        <v>42867</v>
      </c>
      <c r="R16" s="332">
        <v>86852.851999999999</v>
      </c>
      <c r="S16" s="22"/>
      <c r="T16" s="281">
        <v>42898</v>
      </c>
      <c r="U16" s="282">
        <v>31723.35</v>
      </c>
      <c r="W16" s="281">
        <v>42928</v>
      </c>
      <c r="X16" s="282">
        <v>49733.55</v>
      </c>
      <c r="AA16" s="74"/>
      <c r="AB16" s="32"/>
    </row>
    <row r="17" spans="1:28" ht="15.75" thickBot="1" x14ac:dyDescent="0.3">
      <c r="A17" s="16"/>
      <c r="B17" s="287">
        <v>42929</v>
      </c>
      <c r="C17" s="288">
        <v>55222.5</v>
      </c>
      <c r="D17" s="238" t="s">
        <v>575</v>
      </c>
      <c r="E17" s="281">
        <v>42929</v>
      </c>
      <c r="F17" s="282">
        <v>65530.32</v>
      </c>
      <c r="G17" s="22"/>
      <c r="H17" s="23">
        <v>42929</v>
      </c>
      <c r="I17" s="292">
        <v>100</v>
      </c>
      <c r="J17" s="42"/>
      <c r="K17" s="52" t="s">
        <v>574</v>
      </c>
      <c r="L17" s="32">
        <v>0</v>
      </c>
      <c r="M17" s="39">
        <v>0</v>
      </c>
      <c r="N17" s="35">
        <v>100</v>
      </c>
      <c r="O17" s="44"/>
      <c r="P17" s="335"/>
      <c r="Q17" s="334">
        <v>42868</v>
      </c>
      <c r="R17" s="332">
        <v>52475.17</v>
      </c>
      <c r="S17" s="22"/>
      <c r="T17" s="281">
        <v>42899</v>
      </c>
      <c r="U17" s="282">
        <v>39735.68</v>
      </c>
      <c r="W17" s="281">
        <v>42929</v>
      </c>
      <c r="X17" s="282">
        <v>65530.32</v>
      </c>
      <c r="AA17" s="74"/>
      <c r="AB17" s="32"/>
    </row>
    <row r="18" spans="1:28" ht="15.75" thickBot="1" x14ac:dyDescent="0.3">
      <c r="A18" s="16"/>
      <c r="B18" s="287">
        <v>42930</v>
      </c>
      <c r="C18" s="288">
        <v>105007.7</v>
      </c>
      <c r="D18" s="238" t="s">
        <v>581</v>
      </c>
      <c r="E18" s="281">
        <v>42930</v>
      </c>
      <c r="F18" s="282">
        <v>105107.7</v>
      </c>
      <c r="G18" s="22"/>
      <c r="H18" s="23">
        <v>42930</v>
      </c>
      <c r="I18" s="292">
        <v>100</v>
      </c>
      <c r="J18" s="42"/>
      <c r="K18" s="53" t="s">
        <v>569</v>
      </c>
      <c r="L18" s="32">
        <v>1200</v>
      </c>
      <c r="M18" s="39">
        <v>0</v>
      </c>
      <c r="N18" s="35">
        <v>100</v>
      </c>
      <c r="O18" s="44"/>
      <c r="P18" s="335"/>
      <c r="Q18" s="334">
        <v>42869</v>
      </c>
      <c r="R18" s="332">
        <v>29042.36</v>
      </c>
      <c r="S18" s="22"/>
      <c r="T18" s="281">
        <v>42900</v>
      </c>
      <c r="U18" s="282">
        <v>40056.76</v>
      </c>
      <c r="W18" s="281">
        <v>42930</v>
      </c>
      <c r="X18" s="282">
        <v>105107.7</v>
      </c>
      <c r="AA18" s="74"/>
      <c r="AB18" s="32"/>
    </row>
    <row r="19" spans="1:28" ht="15.75" thickBot="1" x14ac:dyDescent="0.3">
      <c r="A19" s="16"/>
      <c r="B19" s="287">
        <v>42931</v>
      </c>
      <c r="C19" s="288">
        <v>100061.31</v>
      </c>
      <c r="D19" s="238" t="s">
        <v>582</v>
      </c>
      <c r="E19" s="281">
        <v>42931</v>
      </c>
      <c r="F19" s="282">
        <v>100221.31</v>
      </c>
      <c r="G19" s="22"/>
      <c r="H19" s="23">
        <v>42931</v>
      </c>
      <c r="I19" s="292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5"/>
      <c r="Q19" s="334">
        <v>42870</v>
      </c>
      <c r="R19" s="332">
        <v>34507.47</v>
      </c>
      <c r="S19" s="22"/>
      <c r="T19" s="281">
        <v>42901</v>
      </c>
      <c r="U19" s="282">
        <v>39087.49</v>
      </c>
      <c r="W19" s="281">
        <v>42931</v>
      </c>
      <c r="X19" s="282">
        <v>100221.31</v>
      </c>
      <c r="AA19" s="74"/>
      <c r="AB19" s="32"/>
    </row>
    <row r="20" spans="1:28" ht="15.75" thickBot="1" x14ac:dyDescent="0.3">
      <c r="A20" s="16"/>
      <c r="B20" s="287">
        <v>42932</v>
      </c>
      <c r="C20" s="288">
        <v>62706.07</v>
      </c>
      <c r="D20" s="239" t="s">
        <v>595</v>
      </c>
      <c r="E20" s="281">
        <v>42932</v>
      </c>
      <c r="F20" s="282">
        <v>67421.070000000007</v>
      </c>
      <c r="G20" s="22"/>
      <c r="H20" s="23">
        <v>42932</v>
      </c>
      <c r="I20" s="292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0"/>
      <c r="R20" s="319">
        <v>0</v>
      </c>
      <c r="S20" s="22"/>
      <c r="T20" s="326"/>
      <c r="U20" s="282">
        <v>0</v>
      </c>
      <c r="W20" s="327"/>
      <c r="X20" s="328">
        <v>0</v>
      </c>
      <c r="AB20" s="321"/>
    </row>
    <row r="21" spans="1:28" ht="16.5" thickBot="1" x14ac:dyDescent="0.3">
      <c r="A21" s="16"/>
      <c r="B21" s="287">
        <v>42933</v>
      </c>
      <c r="C21" s="288">
        <v>66421.73</v>
      </c>
      <c r="D21" s="238" t="s">
        <v>596</v>
      </c>
      <c r="E21" s="281">
        <v>42933</v>
      </c>
      <c r="F21" s="282">
        <v>66548.73</v>
      </c>
      <c r="G21" s="22"/>
      <c r="H21" s="23">
        <v>42933</v>
      </c>
      <c r="I21" s="292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29">
        <f>SUM(R5:R20)</f>
        <v>674882.85199999996</v>
      </c>
      <c r="S21" s="44"/>
      <c r="T21" s="44"/>
      <c r="U21" s="329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7">
        <v>42934</v>
      </c>
      <c r="C22" s="288">
        <v>38078.15</v>
      </c>
      <c r="D22" s="238" t="s">
        <v>597</v>
      </c>
      <c r="E22" s="281">
        <v>42934</v>
      </c>
      <c r="F22" s="282">
        <v>38505.15</v>
      </c>
      <c r="G22" s="22"/>
      <c r="H22" s="23">
        <v>42934</v>
      </c>
      <c r="I22" s="292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7">
        <v>42935</v>
      </c>
      <c r="C23" s="288">
        <v>50389.57</v>
      </c>
      <c r="D23" s="241" t="s">
        <v>598</v>
      </c>
      <c r="E23" s="281">
        <v>42935</v>
      </c>
      <c r="F23" s="282">
        <v>50545.07</v>
      </c>
      <c r="G23" s="22"/>
      <c r="H23" s="23">
        <v>42935</v>
      </c>
      <c r="I23" s="292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576</v>
      </c>
      <c r="R23" s="32">
        <v>11892</v>
      </c>
      <c r="S23" s="22"/>
      <c r="T23" s="22" t="s">
        <v>576</v>
      </c>
      <c r="U23" s="32">
        <v>16544.25</v>
      </c>
      <c r="W23" s="22" t="s">
        <v>576</v>
      </c>
      <c r="X23" s="36">
        <v>12783.2</v>
      </c>
    </row>
    <row r="24" spans="1:28" ht="15.75" thickBot="1" x14ac:dyDescent="0.3">
      <c r="A24" s="16"/>
      <c r="B24" s="287">
        <v>42936</v>
      </c>
      <c r="C24" s="288">
        <v>29061.98</v>
      </c>
      <c r="D24" s="238" t="s">
        <v>600</v>
      </c>
      <c r="E24" s="281">
        <v>42936</v>
      </c>
      <c r="F24" s="282">
        <v>29183.96</v>
      </c>
      <c r="G24" s="22"/>
      <c r="H24" s="23">
        <v>42936</v>
      </c>
      <c r="I24" s="292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2" t="s">
        <v>576</v>
      </c>
      <c r="R24" s="323">
        <v>11207</v>
      </c>
      <c r="S24" s="22"/>
      <c r="T24" s="324" t="s">
        <v>576</v>
      </c>
      <c r="U24" s="325">
        <v>14451.56</v>
      </c>
      <c r="W24" s="322" t="s">
        <v>576</v>
      </c>
      <c r="X24" s="331">
        <v>11224.17</v>
      </c>
    </row>
    <row r="25" spans="1:28" ht="16.5" thickBot="1" x14ac:dyDescent="0.3">
      <c r="A25" s="16"/>
      <c r="B25" s="287">
        <v>42937</v>
      </c>
      <c r="C25" s="288">
        <v>91658.5</v>
      </c>
      <c r="D25" s="241" t="s">
        <v>601</v>
      </c>
      <c r="E25" s="281">
        <v>42937</v>
      </c>
      <c r="F25" s="282">
        <v>91942.89</v>
      </c>
      <c r="G25" s="22"/>
      <c r="H25" s="23">
        <v>42937</v>
      </c>
      <c r="I25" s="292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0" t="s">
        <v>578</v>
      </c>
      <c r="R25" s="329">
        <f>SUM(R23:R24)</f>
        <v>23099</v>
      </c>
      <c r="S25" s="330"/>
      <c r="T25" s="330" t="s">
        <v>579</v>
      </c>
      <c r="U25" s="153">
        <f>SUM(U23:U24)</f>
        <v>30995.809999999998</v>
      </c>
      <c r="V25" s="163"/>
      <c r="W25" s="163" t="s">
        <v>578</v>
      </c>
      <c r="X25" s="153">
        <f>SUM(X23:X24)</f>
        <v>24007.370000000003</v>
      </c>
    </row>
    <row r="26" spans="1:28" ht="15.75" thickBot="1" x14ac:dyDescent="0.3">
      <c r="A26" s="16"/>
      <c r="B26" s="287">
        <v>42938</v>
      </c>
      <c r="C26" s="288">
        <v>82440.56</v>
      </c>
      <c r="D26" s="238" t="s">
        <v>608</v>
      </c>
      <c r="E26" s="281">
        <v>42938</v>
      </c>
      <c r="F26" s="282">
        <v>82910.559999999998</v>
      </c>
      <c r="G26" s="22"/>
      <c r="H26" s="23">
        <v>42938</v>
      </c>
      <c r="I26" s="292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7">
        <v>42939</v>
      </c>
      <c r="C27" s="288">
        <v>62494.5</v>
      </c>
      <c r="D27" s="238" t="s">
        <v>611</v>
      </c>
      <c r="E27" s="281">
        <v>42939</v>
      </c>
      <c r="F27" s="282">
        <v>67874.62</v>
      </c>
      <c r="G27" s="22"/>
      <c r="H27" s="23">
        <v>42939</v>
      </c>
      <c r="I27" s="292">
        <v>480</v>
      </c>
      <c r="J27" s="36"/>
      <c r="K27" s="64" t="s">
        <v>557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48" t="s">
        <v>2</v>
      </c>
      <c r="U27" s="4">
        <v>570943.72</v>
      </c>
      <c r="V27" s="97"/>
      <c r="W27" s="348" t="s">
        <v>2</v>
      </c>
      <c r="X27" s="160">
        <v>989538.47</v>
      </c>
    </row>
    <row r="28" spans="1:28" ht="15.75" thickBot="1" x14ac:dyDescent="0.3">
      <c r="A28" s="16"/>
      <c r="B28" s="287">
        <v>42940</v>
      </c>
      <c r="C28" s="288">
        <v>43227.17</v>
      </c>
      <c r="D28" s="238" t="s">
        <v>613</v>
      </c>
      <c r="E28" s="281">
        <v>42940</v>
      </c>
      <c r="F28" s="282">
        <v>43227.17</v>
      </c>
      <c r="G28" s="22"/>
      <c r="H28" s="23">
        <v>42940</v>
      </c>
      <c r="I28" s="292">
        <v>100</v>
      </c>
      <c r="J28" s="36"/>
      <c r="K28" s="64" t="s">
        <v>577</v>
      </c>
      <c r="L28" s="51">
        <v>3500</v>
      </c>
      <c r="M28" s="39">
        <v>0</v>
      </c>
      <c r="N28" s="35">
        <v>100</v>
      </c>
      <c r="O28" s="44"/>
      <c r="P28" s="22"/>
      <c r="Q28" s="22"/>
      <c r="R28" s="22"/>
      <c r="S28" s="22"/>
      <c r="T28" s="22"/>
    </row>
    <row r="29" spans="1:28" ht="16.5" thickBot="1" x14ac:dyDescent="0.3">
      <c r="A29" s="16"/>
      <c r="B29" s="287">
        <v>42941</v>
      </c>
      <c r="C29" s="288">
        <v>29569.759999999998</v>
      </c>
      <c r="D29" s="238" t="s">
        <v>613</v>
      </c>
      <c r="E29" s="281">
        <v>42941</v>
      </c>
      <c r="F29" s="282">
        <v>30304.76</v>
      </c>
      <c r="G29" s="22"/>
      <c r="H29" s="23">
        <v>42941</v>
      </c>
      <c r="I29" s="292">
        <v>100</v>
      </c>
      <c r="J29" s="36"/>
      <c r="K29" s="350" t="s">
        <v>594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7">
        <v>42942</v>
      </c>
      <c r="C30" s="288">
        <v>40311</v>
      </c>
      <c r="D30" s="238" t="s">
        <v>614</v>
      </c>
      <c r="E30" s="281">
        <v>42942</v>
      </c>
      <c r="F30" s="282">
        <v>40511</v>
      </c>
      <c r="G30" s="22"/>
      <c r="H30" s="23">
        <v>42942</v>
      </c>
      <c r="I30" s="292">
        <v>200</v>
      </c>
      <c r="J30" s="63"/>
      <c r="K30" s="64" t="s">
        <v>610</v>
      </c>
      <c r="L30" s="365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7">
        <v>42943</v>
      </c>
      <c r="C31" s="288">
        <v>14159.66</v>
      </c>
      <c r="D31" s="238" t="s">
        <v>620</v>
      </c>
      <c r="E31" s="281">
        <v>42943</v>
      </c>
      <c r="F31" s="282">
        <v>35705.660000000003</v>
      </c>
      <c r="G31" s="22"/>
      <c r="H31" s="23">
        <v>42943</v>
      </c>
      <c r="I31" s="292">
        <v>100</v>
      </c>
      <c r="J31" s="42"/>
      <c r="K31" s="66" t="s">
        <v>612</v>
      </c>
      <c r="L31" s="366">
        <v>500</v>
      </c>
      <c r="M31" s="39">
        <v>0</v>
      </c>
      <c r="N31" s="35">
        <v>100</v>
      </c>
      <c r="O31" s="44"/>
      <c r="P31" s="44"/>
      <c r="Q31" s="22"/>
      <c r="R31" s="22"/>
      <c r="S31" s="22"/>
      <c r="T31" s="22"/>
    </row>
    <row r="32" spans="1:28" ht="15.75" thickBot="1" x14ac:dyDescent="0.3">
      <c r="A32" s="16"/>
      <c r="B32" s="287">
        <v>42944</v>
      </c>
      <c r="C32" s="288">
        <v>67361.210000000006</v>
      </c>
      <c r="D32" s="238" t="s">
        <v>621</v>
      </c>
      <c r="E32" s="281">
        <v>42944</v>
      </c>
      <c r="F32" s="282">
        <v>67486.210000000006</v>
      </c>
      <c r="G32" s="22"/>
      <c r="H32" s="23">
        <v>42944</v>
      </c>
      <c r="I32" s="292">
        <v>125</v>
      </c>
      <c r="J32" s="36"/>
      <c r="K32" s="64" t="s">
        <v>625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7">
        <v>42945</v>
      </c>
      <c r="C33" s="288">
        <v>86507.66</v>
      </c>
      <c r="D33" s="240" t="s">
        <v>622</v>
      </c>
      <c r="E33" s="281">
        <v>42945</v>
      </c>
      <c r="F33" s="282">
        <v>86894.34</v>
      </c>
      <c r="G33" s="22"/>
      <c r="H33" s="23">
        <v>42945</v>
      </c>
      <c r="I33" s="292">
        <v>386.68</v>
      </c>
      <c r="J33" s="36"/>
      <c r="K33" s="69" t="s">
        <v>626</v>
      </c>
      <c r="L33" s="439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7">
        <v>42946</v>
      </c>
      <c r="C34" s="289">
        <v>43935.62</v>
      </c>
      <c r="D34" s="238" t="s">
        <v>623</v>
      </c>
      <c r="E34" s="281">
        <v>42946</v>
      </c>
      <c r="F34" s="282">
        <v>47835.62</v>
      </c>
      <c r="G34" s="22"/>
      <c r="H34" s="23">
        <v>42946</v>
      </c>
      <c r="I34" s="292">
        <v>400</v>
      </c>
      <c r="J34" s="36"/>
      <c r="K34" s="69"/>
      <c r="L34" s="440"/>
      <c r="M34" s="39">
        <v>0</v>
      </c>
      <c r="N34" s="35">
        <v>100</v>
      </c>
      <c r="O34" s="22"/>
    </row>
    <row r="35" spans="1:20" ht="15.75" thickBot="1" x14ac:dyDescent="0.3">
      <c r="A35" s="16"/>
      <c r="B35" s="287">
        <v>42947</v>
      </c>
      <c r="C35" s="30">
        <v>46282.06</v>
      </c>
      <c r="D35" s="240" t="s">
        <v>632</v>
      </c>
      <c r="E35" s="281">
        <v>42947</v>
      </c>
      <c r="F35" s="284">
        <v>46382.06</v>
      </c>
      <c r="G35" s="22"/>
      <c r="H35" s="23">
        <v>42947</v>
      </c>
      <c r="I35" s="292">
        <v>100</v>
      </c>
      <c r="J35" s="36"/>
      <c r="K35" s="441"/>
      <c r="L35" s="38">
        <v>0</v>
      </c>
      <c r="M35" s="39">
        <v>0</v>
      </c>
      <c r="N35" s="70">
        <v>100</v>
      </c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1"/>
      <c r="L36" s="41"/>
      <c r="M36" s="78">
        <v>0</v>
      </c>
      <c r="N36" s="79">
        <f>SUM(N5:N35)</f>
        <v>3000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1797572.2099999997</v>
      </c>
      <c r="E38" s="315" t="s">
        <v>60</v>
      </c>
      <c r="F38" s="94">
        <f>SUM(F5:F37)</f>
        <v>1861425.7</v>
      </c>
      <c r="H38" s="6" t="s">
        <v>60</v>
      </c>
      <c r="I38" s="4">
        <f>SUM(I5:I37)</f>
        <v>6552.18</v>
      </c>
      <c r="J38" s="4"/>
      <c r="K38" s="95" t="s">
        <v>60</v>
      </c>
      <c r="L38" s="96">
        <f>SUM(L5:L37)</f>
        <v>136215.85999999999</v>
      </c>
    </row>
    <row r="40" spans="1:20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314"/>
      <c r="K40" s="432">
        <f>I38+L38</f>
        <v>142768.03999999998</v>
      </c>
      <c r="L40" s="433"/>
    </row>
    <row r="41" spans="1:20" ht="16.5" thickBot="1" x14ac:dyDescent="0.3">
      <c r="B41" s="102"/>
      <c r="C41" s="77"/>
      <c r="D41" s="448" t="s">
        <v>62</v>
      </c>
      <c r="E41" s="448"/>
      <c r="F41" s="103">
        <f>F38-K40</f>
        <v>1718657.66</v>
      </c>
      <c r="I41" s="104"/>
      <c r="J41" s="104"/>
    </row>
    <row r="42" spans="1:20" ht="19.5" customHeight="1" thickTop="1" x14ac:dyDescent="0.25">
      <c r="D42" s="449" t="s">
        <v>63</v>
      </c>
      <c r="E42" s="449"/>
      <c r="F42" s="103">
        <v>-1740186.8</v>
      </c>
      <c r="I42" s="450" t="s">
        <v>66</v>
      </c>
      <c r="J42" s="451"/>
      <c r="K42" s="464">
        <f>F47</f>
        <v>176821.03999999986</v>
      </c>
      <c r="L42" s="465"/>
    </row>
    <row r="43" spans="1:20" ht="15.75" thickBot="1" x14ac:dyDescent="0.3">
      <c r="D43" s="105"/>
      <c r="E43" s="106"/>
      <c r="F43" s="107"/>
      <c r="I43" s="452"/>
      <c r="J43" s="453"/>
      <c r="K43" s="466"/>
      <c r="L43" s="467"/>
    </row>
    <row r="44" spans="1:20" ht="15.75" customHeight="1" thickTop="1" x14ac:dyDescent="0.25">
      <c r="C44" s="3" t="s">
        <v>64</v>
      </c>
      <c r="E44" s="97" t="s">
        <v>65</v>
      </c>
      <c r="F44" s="4">
        <f>SUM(F41:F43)</f>
        <v>-21529.14000000013</v>
      </c>
    </row>
    <row r="45" spans="1:20" ht="15.75" customHeight="1" x14ac:dyDescent="0.3">
      <c r="D45" s="108" t="s">
        <v>67</v>
      </c>
      <c r="E45" s="97" t="s">
        <v>68</v>
      </c>
      <c r="F45" s="4">
        <v>1878</v>
      </c>
      <c r="I45" s="364" t="s">
        <v>275</v>
      </c>
      <c r="J45" s="364"/>
      <c r="K45" s="442">
        <f>-C4</f>
        <v>-184142.28</v>
      </c>
      <c r="L45" s="442"/>
    </row>
    <row r="46" spans="1:20" ht="16.5" thickBot="1" x14ac:dyDescent="0.3">
      <c r="C46" s="94"/>
      <c r="D46" s="458" t="s">
        <v>69</v>
      </c>
      <c r="E46" s="458"/>
      <c r="F46" s="109">
        <v>196472.18</v>
      </c>
      <c r="I46" s="460"/>
      <c r="J46" s="460"/>
      <c r="K46" s="460"/>
      <c r="L46" s="110"/>
    </row>
    <row r="47" spans="1:20" ht="19.5" thickBot="1" x14ac:dyDescent="0.35">
      <c r="C47" s="94"/>
      <c r="D47" s="315"/>
      <c r="E47" s="115" t="s">
        <v>71</v>
      </c>
      <c r="F47" s="116">
        <f>F44+F45+F46</f>
        <v>176821.03999999986</v>
      </c>
      <c r="H47" s="100"/>
      <c r="I47" s="444" t="s">
        <v>274</v>
      </c>
      <c r="J47" s="445"/>
      <c r="K47" s="446">
        <f>K42+K45</f>
        <v>-7321.2400000001362</v>
      </c>
      <c r="L47" s="447"/>
      <c r="M47" s="367"/>
    </row>
    <row r="49" spans="2:21" x14ac:dyDescent="0.25">
      <c r="B49"/>
      <c r="C49"/>
      <c r="D49" s="443"/>
      <c r="E49" s="443"/>
      <c r="F49" s="77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1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1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Q2:X2"/>
    <mergeCell ref="H40:I40"/>
    <mergeCell ref="K40:L40"/>
    <mergeCell ref="C1:K1"/>
    <mergeCell ref="E4:F4"/>
    <mergeCell ref="I4:L4"/>
    <mergeCell ref="L33:L34"/>
    <mergeCell ref="K35:K36"/>
    <mergeCell ref="K45:L45"/>
    <mergeCell ref="D49:E49"/>
    <mergeCell ref="I47:J47"/>
    <mergeCell ref="K47:L47"/>
    <mergeCell ref="D41:E41"/>
    <mergeCell ref="D42:E42"/>
    <mergeCell ref="D46:E46"/>
    <mergeCell ref="I46:K46"/>
    <mergeCell ref="I42:J43"/>
    <mergeCell ref="K42:L43"/>
  </mergeCells>
  <pageMargins left="0.31496062992125984" right="0.11811023622047245" top="0.15748031496062992" bottom="0.19685039370078741" header="0.31496062992125984" footer="0.31496062992125984"/>
  <pageSetup scale="78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opLeftCell="A33" workbookViewId="0">
      <selection activeCell="E42" sqref="E42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588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589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590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591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593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602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603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57"/>
      <c r="V12" s="343" t="s">
        <v>113</v>
      </c>
      <c r="W12" s="358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1">
        <v>32505.5</v>
      </c>
      <c r="O13" s="186">
        <v>42921</v>
      </c>
      <c r="R13" s="351">
        <f>SUM(R4:R12)</f>
        <v>348352.32999999996</v>
      </c>
      <c r="S13" s="176"/>
      <c r="T13" s="36">
        <f>SUM(T4:T12)</f>
        <v>348353</v>
      </c>
      <c r="U13" s="246"/>
      <c r="V13" s="244"/>
      <c r="W13" s="303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2">
        <v>48794.5</v>
      </c>
      <c r="O14" s="186">
        <v>42922</v>
      </c>
      <c r="R14" s="351"/>
      <c r="S14" s="176"/>
      <c r="T14" s="103"/>
      <c r="U14" s="100"/>
      <c r="V14" s="244"/>
      <c r="W14" s="303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2">
        <v>45338</v>
      </c>
      <c r="O15" s="186">
        <v>42922</v>
      </c>
      <c r="R15" s="351"/>
      <c r="S15" s="176"/>
      <c r="T15" s="36"/>
      <c r="U15" s="100"/>
      <c r="V15" s="244"/>
      <c r="W15" s="303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2">
        <v>76921</v>
      </c>
      <c r="O16" s="186">
        <v>42923</v>
      </c>
      <c r="R16" s="351"/>
      <c r="S16" s="201"/>
      <c r="T16" s="36"/>
      <c r="U16" s="246"/>
      <c r="V16" s="244"/>
      <c r="W16" s="303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599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2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49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2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2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2">
        <v>50763.5</v>
      </c>
      <c r="O20" s="186">
        <v>42928</v>
      </c>
      <c r="R20" s="164">
        <v>6710.02</v>
      </c>
      <c r="S20" s="126" t="s">
        <v>602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2">
        <v>49374.5</v>
      </c>
      <c r="O21" s="186">
        <v>42929</v>
      </c>
      <c r="R21" s="164">
        <f>7135.14+22579.12</f>
        <v>29714.26</v>
      </c>
      <c r="S21" s="126" t="s">
        <v>604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1">
        <v>55222.5</v>
      </c>
      <c r="O22" s="186">
        <v>42930</v>
      </c>
      <c r="R22" s="140">
        <v>14864.88</v>
      </c>
      <c r="S22" s="126" t="s">
        <v>605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2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607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38"/>
      <c r="M24" s="166" t="s">
        <v>113</v>
      </c>
      <c r="N24" s="339">
        <v>0</v>
      </c>
      <c r="O24" s="340"/>
      <c r="R24" s="140">
        <v>520</v>
      </c>
      <c r="S24" s="126" t="s">
        <v>606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587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1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39">
        <v>0</v>
      </c>
      <c r="O25" s="187"/>
      <c r="R25" s="164">
        <f>7732.03+31895.37</f>
        <v>39627.4</v>
      </c>
      <c r="S25" s="126" t="s">
        <v>616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592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1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39">
        <v>0</v>
      </c>
      <c r="O26" s="187"/>
      <c r="R26" s="140">
        <v>11578.25</v>
      </c>
      <c r="S26" s="126" t="s">
        <v>617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588</v>
      </c>
      <c r="C27" s="130">
        <v>44509.919999999998</v>
      </c>
      <c r="D27" s="213" t="s">
        <v>615</v>
      </c>
      <c r="E27" s="130">
        <f>39137.47+5372.45</f>
        <v>44509.919999999998</v>
      </c>
      <c r="F27" s="128">
        <f t="shared" si="0"/>
        <v>0</v>
      </c>
      <c r="I27" s="341">
        <v>6259.6</v>
      </c>
      <c r="J27" s="126" t="s">
        <v>541</v>
      </c>
      <c r="K27" s="130">
        <v>6259.6</v>
      </c>
      <c r="L27" s="187"/>
      <c r="M27" s="166" t="s">
        <v>113</v>
      </c>
      <c r="N27" s="339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589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6" t="s">
        <v>64</v>
      </c>
      <c r="J28" s="126" t="s">
        <v>542</v>
      </c>
      <c r="K28" s="36">
        <v>57246.19</v>
      </c>
      <c r="L28" s="235" t="s">
        <v>202</v>
      </c>
      <c r="M28" s="184"/>
      <c r="N28" s="347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590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2">
        <v>2599.6</v>
      </c>
      <c r="J29" s="143" t="s">
        <v>543</v>
      </c>
      <c r="K29" s="345">
        <v>2599.6</v>
      </c>
      <c r="L29" s="207"/>
      <c r="M29" s="343" t="s">
        <v>113</v>
      </c>
      <c r="N29" s="344">
        <v>0</v>
      </c>
      <c r="O29" s="207"/>
      <c r="R29" s="164"/>
      <c r="S29" s="126"/>
      <c r="T29" s="130"/>
      <c r="U29" s="235"/>
      <c r="V29" s="166" t="s">
        <v>113</v>
      </c>
      <c r="W29" s="301"/>
      <c r="X29" s="186"/>
    </row>
    <row r="30" spans="1:24" ht="17.25" thickTop="1" thickBot="1" x14ac:dyDescent="0.3">
      <c r="A30" s="129">
        <v>42934</v>
      </c>
      <c r="B30" s="126" t="s">
        <v>591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5">
        <v>0</v>
      </c>
      <c r="S30" s="143"/>
      <c r="T30" s="144">
        <v>0</v>
      </c>
      <c r="U30" s="207"/>
      <c r="V30" s="343" t="s">
        <v>113</v>
      </c>
      <c r="W30" s="356"/>
      <c r="X30" s="222"/>
    </row>
    <row r="31" spans="1:24" ht="16.5" thickTop="1" x14ac:dyDescent="0.25">
      <c r="A31" s="129">
        <v>42936</v>
      </c>
      <c r="B31" s="126" t="s">
        <v>593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3">
        <f>SUM(W20:W30)</f>
        <v>210477</v>
      </c>
      <c r="X31" s="245"/>
    </row>
    <row r="32" spans="1:24" ht="15.75" x14ac:dyDescent="0.25">
      <c r="A32" s="236">
        <v>42938</v>
      </c>
      <c r="B32" s="126" t="s">
        <v>602</v>
      </c>
      <c r="C32" s="130">
        <v>126598.88</v>
      </c>
      <c r="D32" s="136" t="s">
        <v>657</v>
      </c>
      <c r="E32" s="137">
        <f>120848.5+5750.38</f>
        <v>126598.88</v>
      </c>
      <c r="F32" s="128">
        <f t="shared" si="0"/>
        <v>0</v>
      </c>
      <c r="R32" s="351"/>
      <c r="S32" s="176"/>
      <c r="T32" s="36"/>
      <c r="U32" s="246"/>
      <c r="V32" s="244" t="s">
        <v>64</v>
      </c>
      <c r="W32" s="303"/>
      <c r="X32" s="245"/>
    </row>
    <row r="33" spans="1:15" x14ac:dyDescent="0.25">
      <c r="A33" s="236">
        <v>42938</v>
      </c>
      <c r="B33" s="126" t="s">
        <v>603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604</v>
      </c>
      <c r="C34" s="130">
        <v>29714.26</v>
      </c>
      <c r="D34" s="127">
        <v>42959</v>
      </c>
      <c r="E34" s="137">
        <v>29714.26</v>
      </c>
      <c r="F34" s="128">
        <f t="shared" si="0"/>
        <v>0</v>
      </c>
    </row>
    <row r="35" spans="1:15" ht="19.5" thickBot="1" x14ac:dyDescent="0.35">
      <c r="A35" s="236">
        <v>42942</v>
      </c>
      <c r="B35" s="126" t="s">
        <v>605</v>
      </c>
      <c r="C35" s="130">
        <v>14864.88</v>
      </c>
      <c r="D35" s="127">
        <v>42959</v>
      </c>
      <c r="E35" s="137">
        <v>14864.88</v>
      </c>
      <c r="F35" s="128">
        <f t="shared" si="0"/>
        <v>0</v>
      </c>
      <c r="J35" t="s">
        <v>64</v>
      </c>
      <c r="K35" s="154" t="s">
        <v>105</v>
      </c>
      <c r="L35" s="155"/>
      <c r="M35" s="156"/>
      <c r="N35" s="349">
        <v>42938</v>
      </c>
      <c r="O35" s="158"/>
    </row>
    <row r="36" spans="1:15" ht="15.75" x14ac:dyDescent="0.25">
      <c r="A36" s="236">
        <v>42942</v>
      </c>
      <c r="B36" s="126" t="s">
        <v>607</v>
      </c>
      <c r="C36" s="130">
        <v>107465.34</v>
      </c>
      <c r="D36" s="127">
        <v>42959</v>
      </c>
      <c r="E36" s="137">
        <v>107465.34</v>
      </c>
      <c r="F36" s="128">
        <f t="shared" si="0"/>
        <v>0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606</v>
      </c>
      <c r="C37" s="4">
        <v>520</v>
      </c>
      <c r="D37" s="127">
        <v>42959</v>
      </c>
      <c r="E37" s="92">
        <v>520</v>
      </c>
      <c r="F37" s="128">
        <f t="shared" si="0"/>
        <v>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616</v>
      </c>
      <c r="C38" s="4">
        <v>39627.4</v>
      </c>
      <c r="D38" s="127">
        <v>42959</v>
      </c>
      <c r="E38" s="92">
        <v>39627.4</v>
      </c>
      <c r="F38" s="128">
        <f t="shared" si="0"/>
        <v>0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617</v>
      </c>
      <c r="C39" s="130">
        <v>106382.86</v>
      </c>
      <c r="D39" s="127">
        <v>42959</v>
      </c>
      <c r="E39" s="137">
        <v>106382.86</v>
      </c>
      <c r="F39" s="128">
        <f t="shared" si="0"/>
        <v>0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618</v>
      </c>
      <c r="C40" s="130">
        <v>251.6</v>
      </c>
      <c r="D40" s="127">
        <v>42959</v>
      </c>
      <c r="E40" s="137">
        <v>251.6</v>
      </c>
      <c r="F40" s="128">
        <f t="shared" si="0"/>
        <v>0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624</v>
      </c>
      <c r="C41" s="36">
        <v>3465</v>
      </c>
      <c r="D41" s="127">
        <v>42959</v>
      </c>
      <c r="E41" s="368">
        <v>3465</v>
      </c>
      <c r="F41" s="128">
        <f t="shared" si="0"/>
        <v>0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8">
        <v>42947</v>
      </c>
      <c r="B42" s="143" t="s">
        <v>619</v>
      </c>
      <c r="C42" s="144">
        <v>42648.54</v>
      </c>
      <c r="D42" s="127">
        <v>42959</v>
      </c>
      <c r="E42" s="269">
        <v>42648.54</v>
      </c>
      <c r="F42" s="128">
        <f t="shared" si="0"/>
        <v>0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1731784.8</v>
      </c>
      <c r="F43" s="130">
        <f>SUM(F3:F42)</f>
        <v>0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555</v>
      </c>
      <c r="I45" s="140">
        <f>40459.28+37532.65+36691.45</f>
        <v>114683.37999999999</v>
      </c>
      <c r="J45" s="126" t="s">
        <v>587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592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588</v>
      </c>
      <c r="K47" s="130">
        <v>39137.47</v>
      </c>
      <c r="L47" s="235" t="s">
        <v>202</v>
      </c>
      <c r="M47" s="166" t="s">
        <v>113</v>
      </c>
      <c r="N47" s="301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5">
        <v>0</v>
      </c>
      <c r="J48" s="143"/>
      <c r="K48" s="144">
        <v>0</v>
      </c>
      <c r="L48" s="207"/>
      <c r="M48" s="343" t="s">
        <v>113</v>
      </c>
      <c r="N48" s="356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562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3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1"/>
      <c r="J50" s="176"/>
      <c r="K50" s="36"/>
      <c r="L50" s="246"/>
      <c r="M50" s="244" t="s">
        <v>64</v>
      </c>
      <c r="N50" s="303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3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3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3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3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3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572</v>
      </c>
      <c r="E56"/>
      <c r="F56"/>
      <c r="I56" s="248"/>
      <c r="J56" s="176"/>
      <c r="K56" s="36"/>
      <c r="L56" s="100"/>
      <c r="M56" s="244"/>
      <c r="N56" s="303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1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1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1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1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C63" s="140">
        <v>516</v>
      </c>
      <c r="D63" s="149" t="s">
        <v>97</v>
      </c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C64" s="140">
        <v>22</v>
      </c>
      <c r="D64" s="149" t="s">
        <v>508</v>
      </c>
      <c r="E64"/>
      <c r="H64" s="100"/>
      <c r="I64" s="352"/>
      <c r="J64" s="353"/>
      <c r="K64" s="354"/>
      <c r="L64" s="353"/>
      <c r="M64" s="353"/>
      <c r="N64" s="354"/>
      <c r="O64" s="353"/>
      <c r="P64" s="100"/>
    </row>
    <row r="65" spans="2:16" x14ac:dyDescent="0.25">
      <c r="B65" s="149">
        <v>42937</v>
      </c>
      <c r="C65" s="140">
        <v>400</v>
      </c>
      <c r="D65" s="149" t="s">
        <v>633</v>
      </c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C66" s="140">
        <v>627</v>
      </c>
      <c r="D66" s="149" t="s">
        <v>634</v>
      </c>
      <c r="E66"/>
    </row>
    <row r="67" spans="2:16" x14ac:dyDescent="0.25">
      <c r="B67" s="149">
        <v>42939</v>
      </c>
      <c r="C67" s="140">
        <v>0</v>
      </c>
      <c r="D67" s="149"/>
      <c r="E67"/>
    </row>
    <row r="68" spans="2:16" x14ac:dyDescent="0.25">
      <c r="B68" s="149">
        <v>42940</v>
      </c>
      <c r="C68" s="140">
        <v>0</v>
      </c>
      <c r="D68" s="149"/>
      <c r="E68"/>
    </row>
    <row r="69" spans="2:16" x14ac:dyDescent="0.25">
      <c r="B69" s="149">
        <v>42941</v>
      </c>
      <c r="C69" s="140">
        <v>635</v>
      </c>
      <c r="D69" s="149" t="s">
        <v>97</v>
      </c>
      <c r="E69"/>
    </row>
    <row r="70" spans="2:16" x14ac:dyDescent="0.25">
      <c r="B70" s="149">
        <v>42942</v>
      </c>
      <c r="C70" s="164">
        <v>451</v>
      </c>
      <c r="D70" s="149" t="s">
        <v>635</v>
      </c>
      <c r="E70"/>
    </row>
    <row r="71" spans="2:16" x14ac:dyDescent="0.25">
      <c r="B71" s="149">
        <v>42943</v>
      </c>
      <c r="C71" s="140">
        <v>314.5</v>
      </c>
      <c r="D71" s="149" t="s">
        <v>367</v>
      </c>
    </row>
    <row r="72" spans="2:16" x14ac:dyDescent="0.25">
      <c r="B72" s="149">
        <v>42944</v>
      </c>
      <c r="C72" s="140">
        <v>471.5</v>
      </c>
      <c r="D72" s="149" t="s">
        <v>97</v>
      </c>
    </row>
    <row r="73" spans="2:16" x14ac:dyDescent="0.25">
      <c r="B73" s="149">
        <v>42945</v>
      </c>
      <c r="C73" s="140">
        <v>260</v>
      </c>
      <c r="D73" s="149" t="s">
        <v>636</v>
      </c>
    </row>
    <row r="74" spans="2:16" x14ac:dyDescent="0.25">
      <c r="B74" s="149">
        <v>42946</v>
      </c>
      <c r="C74" s="140">
        <v>462</v>
      </c>
      <c r="D74" s="149" t="s">
        <v>97</v>
      </c>
    </row>
    <row r="75" spans="2:16" x14ac:dyDescent="0.25">
      <c r="B75" s="149">
        <v>42947</v>
      </c>
      <c r="C75" s="140">
        <v>0</v>
      </c>
    </row>
    <row r="76" spans="2:16" x14ac:dyDescent="0.25">
      <c r="B76" s="149"/>
    </row>
    <row r="77" spans="2:16" ht="18.75" x14ac:dyDescent="0.3">
      <c r="C77" s="215">
        <f>SUM(C48:C76)</f>
        <v>8402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opLeftCell="A4" workbookViewId="0">
      <selection activeCell="H32" sqref="H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2.5703125" style="4" customWidth="1"/>
  </cols>
  <sheetData>
    <row r="1" spans="1:17" ht="23.25" x14ac:dyDescent="0.35">
      <c r="C1" s="434" t="s">
        <v>627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196472.18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42948</v>
      </c>
      <c r="C5" s="286">
        <v>29609.13</v>
      </c>
      <c r="D5" s="238" t="s">
        <v>632</v>
      </c>
      <c r="E5" s="279">
        <v>42948</v>
      </c>
      <c r="F5" s="280">
        <v>28265.13</v>
      </c>
      <c r="G5" s="22"/>
      <c r="H5" s="23">
        <v>42948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42949</v>
      </c>
      <c r="C6" s="288">
        <v>39464.19</v>
      </c>
      <c r="D6" s="239" t="s">
        <v>647</v>
      </c>
      <c r="E6" s="281">
        <v>42949</v>
      </c>
      <c r="F6" s="282">
        <v>39884.19</v>
      </c>
      <c r="G6" s="33"/>
      <c r="H6" s="23">
        <v>42949</v>
      </c>
      <c r="I6" s="292">
        <v>420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42950</v>
      </c>
      <c r="C7" s="288">
        <v>36689.089999999997</v>
      </c>
      <c r="D7" s="238" t="s">
        <v>648</v>
      </c>
      <c r="E7" s="281">
        <v>42950</v>
      </c>
      <c r="F7" s="282">
        <v>36879.089999999997</v>
      </c>
      <c r="G7" s="22"/>
      <c r="H7" s="23">
        <v>42950</v>
      </c>
      <c r="I7" s="292">
        <v>190</v>
      </c>
      <c r="J7" s="36"/>
      <c r="K7" s="40" t="s">
        <v>832</v>
      </c>
      <c r="L7" s="38">
        <v>10833</v>
      </c>
      <c r="M7" s="39">
        <v>0</v>
      </c>
      <c r="N7" s="35">
        <v>100</v>
      </c>
      <c r="O7" s="22"/>
      <c r="P7" s="335"/>
    </row>
    <row r="8" spans="1:17" ht="15.75" thickBot="1" x14ac:dyDescent="0.3">
      <c r="A8" s="16"/>
      <c r="B8" s="287">
        <v>42951</v>
      </c>
      <c r="C8" s="288">
        <v>77754.53</v>
      </c>
      <c r="D8" s="238" t="s">
        <v>649</v>
      </c>
      <c r="E8" s="281">
        <v>42951</v>
      </c>
      <c r="F8" s="282">
        <v>79674.53</v>
      </c>
      <c r="G8" s="22"/>
      <c r="H8" s="23">
        <v>42951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42952</v>
      </c>
      <c r="C9" s="288">
        <v>76428.22</v>
      </c>
      <c r="D9" s="238" t="s">
        <v>651</v>
      </c>
      <c r="E9" s="281">
        <v>42952</v>
      </c>
      <c r="F9" s="282">
        <v>78500.72</v>
      </c>
      <c r="G9" s="22"/>
      <c r="H9" s="23">
        <v>42952</v>
      </c>
      <c r="I9" s="292">
        <v>100</v>
      </c>
      <c r="J9" s="42" t="s">
        <v>729</v>
      </c>
      <c r="K9" s="37" t="s">
        <v>664</v>
      </c>
      <c r="L9" s="32">
        <v>14087.78</v>
      </c>
      <c r="M9" s="39">
        <v>0</v>
      </c>
      <c r="N9" s="35">
        <v>100</v>
      </c>
      <c r="O9" s="44"/>
      <c r="P9" s="335"/>
    </row>
    <row r="10" spans="1:17" ht="16.5" thickBot="1" x14ac:dyDescent="0.3">
      <c r="A10" s="16"/>
      <c r="B10" s="287">
        <v>42953</v>
      </c>
      <c r="C10" s="288">
        <v>41830.339999999997</v>
      </c>
      <c r="D10" s="239" t="s">
        <v>652</v>
      </c>
      <c r="E10" s="281">
        <v>42953</v>
      </c>
      <c r="F10" s="282">
        <v>45430.34</v>
      </c>
      <c r="G10" s="22"/>
      <c r="H10" s="23">
        <v>42953</v>
      </c>
      <c r="I10" s="292">
        <v>100</v>
      </c>
      <c r="J10" s="42" t="s">
        <v>730</v>
      </c>
      <c r="K10" s="37" t="s">
        <v>665</v>
      </c>
      <c r="L10" s="32">
        <v>10240.280000000001</v>
      </c>
      <c r="M10" s="380">
        <v>3500</v>
      </c>
      <c r="N10" s="35">
        <v>100</v>
      </c>
      <c r="O10" s="36"/>
      <c r="P10" s="335"/>
    </row>
    <row r="11" spans="1:17" ht="15.75" thickBot="1" x14ac:dyDescent="0.3">
      <c r="A11" s="16"/>
      <c r="B11" s="287">
        <v>42954</v>
      </c>
      <c r="C11" s="288">
        <v>39449.15</v>
      </c>
      <c r="D11" s="240" t="s">
        <v>653</v>
      </c>
      <c r="E11" s="281">
        <v>42954</v>
      </c>
      <c r="F11" s="282">
        <v>39564.15</v>
      </c>
      <c r="G11" s="22"/>
      <c r="H11" s="23">
        <v>42954</v>
      </c>
      <c r="I11" s="292">
        <v>121</v>
      </c>
      <c r="J11" s="42" t="s">
        <v>731</v>
      </c>
      <c r="K11" s="37" t="s">
        <v>666</v>
      </c>
      <c r="L11" s="32">
        <v>10493.57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42955</v>
      </c>
      <c r="C12" s="288">
        <v>36261.9</v>
      </c>
      <c r="D12" s="238" t="s">
        <v>654</v>
      </c>
      <c r="E12" s="281">
        <v>42955</v>
      </c>
      <c r="F12" s="282">
        <v>36755.9</v>
      </c>
      <c r="G12" s="22"/>
      <c r="H12" s="23">
        <v>42955</v>
      </c>
      <c r="I12" s="292">
        <v>494</v>
      </c>
      <c r="J12" s="42" t="s">
        <v>732</v>
      </c>
      <c r="K12" s="37" t="s">
        <v>667</v>
      </c>
      <c r="L12" s="32">
        <f>4250+10741.35</f>
        <v>14991.35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42956</v>
      </c>
      <c r="C13" s="288">
        <v>37762.129999999997</v>
      </c>
      <c r="D13" s="239" t="s">
        <v>655</v>
      </c>
      <c r="E13" s="281">
        <v>42956</v>
      </c>
      <c r="F13" s="282">
        <v>38886.33</v>
      </c>
      <c r="G13" s="22"/>
      <c r="H13" s="23">
        <v>42956</v>
      </c>
      <c r="I13" s="292">
        <v>1124.2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42957</v>
      </c>
      <c r="C14" s="288">
        <v>27965.87</v>
      </c>
      <c r="D14" s="238" t="s">
        <v>675</v>
      </c>
      <c r="E14" s="281">
        <v>42957</v>
      </c>
      <c r="F14" s="282">
        <v>29091.87</v>
      </c>
      <c r="G14" s="22"/>
      <c r="H14" s="23">
        <v>42957</v>
      </c>
      <c r="I14" s="292">
        <v>156</v>
      </c>
      <c r="J14" s="42" t="s">
        <v>701</v>
      </c>
      <c r="K14" s="178" t="s">
        <v>29</v>
      </c>
      <c r="L14" s="32">
        <v>1750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42958</v>
      </c>
      <c r="C15" s="288">
        <v>75222.23</v>
      </c>
      <c r="D15" s="238" t="s">
        <v>676</v>
      </c>
      <c r="E15" s="281">
        <v>42958</v>
      </c>
      <c r="F15" s="282">
        <v>75656.73</v>
      </c>
      <c r="G15" s="22"/>
      <c r="H15" s="23">
        <v>42958</v>
      </c>
      <c r="I15" s="292">
        <v>434.5</v>
      </c>
      <c r="J15" s="265"/>
      <c r="K15" s="49" t="s">
        <v>726</v>
      </c>
      <c r="L15" s="32">
        <v>445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42959</v>
      </c>
      <c r="C16" s="288">
        <v>65606.91</v>
      </c>
      <c r="D16" s="238" t="s">
        <v>677</v>
      </c>
      <c r="E16" s="281">
        <v>42959</v>
      </c>
      <c r="F16" s="282">
        <v>65272.91</v>
      </c>
      <c r="G16" s="22"/>
      <c r="H16" s="23">
        <v>42959</v>
      </c>
      <c r="I16" s="292">
        <v>100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7" ht="15.75" thickBot="1" x14ac:dyDescent="0.3">
      <c r="A17" s="16"/>
      <c r="B17" s="287">
        <v>42960</v>
      </c>
      <c r="C17" s="288">
        <v>56705.62</v>
      </c>
      <c r="D17" s="238" t="s">
        <v>679</v>
      </c>
      <c r="E17" s="281">
        <v>42960</v>
      </c>
      <c r="F17" s="282">
        <v>60305.62</v>
      </c>
      <c r="G17" s="22"/>
      <c r="H17" s="23">
        <v>42960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35"/>
    </row>
    <row r="18" spans="1:17" ht="15.75" thickBot="1" x14ac:dyDescent="0.3">
      <c r="A18" s="16"/>
      <c r="B18" s="287">
        <v>42961</v>
      </c>
      <c r="C18" s="288">
        <v>35077.370000000003</v>
      </c>
      <c r="D18" s="238" t="s">
        <v>681</v>
      </c>
      <c r="E18" s="281">
        <v>42961</v>
      </c>
      <c r="F18" s="282">
        <v>36177.370000000003</v>
      </c>
      <c r="G18" s="22"/>
      <c r="H18" s="23">
        <v>42961</v>
      </c>
      <c r="I18" s="292">
        <v>100</v>
      </c>
      <c r="J18" s="42"/>
      <c r="K18" s="53" t="s">
        <v>569</v>
      </c>
      <c r="L18" s="32">
        <v>0</v>
      </c>
      <c r="M18" s="39">
        <v>0</v>
      </c>
      <c r="N18" s="35">
        <v>100</v>
      </c>
      <c r="O18" s="44"/>
      <c r="P18" s="335"/>
    </row>
    <row r="19" spans="1:17" ht="15.75" thickBot="1" x14ac:dyDescent="0.3">
      <c r="A19" s="16"/>
      <c r="B19" s="287">
        <v>42962</v>
      </c>
      <c r="C19" s="288">
        <v>40409.870000000003</v>
      </c>
      <c r="D19" s="238" t="s">
        <v>682</v>
      </c>
      <c r="E19" s="281">
        <v>42962</v>
      </c>
      <c r="F19" s="282">
        <v>40588.870000000003</v>
      </c>
      <c r="G19" s="22"/>
      <c r="H19" s="23">
        <v>42962</v>
      </c>
      <c r="I19" s="292">
        <v>179</v>
      </c>
      <c r="J19" s="42"/>
      <c r="K19" s="53"/>
      <c r="L19" s="54">
        <v>0</v>
      </c>
      <c r="M19" s="39">
        <v>0</v>
      </c>
      <c r="N19" s="35">
        <v>100</v>
      </c>
      <c r="O19" s="22"/>
      <c r="P19" s="335"/>
    </row>
    <row r="20" spans="1:17" ht="15.75" thickBot="1" x14ac:dyDescent="0.3">
      <c r="A20" s="16"/>
      <c r="B20" s="287">
        <v>42963</v>
      </c>
      <c r="C20" s="288">
        <v>28954.82</v>
      </c>
      <c r="D20" s="239" t="s">
        <v>683</v>
      </c>
      <c r="E20" s="281">
        <v>42963</v>
      </c>
      <c r="F20" s="282">
        <v>29080.33</v>
      </c>
      <c r="G20" s="22"/>
      <c r="H20" s="23">
        <v>42963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 t="s">
        <v>684</v>
      </c>
      <c r="Q20">
        <v>25.33</v>
      </c>
    </row>
    <row r="21" spans="1:17" ht="15.75" thickBot="1" x14ac:dyDescent="0.3">
      <c r="A21" s="16"/>
      <c r="B21" s="287">
        <v>42964</v>
      </c>
      <c r="C21" s="288">
        <v>44091.45</v>
      </c>
      <c r="D21" s="238" t="s">
        <v>685</v>
      </c>
      <c r="E21" s="281">
        <v>42964</v>
      </c>
      <c r="F21" s="282">
        <v>44199.45</v>
      </c>
      <c r="G21" s="22"/>
      <c r="H21" s="23">
        <v>42964</v>
      </c>
      <c r="I21" s="292">
        <v>108</v>
      </c>
      <c r="J21" s="42"/>
      <c r="K21" s="57" t="s">
        <v>418</v>
      </c>
      <c r="L21" s="51">
        <v>1450</v>
      </c>
      <c r="M21" s="39">
        <v>0</v>
      </c>
      <c r="N21" s="35">
        <v>100</v>
      </c>
      <c r="O21" s="44"/>
      <c r="P21" s="44"/>
    </row>
    <row r="22" spans="1:17" ht="15.75" thickBot="1" x14ac:dyDescent="0.3">
      <c r="A22" s="16"/>
      <c r="B22" s="287">
        <v>42965</v>
      </c>
      <c r="C22" s="288">
        <v>42631.97</v>
      </c>
      <c r="D22" s="238" t="s">
        <v>686</v>
      </c>
      <c r="E22" s="281">
        <v>42965</v>
      </c>
      <c r="F22" s="282">
        <v>59810.09</v>
      </c>
      <c r="G22" s="22"/>
      <c r="H22" s="23">
        <v>42965</v>
      </c>
      <c r="I22" s="292">
        <v>125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42966</v>
      </c>
      <c r="C23" s="288">
        <v>70537.960000000006</v>
      </c>
      <c r="D23" s="241" t="s">
        <v>687</v>
      </c>
      <c r="E23" s="281">
        <v>42966</v>
      </c>
      <c r="F23" s="282">
        <v>70697.960000000006</v>
      </c>
      <c r="G23" s="22"/>
      <c r="H23" s="23">
        <v>42966</v>
      </c>
      <c r="I23" s="292">
        <v>160</v>
      </c>
      <c r="J23" s="36"/>
      <c r="K23" s="61">
        <v>42957</v>
      </c>
      <c r="L23" s="51">
        <v>0</v>
      </c>
      <c r="M23" s="39">
        <v>0</v>
      </c>
      <c r="N23" s="35">
        <v>100</v>
      </c>
      <c r="P23" s="22"/>
    </row>
    <row r="24" spans="1:17" ht="15.75" thickBot="1" x14ac:dyDescent="0.3">
      <c r="A24" s="16"/>
      <c r="B24" s="287">
        <v>42967</v>
      </c>
      <c r="C24" s="288">
        <v>54897.83</v>
      </c>
      <c r="D24" s="238" t="s">
        <v>688</v>
      </c>
      <c r="E24" s="281">
        <v>42967</v>
      </c>
      <c r="F24" s="282">
        <v>59183.83</v>
      </c>
      <c r="G24" s="22"/>
      <c r="H24" s="23">
        <v>42967</v>
      </c>
      <c r="I24" s="292">
        <v>786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42968</v>
      </c>
      <c r="C25" s="288">
        <v>54107.5</v>
      </c>
      <c r="D25" s="241" t="s">
        <v>695</v>
      </c>
      <c r="E25" s="281">
        <v>42968</v>
      </c>
      <c r="F25" s="282">
        <v>54440.66</v>
      </c>
      <c r="G25" s="22"/>
      <c r="H25" s="23">
        <v>42968</v>
      </c>
      <c r="I25" s="292">
        <v>333.16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</row>
    <row r="26" spans="1:17" ht="15.75" thickBot="1" x14ac:dyDescent="0.3">
      <c r="A26" s="16"/>
      <c r="B26" s="287">
        <v>42969</v>
      </c>
      <c r="C26" s="288">
        <v>29679.85</v>
      </c>
      <c r="D26" s="238" t="s">
        <v>696</v>
      </c>
      <c r="E26" s="281">
        <v>42969</v>
      </c>
      <c r="F26" s="282">
        <v>29795.85</v>
      </c>
      <c r="G26" s="22"/>
      <c r="H26" s="23">
        <v>42969</v>
      </c>
      <c r="I26" s="292">
        <v>116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5.75" thickBot="1" x14ac:dyDescent="0.3">
      <c r="A27" s="16"/>
      <c r="B27" s="287">
        <v>42970</v>
      </c>
      <c r="C27" s="288">
        <v>39486.46</v>
      </c>
      <c r="D27" s="238" t="s">
        <v>697</v>
      </c>
      <c r="E27" s="281">
        <v>42970</v>
      </c>
      <c r="F27" s="282">
        <v>39626.46</v>
      </c>
      <c r="G27" s="22"/>
      <c r="H27" s="23">
        <v>42970</v>
      </c>
      <c r="I27" s="292">
        <v>140</v>
      </c>
      <c r="J27" s="36"/>
      <c r="K27" s="64" t="s">
        <v>678</v>
      </c>
      <c r="L27" s="51">
        <v>3500</v>
      </c>
      <c r="M27" s="39">
        <v>0</v>
      </c>
      <c r="N27" s="35">
        <v>100</v>
      </c>
      <c r="O27" s="22"/>
      <c r="P27" s="22"/>
    </row>
    <row r="28" spans="1:17" ht="15.75" thickBot="1" x14ac:dyDescent="0.3">
      <c r="A28" s="16"/>
      <c r="B28" s="287">
        <v>42971</v>
      </c>
      <c r="C28" s="288">
        <v>27872.52</v>
      </c>
      <c r="D28" s="238" t="s">
        <v>699</v>
      </c>
      <c r="E28" s="281">
        <v>42971</v>
      </c>
      <c r="F28" s="282">
        <v>27872.52</v>
      </c>
      <c r="G28" s="22"/>
      <c r="H28" s="23">
        <v>42971</v>
      </c>
      <c r="I28" s="292">
        <v>0</v>
      </c>
      <c r="J28" s="36"/>
      <c r="K28" s="64" t="s">
        <v>680</v>
      </c>
      <c r="L28" s="51">
        <v>1000</v>
      </c>
      <c r="M28" s="39">
        <v>0</v>
      </c>
      <c r="N28" s="35">
        <v>0</v>
      </c>
      <c r="O28" s="44"/>
      <c r="P28" s="22"/>
    </row>
    <row r="29" spans="1:17" ht="16.5" thickBot="1" x14ac:dyDescent="0.3">
      <c r="A29" s="16"/>
      <c r="B29" s="287">
        <v>42972</v>
      </c>
      <c r="C29" s="288">
        <v>71606.31</v>
      </c>
      <c r="D29" s="238" t="s">
        <v>702</v>
      </c>
      <c r="E29" s="281">
        <v>42972</v>
      </c>
      <c r="F29" s="282">
        <v>76139.31</v>
      </c>
      <c r="G29" s="22"/>
      <c r="H29" s="23">
        <v>42972</v>
      </c>
      <c r="I29" s="292">
        <v>283</v>
      </c>
      <c r="J29" s="36"/>
      <c r="K29" s="350" t="s">
        <v>704</v>
      </c>
      <c r="L29" s="51">
        <v>3500</v>
      </c>
      <c r="M29" s="39">
        <v>0</v>
      </c>
      <c r="N29" s="35">
        <v>200</v>
      </c>
      <c r="O29" s="44"/>
      <c r="P29" s="44"/>
    </row>
    <row r="30" spans="1:17" ht="15.75" thickBot="1" x14ac:dyDescent="0.3">
      <c r="A30" s="16"/>
      <c r="B30" s="287">
        <v>42973</v>
      </c>
      <c r="C30" s="288">
        <v>66536.56</v>
      </c>
      <c r="D30" s="238" t="s">
        <v>703</v>
      </c>
      <c r="E30" s="281">
        <v>42973</v>
      </c>
      <c r="F30" s="282">
        <v>66756.56</v>
      </c>
      <c r="G30" s="22"/>
      <c r="H30" s="23">
        <v>42973</v>
      </c>
      <c r="I30" s="292">
        <v>220</v>
      </c>
      <c r="J30" s="63"/>
      <c r="K30" s="64" t="s">
        <v>705</v>
      </c>
      <c r="L30" s="51">
        <v>500</v>
      </c>
      <c r="M30" s="39">
        <v>0</v>
      </c>
      <c r="N30" s="35">
        <v>100</v>
      </c>
      <c r="O30" s="22"/>
      <c r="P30" s="22"/>
    </row>
    <row r="31" spans="1:17" ht="15.75" thickBot="1" x14ac:dyDescent="0.3">
      <c r="A31" s="16"/>
      <c r="B31" s="287">
        <v>42974</v>
      </c>
      <c r="C31" s="288">
        <v>39420.559999999998</v>
      </c>
      <c r="D31" s="238" t="s">
        <v>706</v>
      </c>
      <c r="E31" s="281">
        <v>42974</v>
      </c>
      <c r="F31" s="282">
        <v>43220.56</v>
      </c>
      <c r="G31" s="22"/>
      <c r="H31" s="23">
        <v>42974</v>
      </c>
      <c r="I31" s="292">
        <v>30</v>
      </c>
      <c r="J31" s="42"/>
      <c r="K31" s="66" t="s">
        <v>628</v>
      </c>
      <c r="L31" s="362"/>
      <c r="M31" s="39">
        <v>0</v>
      </c>
      <c r="N31" s="35">
        <v>100</v>
      </c>
      <c r="O31" s="44"/>
      <c r="P31" s="44"/>
    </row>
    <row r="32" spans="1:17" ht="15.75" thickBot="1" x14ac:dyDescent="0.3">
      <c r="A32" s="16"/>
      <c r="B32" s="287">
        <v>42975</v>
      </c>
      <c r="C32" s="288">
        <v>43821.45</v>
      </c>
      <c r="D32" s="238" t="s">
        <v>713</v>
      </c>
      <c r="E32" s="281">
        <v>42975</v>
      </c>
      <c r="F32" s="282">
        <v>44421.45</v>
      </c>
      <c r="G32" s="22"/>
      <c r="H32" s="23">
        <v>42975</v>
      </c>
      <c r="I32" s="292">
        <v>100</v>
      </c>
      <c r="J32" s="36"/>
      <c r="K32" s="64" t="s">
        <v>629</v>
      </c>
      <c r="L32" s="363"/>
      <c r="M32" s="39"/>
      <c r="N32" s="35">
        <v>100</v>
      </c>
      <c r="O32" s="22"/>
      <c r="P32" s="22"/>
    </row>
    <row r="33" spans="1:16" ht="15.75" thickBot="1" x14ac:dyDescent="0.3">
      <c r="A33" s="16"/>
      <c r="B33" s="287">
        <v>42976</v>
      </c>
      <c r="C33" s="288">
        <v>30642.01</v>
      </c>
      <c r="D33" s="240" t="s">
        <v>724</v>
      </c>
      <c r="E33" s="281">
        <v>42976</v>
      </c>
      <c r="F33" s="284">
        <v>30742.01</v>
      </c>
      <c r="G33" s="22"/>
      <c r="H33" s="23">
        <v>42976</v>
      </c>
      <c r="I33" s="292">
        <v>100</v>
      </c>
      <c r="J33" s="36"/>
      <c r="K33" s="69" t="s">
        <v>626</v>
      </c>
      <c r="L33" s="439">
        <v>0</v>
      </c>
      <c r="M33" s="39">
        <v>0</v>
      </c>
      <c r="N33" s="35">
        <v>100</v>
      </c>
      <c r="O33" s="22"/>
      <c r="P33" s="22"/>
    </row>
    <row r="34" spans="1:16" ht="15.75" thickBot="1" x14ac:dyDescent="0.3">
      <c r="A34" s="16"/>
      <c r="B34" s="287">
        <v>42977</v>
      </c>
      <c r="C34" s="332">
        <v>32444.71</v>
      </c>
      <c r="D34" s="238" t="s">
        <v>725</v>
      </c>
      <c r="E34" s="379">
        <v>42977</v>
      </c>
      <c r="F34" s="332">
        <v>32594.71</v>
      </c>
      <c r="G34" s="22"/>
      <c r="H34" s="23">
        <v>42977</v>
      </c>
      <c r="I34" s="292">
        <v>150</v>
      </c>
      <c r="J34" s="36"/>
      <c r="K34" s="69"/>
      <c r="L34" s="440"/>
      <c r="M34" s="39">
        <v>0</v>
      </c>
      <c r="N34" s="35">
        <v>100</v>
      </c>
      <c r="O34" s="22"/>
    </row>
    <row r="35" spans="1:16" ht="15.75" thickBot="1" x14ac:dyDescent="0.3">
      <c r="A35" s="16"/>
      <c r="B35" s="287">
        <v>42978</v>
      </c>
      <c r="C35" s="332">
        <v>811</v>
      </c>
      <c r="D35" s="382" t="s">
        <v>727</v>
      </c>
      <c r="E35" s="379">
        <v>42978</v>
      </c>
      <c r="F35" s="332">
        <v>29406.41</v>
      </c>
      <c r="G35" s="22"/>
      <c r="H35" s="23">
        <v>42978</v>
      </c>
      <c r="I35" s="292">
        <v>190</v>
      </c>
      <c r="J35" s="36"/>
      <c r="K35" s="441"/>
      <c r="L35" s="38"/>
      <c r="M35" s="381">
        <v>27960.5</v>
      </c>
      <c r="N35" s="70">
        <v>100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1"/>
      <c r="L36" s="41"/>
      <c r="M36" s="78">
        <v>0</v>
      </c>
      <c r="N36" s="406">
        <f>SUM(N5:N35)</f>
        <v>3100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383">
        <f>SUM(M5:M36)</f>
        <v>31460.5</v>
      </c>
      <c r="N37" s="407" t="s">
        <v>734</v>
      </c>
    </row>
    <row r="38" spans="1:16" x14ac:dyDescent="0.25">
      <c r="B38" s="91" t="s">
        <v>60</v>
      </c>
      <c r="C38" s="92">
        <f>SUM(C5:C37)</f>
        <v>1393779.51</v>
      </c>
      <c r="E38" s="359" t="s">
        <v>60</v>
      </c>
      <c r="F38" s="94">
        <f>SUM(F5:F37)</f>
        <v>1468921.91</v>
      </c>
      <c r="H38" s="6" t="s">
        <v>60</v>
      </c>
      <c r="I38" s="4">
        <f>SUM(I5:I37)</f>
        <v>6759.86</v>
      </c>
      <c r="J38" s="4"/>
      <c r="K38" s="95" t="s">
        <v>60</v>
      </c>
      <c r="L38" s="96">
        <f>SUM(L5:L37)</f>
        <v>102959.98000000001</v>
      </c>
    </row>
    <row r="40" spans="1:16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361"/>
      <c r="K40" s="432">
        <f>I38+L38</f>
        <v>109719.84000000001</v>
      </c>
      <c r="L40" s="433"/>
    </row>
    <row r="41" spans="1:16" ht="15.75" x14ac:dyDescent="0.25">
      <c r="B41" s="102"/>
      <c r="C41" s="77"/>
      <c r="D41" s="448" t="s">
        <v>62</v>
      </c>
      <c r="E41" s="448"/>
      <c r="F41" s="103">
        <f>F38-K40</f>
        <v>1359202.0699999998</v>
      </c>
      <c r="I41" s="104"/>
      <c r="J41" s="104"/>
    </row>
    <row r="42" spans="1:16" ht="15.75" x14ac:dyDescent="0.25">
      <c r="D42" s="449" t="s">
        <v>63</v>
      </c>
      <c r="E42" s="449"/>
      <c r="F42" s="103">
        <v>-1327946.97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31255.09999999986</v>
      </c>
      <c r="I44" s="450" t="s">
        <v>66</v>
      </c>
      <c r="J44" s="451"/>
      <c r="K44" s="454">
        <f>F48+L46</f>
        <v>217639.71999999986</v>
      </c>
      <c r="L44" s="455"/>
    </row>
    <row r="45" spans="1:16" ht="15.75" thickBot="1" x14ac:dyDescent="0.3">
      <c r="D45" s="108" t="s">
        <v>67</v>
      </c>
      <c r="E45" s="97" t="s">
        <v>68</v>
      </c>
      <c r="F45" s="4">
        <v>15683.84</v>
      </c>
      <c r="I45" s="452"/>
      <c r="J45" s="453"/>
      <c r="K45" s="456"/>
      <c r="L45" s="457"/>
    </row>
    <row r="46" spans="1:16" ht="17.25" thickTop="1" thickBot="1" x14ac:dyDescent="0.3">
      <c r="C46" s="94"/>
      <c r="D46" s="458" t="s">
        <v>69</v>
      </c>
      <c r="E46" s="458"/>
      <c r="F46" s="109">
        <v>170700.78</v>
      </c>
      <c r="I46" s="459"/>
      <c r="J46" s="459"/>
      <c r="K46" s="460"/>
      <c r="L46" s="110"/>
    </row>
    <row r="47" spans="1:16" ht="19.5" thickBot="1" x14ac:dyDescent="0.35">
      <c r="C47" s="94"/>
      <c r="D47" s="359"/>
      <c r="E47" s="359"/>
      <c r="F47" s="111"/>
      <c r="H47" s="112"/>
      <c r="I47" s="360" t="s">
        <v>275</v>
      </c>
      <c r="J47" s="360"/>
      <c r="K47" s="442">
        <f>-C4</f>
        <v>-196472.18</v>
      </c>
      <c r="L47" s="442"/>
      <c r="M47" s="114"/>
    </row>
    <row r="48" spans="1:16" ht="17.25" thickTop="1" thickBot="1" x14ac:dyDescent="0.3">
      <c r="E48" s="115" t="s">
        <v>71</v>
      </c>
      <c r="F48" s="116">
        <f>F44+F45+F46</f>
        <v>217639.71999999986</v>
      </c>
    </row>
    <row r="49" spans="2:14" ht="19.5" thickBot="1" x14ac:dyDescent="0.35">
      <c r="B49"/>
      <c r="C49"/>
      <c r="D49" s="443"/>
      <c r="E49" s="443"/>
      <c r="F49" s="77"/>
      <c r="I49" s="471" t="s">
        <v>733</v>
      </c>
      <c r="J49" s="472"/>
      <c r="K49" s="473">
        <f>K44+K47</f>
        <v>21167.539999999863</v>
      </c>
      <c r="L49" s="474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C1:K1"/>
    <mergeCell ref="E4:F4"/>
    <mergeCell ref="I4:L4"/>
    <mergeCell ref="L33:L34"/>
    <mergeCell ref="K35:K36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2"/>
  <sheetViews>
    <sheetView topLeftCell="A21" workbookViewId="0">
      <selection activeCell="E35" sqref="E3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.140625" customWidth="1"/>
    <col min="14" max="14" width="11.140625" bestFit="1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" customWidth="1"/>
    <col min="24" max="24" width="20.140625" bestFit="1" customWidth="1"/>
    <col min="25" max="25" width="12.7109375" bestFit="1" customWidth="1"/>
  </cols>
  <sheetData>
    <row r="1" spans="1:25" ht="19.5" thickBot="1" x14ac:dyDescent="0.35">
      <c r="B1" s="118" t="s">
        <v>630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42959</v>
      </c>
      <c r="P1" s="158"/>
      <c r="S1" s="151"/>
      <c r="T1" t="s">
        <v>64</v>
      </c>
      <c r="U1" s="154" t="s">
        <v>105</v>
      </c>
      <c r="V1" s="155"/>
      <c r="W1" s="156"/>
      <c r="X1" s="370">
        <v>42976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1"/>
      <c r="K2" s="159"/>
      <c r="L2" s="160"/>
      <c r="M2" s="159"/>
      <c r="N2" s="161"/>
      <c r="O2" s="160"/>
      <c r="P2" s="162"/>
      <c r="S2" s="151"/>
      <c r="T2" s="159"/>
      <c r="U2" s="160"/>
      <c r="V2" s="159"/>
      <c r="W2" s="161"/>
      <c r="X2" s="160"/>
      <c r="Y2" s="162"/>
    </row>
    <row r="3" spans="1:25" ht="15.75" x14ac:dyDescent="0.25">
      <c r="A3" s="125">
        <v>42948</v>
      </c>
      <c r="B3" s="126" t="s">
        <v>631</v>
      </c>
      <c r="C3" s="36">
        <v>73789.320000000007</v>
      </c>
      <c r="D3" s="127">
        <v>42959</v>
      </c>
      <c r="E3" s="36">
        <v>73789.320000000007</v>
      </c>
      <c r="F3" s="128">
        <f t="shared" ref="F3:F37" si="0">C3-E3</f>
        <v>0</v>
      </c>
      <c r="J3" s="151"/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R3">
        <v>24295</v>
      </c>
      <c r="S3" s="151">
        <v>8796</v>
      </c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42950</v>
      </c>
      <c r="B4" s="126" t="s">
        <v>638</v>
      </c>
      <c r="C4" s="130">
        <v>4893.26</v>
      </c>
      <c r="D4" s="127">
        <v>42959</v>
      </c>
      <c r="E4" s="130">
        <v>4893.26</v>
      </c>
      <c r="F4" s="128">
        <f t="shared" si="0"/>
        <v>0</v>
      </c>
      <c r="J4" s="164">
        <v>6710.02</v>
      </c>
      <c r="K4" s="126" t="s">
        <v>602</v>
      </c>
      <c r="L4" s="130">
        <v>5750.38</v>
      </c>
      <c r="M4" s="165" t="s">
        <v>111</v>
      </c>
      <c r="N4" s="166" t="s">
        <v>113</v>
      </c>
      <c r="O4" s="167">
        <v>13845</v>
      </c>
      <c r="P4" s="168">
        <v>42945</v>
      </c>
      <c r="S4" s="164">
        <v>21519.9</v>
      </c>
      <c r="T4" s="126" t="s">
        <v>674</v>
      </c>
      <c r="U4" s="130">
        <v>12306.98</v>
      </c>
      <c r="V4" s="165" t="s">
        <v>111</v>
      </c>
      <c r="W4" s="166" t="s">
        <v>113</v>
      </c>
      <c r="X4" s="167">
        <v>49601</v>
      </c>
      <c r="Y4" s="168">
        <v>42969</v>
      </c>
    </row>
    <row r="5" spans="1:25" ht="15.75" x14ac:dyDescent="0.25">
      <c r="A5" s="129">
        <v>42951</v>
      </c>
      <c r="B5" s="132" t="s">
        <v>639</v>
      </c>
      <c r="C5" s="36">
        <v>115338.67</v>
      </c>
      <c r="D5" s="127">
        <v>42959</v>
      </c>
      <c r="E5" s="36">
        <v>115338.67</v>
      </c>
      <c r="F5" s="128">
        <f t="shared" si="0"/>
        <v>0</v>
      </c>
      <c r="J5" s="164">
        <f>7135.14+22579.12</f>
        <v>29714.26</v>
      </c>
      <c r="K5" s="126" t="s">
        <v>604</v>
      </c>
      <c r="L5" s="130">
        <v>29714.26</v>
      </c>
      <c r="M5" s="165"/>
      <c r="N5" s="166" t="s">
        <v>113</v>
      </c>
      <c r="O5" s="167">
        <v>62470</v>
      </c>
      <c r="P5" s="168">
        <v>42947</v>
      </c>
      <c r="S5" s="164">
        <v>163.36000000000001</v>
      </c>
      <c r="T5" s="126" t="s">
        <v>671</v>
      </c>
      <c r="U5" s="130">
        <v>163.36000000000001</v>
      </c>
      <c r="V5" s="165"/>
      <c r="W5" s="166" t="s">
        <v>113</v>
      </c>
      <c r="X5" s="167">
        <v>3686</v>
      </c>
      <c r="Y5" s="168">
        <v>42968</v>
      </c>
    </row>
    <row r="6" spans="1:25" ht="15.75" x14ac:dyDescent="0.25">
      <c r="A6" s="129">
        <v>42952</v>
      </c>
      <c r="B6" s="126" t="s">
        <v>640</v>
      </c>
      <c r="C6" s="36">
        <v>82307.740000000005</v>
      </c>
      <c r="D6" s="127">
        <v>42959</v>
      </c>
      <c r="E6" s="36">
        <v>82307.740000000005</v>
      </c>
      <c r="F6" s="128">
        <f t="shared" si="0"/>
        <v>0</v>
      </c>
      <c r="J6" s="140">
        <v>14864.88</v>
      </c>
      <c r="K6" s="126" t="s">
        <v>605</v>
      </c>
      <c r="L6" s="130">
        <v>14864.88</v>
      </c>
      <c r="M6" s="165"/>
      <c r="N6" s="166" t="s">
        <v>113</v>
      </c>
      <c r="O6" s="167">
        <v>475</v>
      </c>
      <c r="P6" s="168">
        <v>42943</v>
      </c>
      <c r="S6" s="140">
        <v>422.68</v>
      </c>
      <c r="T6" s="126" t="s">
        <v>673</v>
      </c>
      <c r="U6" s="130">
        <v>422.68</v>
      </c>
      <c r="V6" s="165"/>
      <c r="W6" s="166" t="s">
        <v>113</v>
      </c>
      <c r="X6" s="167">
        <v>29680</v>
      </c>
      <c r="Y6" s="168">
        <v>42971</v>
      </c>
    </row>
    <row r="7" spans="1:25" ht="15.75" x14ac:dyDescent="0.25">
      <c r="A7" s="129">
        <v>42954</v>
      </c>
      <c r="B7" s="126" t="s">
        <v>641</v>
      </c>
      <c r="C7" s="130">
        <v>70182.3</v>
      </c>
      <c r="D7" s="133" t="s">
        <v>689</v>
      </c>
      <c r="E7" s="130">
        <f>43292.75+26889.55</f>
        <v>70182.3</v>
      </c>
      <c r="F7" s="128">
        <f t="shared" si="0"/>
        <v>0</v>
      </c>
      <c r="J7" s="140">
        <f>44335.59+63130.375</f>
        <v>107465.965</v>
      </c>
      <c r="K7" s="126" t="s">
        <v>607</v>
      </c>
      <c r="L7" s="130">
        <v>107465.34</v>
      </c>
      <c r="M7" s="165"/>
      <c r="N7" s="166">
        <v>3932354</v>
      </c>
      <c r="O7" s="167">
        <v>3970</v>
      </c>
      <c r="P7" s="168">
        <v>42939</v>
      </c>
      <c r="S7" s="140">
        <f>22807.24+22330.84</f>
        <v>45138.080000000002</v>
      </c>
      <c r="T7" s="126" t="s">
        <v>690</v>
      </c>
      <c r="U7" s="130">
        <v>62191.199999999997</v>
      </c>
      <c r="V7" s="165"/>
      <c r="W7" s="166" t="s">
        <v>113</v>
      </c>
      <c r="X7" s="167">
        <v>38966.5</v>
      </c>
      <c r="Y7" s="168">
        <v>42975</v>
      </c>
    </row>
    <row r="8" spans="1:25" ht="15.75" x14ac:dyDescent="0.25">
      <c r="A8" s="129">
        <v>42954</v>
      </c>
      <c r="B8" s="126" t="s">
        <v>642</v>
      </c>
      <c r="C8" s="130">
        <v>3229.72</v>
      </c>
      <c r="D8" s="127">
        <v>42969</v>
      </c>
      <c r="E8" s="130">
        <v>3229.72</v>
      </c>
      <c r="F8" s="128">
        <f t="shared" si="0"/>
        <v>0</v>
      </c>
      <c r="J8" s="140">
        <v>520</v>
      </c>
      <c r="K8" s="126" t="s">
        <v>606</v>
      </c>
      <c r="L8" s="4">
        <v>520</v>
      </c>
      <c r="M8" s="165"/>
      <c r="N8" s="166" t="s">
        <v>113</v>
      </c>
      <c r="O8" s="167">
        <v>86248</v>
      </c>
      <c r="P8" s="168">
        <v>42947</v>
      </c>
      <c r="S8" s="140">
        <f>6926.33+38966.46+23925.81</f>
        <v>69818.600000000006</v>
      </c>
      <c r="T8" s="126" t="s">
        <v>691</v>
      </c>
      <c r="U8" s="130">
        <v>69818.600000000006</v>
      </c>
      <c r="V8" s="165"/>
      <c r="W8" s="166" t="s">
        <v>113</v>
      </c>
      <c r="X8" s="167">
        <v>27397.5</v>
      </c>
      <c r="Y8" s="168">
        <v>42975</v>
      </c>
    </row>
    <row r="9" spans="1:25" ht="15.75" x14ac:dyDescent="0.25">
      <c r="A9" s="129">
        <v>42956</v>
      </c>
      <c r="B9" s="126" t="s">
        <v>643</v>
      </c>
      <c r="C9" s="130">
        <v>35147.58</v>
      </c>
      <c r="D9" s="127">
        <v>42969</v>
      </c>
      <c r="E9" s="130">
        <v>35147.58</v>
      </c>
      <c r="F9" s="128">
        <f t="shared" si="0"/>
        <v>0</v>
      </c>
      <c r="J9" s="164">
        <f>7732.03+31895.37</f>
        <v>39627.4</v>
      </c>
      <c r="K9" s="126" t="s">
        <v>616</v>
      </c>
      <c r="L9" s="4">
        <v>39627.4</v>
      </c>
      <c r="M9" s="165"/>
      <c r="N9" s="166" t="s">
        <v>113</v>
      </c>
      <c r="O9" s="167">
        <v>43469</v>
      </c>
      <c r="P9" s="168">
        <v>42947</v>
      </c>
      <c r="S9" s="164">
        <f>3471.71+2004.45</f>
        <v>5476.16</v>
      </c>
      <c r="T9" s="126" t="s">
        <v>692</v>
      </c>
      <c r="U9" s="130">
        <v>5476.16</v>
      </c>
      <c r="V9" s="165"/>
      <c r="W9" s="166">
        <v>3932718</v>
      </c>
      <c r="X9" s="167">
        <v>71606</v>
      </c>
      <c r="Y9" s="168">
        <v>42973</v>
      </c>
    </row>
    <row r="10" spans="1:25" ht="15.75" x14ac:dyDescent="0.25">
      <c r="A10" s="129">
        <v>42956</v>
      </c>
      <c r="B10" s="126" t="s">
        <v>644</v>
      </c>
      <c r="C10" s="130">
        <v>30344.06</v>
      </c>
      <c r="D10" s="127">
        <v>42969</v>
      </c>
      <c r="E10" s="130">
        <v>30344.06</v>
      </c>
      <c r="F10" s="128">
        <f t="shared" si="0"/>
        <v>0</v>
      </c>
      <c r="J10" s="140">
        <f>11578.25+46282.06+29609.13+18913.42</f>
        <v>106382.86</v>
      </c>
      <c r="K10" s="126" t="s">
        <v>617</v>
      </c>
      <c r="L10" s="130">
        <v>106382.86</v>
      </c>
      <c r="M10" s="165"/>
      <c r="N10" s="166" t="s">
        <v>113</v>
      </c>
      <c r="O10" s="167">
        <v>46282</v>
      </c>
      <c r="P10" s="168">
        <v>42949</v>
      </c>
      <c r="S10" s="140">
        <v>37063.21</v>
      </c>
      <c r="T10" s="126" t="s">
        <v>693</v>
      </c>
      <c r="U10" s="130">
        <v>37063.21</v>
      </c>
      <c r="V10" s="165"/>
      <c r="W10" s="166" t="s">
        <v>113</v>
      </c>
      <c r="X10" s="167">
        <v>64354</v>
      </c>
      <c r="Y10" s="168">
        <v>42976</v>
      </c>
    </row>
    <row r="11" spans="1:25" ht="15.75" x14ac:dyDescent="0.25">
      <c r="A11" s="129">
        <v>42956</v>
      </c>
      <c r="B11" s="126" t="s">
        <v>658</v>
      </c>
      <c r="C11" s="130">
        <v>592.84</v>
      </c>
      <c r="D11" s="127">
        <v>42969</v>
      </c>
      <c r="E11" s="130">
        <v>592.84</v>
      </c>
      <c r="F11" s="128">
        <f t="shared" si="0"/>
        <v>0</v>
      </c>
      <c r="J11" s="140">
        <v>251.6</v>
      </c>
      <c r="K11" s="126" t="s">
        <v>618</v>
      </c>
      <c r="L11" s="130">
        <v>251.6</v>
      </c>
      <c r="M11" s="165"/>
      <c r="N11" s="166" t="s">
        <v>113</v>
      </c>
      <c r="O11" s="167">
        <v>28165</v>
      </c>
      <c r="P11" s="168">
        <v>42949</v>
      </c>
      <c r="S11" s="140">
        <v>0</v>
      </c>
      <c r="T11" s="126" t="s">
        <v>694</v>
      </c>
      <c r="U11" s="130">
        <v>2600.98</v>
      </c>
      <c r="V11" s="165"/>
      <c r="W11" s="166">
        <v>3932536</v>
      </c>
      <c r="X11" s="167">
        <v>3639</v>
      </c>
      <c r="Y11" s="168">
        <v>42974</v>
      </c>
    </row>
    <row r="12" spans="1:25" ht="15.75" x14ac:dyDescent="0.25">
      <c r="A12" s="129">
        <v>42957</v>
      </c>
      <c r="B12" s="126" t="s">
        <v>645</v>
      </c>
      <c r="C12" s="130">
        <v>67361.34</v>
      </c>
      <c r="D12" s="127">
        <v>42969</v>
      </c>
      <c r="E12" s="130">
        <v>67361.34</v>
      </c>
      <c r="F12" s="128">
        <f t="shared" si="0"/>
        <v>0</v>
      </c>
      <c r="J12" s="140">
        <v>3465</v>
      </c>
      <c r="K12" s="126" t="s">
        <v>624</v>
      </c>
      <c r="L12" s="36">
        <v>3465</v>
      </c>
      <c r="M12" s="183"/>
      <c r="N12" s="184" t="s">
        <v>113</v>
      </c>
      <c r="O12" s="185">
        <v>1444</v>
      </c>
      <c r="P12" s="186">
        <v>42947</v>
      </c>
      <c r="S12" s="140">
        <f>32538.65+64354.56+39420.56</f>
        <v>136313.76999999999</v>
      </c>
      <c r="T12" s="126" t="s">
        <v>700</v>
      </c>
      <c r="U12" s="130">
        <v>104538.25</v>
      </c>
      <c r="V12" s="183"/>
      <c r="W12" s="184" t="s">
        <v>113</v>
      </c>
      <c r="X12" s="185">
        <v>35781.5</v>
      </c>
      <c r="Y12" s="186">
        <v>42976</v>
      </c>
    </row>
    <row r="13" spans="1:25" ht="16.5" thickBot="1" x14ac:dyDescent="0.3">
      <c r="A13" s="129">
        <v>42957</v>
      </c>
      <c r="B13" s="126" t="s">
        <v>659</v>
      </c>
      <c r="C13" s="130">
        <v>630</v>
      </c>
      <c r="D13" s="127">
        <v>42969</v>
      </c>
      <c r="E13" s="130">
        <v>630</v>
      </c>
      <c r="F13" s="128">
        <f t="shared" si="0"/>
        <v>0</v>
      </c>
      <c r="J13" s="164">
        <f>16574.11+26074.37</f>
        <v>42648.479999999996</v>
      </c>
      <c r="K13" s="143" t="s">
        <v>619</v>
      </c>
      <c r="L13" s="144">
        <v>42648.54</v>
      </c>
      <c r="M13" s="235"/>
      <c r="N13" s="184" t="s">
        <v>113</v>
      </c>
      <c r="O13" s="301">
        <v>39204</v>
      </c>
      <c r="P13" s="186">
        <v>42951</v>
      </c>
      <c r="S13" s="164">
        <v>0</v>
      </c>
      <c r="T13" s="372" t="s">
        <v>707</v>
      </c>
      <c r="U13" s="373">
        <v>30130.080000000002</v>
      </c>
      <c r="V13" s="235" t="s">
        <v>708</v>
      </c>
      <c r="W13" s="184"/>
      <c r="X13" s="301">
        <v>0</v>
      </c>
      <c r="Y13" s="186"/>
    </row>
    <row r="14" spans="1:25" ht="16.5" thickTop="1" x14ac:dyDescent="0.25">
      <c r="A14" s="129">
        <v>42959</v>
      </c>
      <c r="B14" s="126" t="s">
        <v>646</v>
      </c>
      <c r="C14" s="130">
        <v>84877.02</v>
      </c>
      <c r="D14" s="127">
        <v>42969</v>
      </c>
      <c r="E14" s="130">
        <v>84877.02</v>
      </c>
      <c r="F14" s="128">
        <f t="shared" si="0"/>
        <v>0</v>
      </c>
      <c r="J14" s="164">
        <f>10133.72+63655.5</f>
        <v>73789.22</v>
      </c>
      <c r="K14" s="126" t="s">
        <v>631</v>
      </c>
      <c r="L14" s="36">
        <v>73789.320000000007</v>
      </c>
      <c r="M14" s="187"/>
      <c r="N14" s="184" t="s">
        <v>113</v>
      </c>
      <c r="O14" s="302">
        <v>20500</v>
      </c>
      <c r="P14" s="186">
        <v>42951</v>
      </c>
      <c r="S14" s="164">
        <v>0</v>
      </c>
      <c r="T14" s="126"/>
      <c r="U14" s="130"/>
      <c r="V14" s="227" t="s">
        <v>709</v>
      </c>
      <c r="W14" s="184"/>
      <c r="X14" s="302">
        <v>0</v>
      </c>
      <c r="Y14" s="186"/>
    </row>
    <row r="15" spans="1:25" ht="16.5" thickBot="1" x14ac:dyDescent="0.3">
      <c r="A15" s="129">
        <v>42959</v>
      </c>
      <c r="B15" s="126" t="s">
        <v>660</v>
      </c>
      <c r="C15" s="130">
        <v>989.7</v>
      </c>
      <c r="D15" s="127">
        <v>42969</v>
      </c>
      <c r="E15" s="130">
        <v>989.7</v>
      </c>
      <c r="F15" s="128">
        <f t="shared" si="0"/>
        <v>0</v>
      </c>
      <c r="J15" s="164">
        <v>4893.26</v>
      </c>
      <c r="K15" s="126" t="s">
        <v>638</v>
      </c>
      <c r="L15" s="130">
        <v>4893.26</v>
      </c>
      <c r="M15" s="187"/>
      <c r="N15" s="184" t="s">
        <v>113</v>
      </c>
      <c r="O15" s="302">
        <v>15708</v>
      </c>
      <c r="P15" s="186">
        <v>42951</v>
      </c>
      <c r="S15" s="355">
        <v>0</v>
      </c>
      <c r="T15" s="143"/>
      <c r="U15" s="144">
        <v>0</v>
      </c>
      <c r="V15" s="374"/>
      <c r="W15" s="375"/>
      <c r="X15" s="356">
        <v>0</v>
      </c>
      <c r="Y15" s="222"/>
    </row>
    <row r="16" spans="1:25" ht="16.5" thickTop="1" x14ac:dyDescent="0.25">
      <c r="A16" s="129">
        <v>42959</v>
      </c>
      <c r="B16" s="126" t="s">
        <v>661</v>
      </c>
      <c r="C16" s="130">
        <v>2128</v>
      </c>
      <c r="D16" s="127">
        <v>42969</v>
      </c>
      <c r="E16" s="130">
        <v>2128</v>
      </c>
      <c r="F16" s="128">
        <f t="shared" si="0"/>
        <v>0</v>
      </c>
      <c r="J16" s="164">
        <f>9205.77+76428.22+29705</f>
        <v>115338.99</v>
      </c>
      <c r="K16" s="132" t="s">
        <v>639</v>
      </c>
      <c r="L16" s="36">
        <v>115338.67</v>
      </c>
      <c r="M16" s="227"/>
      <c r="N16" s="184">
        <v>3932385</v>
      </c>
      <c r="O16" s="302">
        <v>77755</v>
      </c>
      <c r="P16" s="186">
        <v>42952</v>
      </c>
      <c r="S16" s="351">
        <f>SUM(S3:S15)</f>
        <v>324711.76</v>
      </c>
      <c r="T16" s="176"/>
      <c r="U16" s="36">
        <f>SUM(U4:U15)</f>
        <v>324711.50000000006</v>
      </c>
      <c r="V16" s="246"/>
      <c r="W16" s="244"/>
      <c r="X16" s="303">
        <f>SUM(X4:X15)</f>
        <v>324711.5</v>
      </c>
      <c r="Y16" s="245"/>
    </row>
    <row r="17" spans="1:25" ht="15.75" x14ac:dyDescent="0.25">
      <c r="A17" s="129">
        <v>42961</v>
      </c>
      <c r="B17" s="126" t="s">
        <v>662</v>
      </c>
      <c r="C17" s="130">
        <v>65321.440000000002</v>
      </c>
      <c r="D17" s="127">
        <v>42969</v>
      </c>
      <c r="E17" s="130">
        <v>65321.440000000002</v>
      </c>
      <c r="F17" s="128">
        <f t="shared" si="0"/>
        <v>0</v>
      </c>
      <c r="J17" s="151">
        <f>12125.34+39449.15+30733.25</f>
        <v>82307.740000000005</v>
      </c>
      <c r="K17" s="126" t="s">
        <v>640</v>
      </c>
      <c r="L17" s="36">
        <v>82307.740000000005</v>
      </c>
      <c r="M17" s="187"/>
      <c r="N17" s="184" t="s">
        <v>113</v>
      </c>
      <c r="O17" s="302">
        <v>76428.5</v>
      </c>
      <c r="P17" s="186">
        <v>42954</v>
      </c>
      <c r="S17" s="248"/>
      <c r="T17" s="176"/>
      <c r="U17" s="36"/>
      <c r="V17" s="100"/>
      <c r="W17" s="244"/>
      <c r="X17" s="303"/>
      <c r="Y17" s="245"/>
    </row>
    <row r="18" spans="1:25" ht="15.75" x14ac:dyDescent="0.25">
      <c r="A18" s="129">
        <v>42962</v>
      </c>
      <c r="B18" s="126" t="s">
        <v>663</v>
      </c>
      <c r="C18" s="130">
        <v>9813.2199999999993</v>
      </c>
      <c r="D18" s="127">
        <v>42969</v>
      </c>
      <c r="E18" s="130">
        <v>9813.2199999999993</v>
      </c>
      <c r="F18" s="128">
        <f t="shared" si="0"/>
        <v>0</v>
      </c>
      <c r="J18" s="151">
        <f>5528.65+36807.13</f>
        <v>42335.78</v>
      </c>
      <c r="K18" s="126" t="s">
        <v>641</v>
      </c>
      <c r="L18" s="130">
        <v>43292.75</v>
      </c>
      <c r="M18" s="227" t="s">
        <v>125</v>
      </c>
      <c r="N18" s="184" t="s">
        <v>113</v>
      </c>
      <c r="O18" s="302">
        <v>41830.5</v>
      </c>
      <c r="P18" s="186">
        <v>42954</v>
      </c>
      <c r="S18" s="248"/>
      <c r="T18" s="176"/>
      <c r="U18" s="36"/>
      <c r="V18" s="246"/>
      <c r="W18" s="179"/>
      <c r="X18" s="303"/>
      <c r="Y18" s="245"/>
    </row>
    <row r="19" spans="1:25" ht="15.75" x14ac:dyDescent="0.25">
      <c r="A19" s="129">
        <v>42964</v>
      </c>
      <c r="B19" s="126" t="s">
        <v>668</v>
      </c>
      <c r="C19" s="130">
        <v>52022.94</v>
      </c>
      <c r="D19" s="127">
        <v>42969</v>
      </c>
      <c r="E19" s="130">
        <v>52022.94</v>
      </c>
      <c r="F19" s="128">
        <f t="shared" si="0"/>
        <v>0</v>
      </c>
      <c r="J19" s="209"/>
      <c r="K19" s="126"/>
      <c r="L19" s="130"/>
      <c r="M19" s="187"/>
      <c r="N19" s="184" t="s">
        <v>113</v>
      </c>
      <c r="O19" s="302">
        <v>39449</v>
      </c>
      <c r="P19" s="186">
        <v>42955</v>
      </c>
      <c r="S19" s="248"/>
      <c r="T19" s="176"/>
      <c r="U19" s="36"/>
      <c r="V19" s="100"/>
      <c r="W19" s="244"/>
      <c r="X19" s="303"/>
      <c r="Y19" s="245"/>
    </row>
    <row r="20" spans="1:25" ht="15.75" x14ac:dyDescent="0.25">
      <c r="A20" s="129">
        <v>42964</v>
      </c>
      <c r="B20" s="126" t="s">
        <v>669</v>
      </c>
      <c r="C20" s="130">
        <v>33576.47</v>
      </c>
      <c r="D20" s="127">
        <v>42969</v>
      </c>
      <c r="E20" s="130">
        <v>33576.47</v>
      </c>
      <c r="F20" s="128">
        <f t="shared" si="0"/>
        <v>0</v>
      </c>
      <c r="J20" s="209"/>
      <c r="K20" s="126"/>
      <c r="L20" s="130"/>
      <c r="M20" s="187"/>
      <c r="N20" s="184">
        <v>3321671</v>
      </c>
      <c r="O20" s="302">
        <v>36262</v>
      </c>
      <c r="P20" s="186">
        <v>42956</v>
      </c>
      <c r="S20" s="248"/>
      <c r="T20" s="176"/>
      <c r="U20" s="36"/>
      <c r="V20" s="246"/>
      <c r="W20" s="244"/>
      <c r="X20" s="303"/>
      <c r="Y20" s="245"/>
    </row>
    <row r="21" spans="1:25" ht="15.75" x14ac:dyDescent="0.25">
      <c r="A21" s="129">
        <v>42964</v>
      </c>
      <c r="B21" s="126" t="s">
        <v>670</v>
      </c>
      <c r="C21" s="130">
        <v>136</v>
      </c>
      <c r="D21" s="127">
        <v>42969</v>
      </c>
      <c r="E21" s="130">
        <v>136</v>
      </c>
      <c r="F21" s="128">
        <f t="shared" si="0"/>
        <v>0</v>
      </c>
      <c r="J21" s="209"/>
      <c r="K21" s="126"/>
      <c r="L21" s="130"/>
      <c r="M21" s="187"/>
      <c r="N21" s="184" t="s">
        <v>113</v>
      </c>
      <c r="O21" s="302">
        <v>36807</v>
      </c>
      <c r="P21" s="186">
        <v>42957</v>
      </c>
      <c r="S21" s="248"/>
      <c r="T21" s="176"/>
      <c r="U21" s="36"/>
      <c r="V21" s="100"/>
      <c r="W21" s="244"/>
      <c r="X21" s="303"/>
      <c r="Y21" s="245"/>
    </row>
    <row r="22" spans="1:25" ht="15.75" x14ac:dyDescent="0.25">
      <c r="A22" s="129">
        <v>42966</v>
      </c>
      <c r="B22" s="126" t="s">
        <v>672</v>
      </c>
      <c r="C22" s="130">
        <v>133276.70000000001</v>
      </c>
      <c r="D22" s="127">
        <v>42969</v>
      </c>
      <c r="E22" s="130">
        <v>133276.70000000001</v>
      </c>
      <c r="F22" s="128">
        <f t="shared" si="0"/>
        <v>0</v>
      </c>
      <c r="J22" s="209"/>
      <c r="K22" s="126"/>
      <c r="L22" s="130"/>
      <c r="M22" s="224"/>
      <c r="N22" s="184" t="s">
        <v>113</v>
      </c>
      <c r="O22" s="301">
        <v>0</v>
      </c>
      <c r="P22" s="186"/>
      <c r="S22" s="248"/>
      <c r="T22" s="176"/>
      <c r="U22" s="36"/>
      <c r="V22" s="100"/>
      <c r="W22" s="244"/>
      <c r="X22" s="303"/>
      <c r="Y22" s="245"/>
    </row>
    <row r="23" spans="1:25" ht="15.75" x14ac:dyDescent="0.25">
      <c r="A23" s="129">
        <v>42966</v>
      </c>
      <c r="B23" s="126" t="s">
        <v>674</v>
      </c>
      <c r="C23" s="130">
        <v>21519.9</v>
      </c>
      <c r="D23" s="133" t="s">
        <v>710</v>
      </c>
      <c r="E23" s="130">
        <f>9212.92+12306.98</f>
        <v>21519.9</v>
      </c>
      <c r="F23" s="128">
        <f t="shared" si="0"/>
        <v>0</v>
      </c>
      <c r="J23" s="209"/>
      <c r="K23" s="126"/>
      <c r="L23" s="130"/>
      <c r="M23" s="187"/>
      <c r="N23" s="166" t="s">
        <v>113</v>
      </c>
      <c r="O23" s="188">
        <v>0</v>
      </c>
      <c r="P23" s="168"/>
      <c r="S23" s="248"/>
      <c r="T23" s="176"/>
      <c r="U23" s="36"/>
      <c r="V23" s="100"/>
      <c r="W23" s="244"/>
      <c r="X23" s="247"/>
      <c r="Y23" s="245"/>
    </row>
    <row r="24" spans="1:25" ht="16.5" thickBot="1" x14ac:dyDescent="0.3">
      <c r="A24" s="129">
        <v>42966</v>
      </c>
      <c r="B24" s="126" t="s">
        <v>671</v>
      </c>
      <c r="C24" s="130">
        <v>163.36000000000001</v>
      </c>
      <c r="D24" s="127">
        <v>42976</v>
      </c>
      <c r="E24" s="130">
        <v>163.36000000000001</v>
      </c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  <c r="S24" s="177"/>
      <c r="T24" s="176"/>
      <c r="U24" s="36"/>
      <c r="V24" s="100"/>
      <c r="W24" s="244"/>
      <c r="X24" s="249"/>
      <c r="Y24" s="100"/>
    </row>
    <row r="25" spans="1:25" ht="16.5" thickTop="1" x14ac:dyDescent="0.25">
      <c r="A25" s="129">
        <v>42968</v>
      </c>
      <c r="B25" s="126" t="s">
        <v>673</v>
      </c>
      <c r="C25" s="130">
        <v>422.68</v>
      </c>
      <c r="D25" s="127">
        <v>42976</v>
      </c>
      <c r="E25" s="130">
        <v>422.68</v>
      </c>
      <c r="F25" s="128">
        <f t="shared" si="0"/>
        <v>0</v>
      </c>
      <c r="J25" s="160">
        <f>SUM(J4:J24)</f>
        <v>670315.45499999996</v>
      </c>
      <c r="K25" s="163"/>
      <c r="L25" s="153">
        <f>SUM(L4:L24)</f>
        <v>670312</v>
      </c>
      <c r="M25" s="163"/>
      <c r="N25" s="163"/>
      <c r="O25" s="153">
        <f>SUM(O4:O24)</f>
        <v>670312</v>
      </c>
      <c r="P25" s="163"/>
      <c r="S25" s="352"/>
      <c r="T25" s="353"/>
      <c r="U25" s="354"/>
      <c r="V25" s="353"/>
      <c r="W25" s="353"/>
      <c r="X25" s="354"/>
      <c r="Y25" s="353"/>
    </row>
    <row r="26" spans="1:25" x14ac:dyDescent="0.25">
      <c r="A26" s="129">
        <v>42968</v>
      </c>
      <c r="B26" s="126" t="s">
        <v>690</v>
      </c>
      <c r="C26" s="130">
        <v>62191.199999999997</v>
      </c>
      <c r="D26" s="127">
        <v>42976</v>
      </c>
      <c r="E26" s="130">
        <v>62191.199999999997</v>
      </c>
      <c r="F26" s="128">
        <f t="shared" si="0"/>
        <v>0</v>
      </c>
      <c r="S26" s="100"/>
      <c r="T26" s="100"/>
      <c r="U26" s="100"/>
      <c r="V26" s="100"/>
      <c r="W26" s="100"/>
      <c r="X26" s="100"/>
      <c r="Y26" s="100"/>
    </row>
    <row r="27" spans="1:25" x14ac:dyDescent="0.25">
      <c r="A27" s="236">
        <v>42969</v>
      </c>
      <c r="B27" s="126" t="s">
        <v>691</v>
      </c>
      <c r="C27" s="130">
        <v>69818.600000000006</v>
      </c>
      <c r="D27" s="127">
        <v>42976</v>
      </c>
      <c r="E27" s="130">
        <v>69818.600000000006</v>
      </c>
      <c r="F27" s="128">
        <f t="shared" si="0"/>
        <v>0</v>
      </c>
    </row>
    <row r="28" spans="1:25" ht="15.75" thickBot="1" x14ac:dyDescent="0.3">
      <c r="A28" s="236">
        <v>42970</v>
      </c>
      <c r="B28" s="126" t="s">
        <v>692</v>
      </c>
      <c r="C28" s="130">
        <v>5476.16</v>
      </c>
      <c r="D28" s="127">
        <v>42976</v>
      </c>
      <c r="E28" s="130">
        <v>5476.16</v>
      </c>
      <c r="F28" s="128">
        <f t="shared" si="0"/>
        <v>0</v>
      </c>
    </row>
    <row r="29" spans="1:25" ht="19.5" thickBot="1" x14ac:dyDescent="0.35">
      <c r="A29" s="236">
        <v>42971</v>
      </c>
      <c r="B29" s="126" t="s">
        <v>693</v>
      </c>
      <c r="C29" s="130">
        <v>37063.21</v>
      </c>
      <c r="D29" s="127">
        <v>42976</v>
      </c>
      <c r="E29" s="130">
        <v>37063.21</v>
      </c>
      <c r="F29" s="128">
        <f t="shared" si="0"/>
        <v>0</v>
      </c>
      <c r="J29" s="151"/>
      <c r="K29" t="s">
        <v>64</v>
      </c>
      <c r="L29" s="154" t="s">
        <v>105</v>
      </c>
      <c r="M29" s="155"/>
      <c r="N29" s="156"/>
      <c r="O29" s="242">
        <v>42969</v>
      </c>
      <c r="P29" s="158"/>
    </row>
    <row r="30" spans="1:25" ht="15.75" x14ac:dyDescent="0.25">
      <c r="A30" s="236">
        <v>42972</v>
      </c>
      <c r="B30" s="126" t="s">
        <v>700</v>
      </c>
      <c r="C30" s="130">
        <v>104538.25</v>
      </c>
      <c r="D30" s="127">
        <v>42976</v>
      </c>
      <c r="E30" s="130">
        <v>104538.25</v>
      </c>
      <c r="F30" s="128">
        <f t="shared" si="0"/>
        <v>0</v>
      </c>
      <c r="J30" s="151"/>
      <c r="K30" s="159"/>
      <c r="L30" s="160"/>
      <c r="M30" s="159"/>
      <c r="N30" s="161"/>
      <c r="O30" s="160"/>
      <c r="P30" s="162"/>
    </row>
    <row r="31" spans="1:25" ht="15.75" x14ac:dyDescent="0.25">
      <c r="A31" s="236">
        <v>42973</v>
      </c>
      <c r="B31" s="126" t="s">
        <v>694</v>
      </c>
      <c r="C31" s="130">
        <v>2600.98</v>
      </c>
      <c r="D31" s="127">
        <v>42976</v>
      </c>
      <c r="E31" s="130">
        <v>2600.98</v>
      </c>
      <c r="F31" s="128">
        <f t="shared" si="0"/>
        <v>0</v>
      </c>
      <c r="J31" s="151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5" ht="15.75" x14ac:dyDescent="0.25">
      <c r="A32" s="236">
        <v>42975</v>
      </c>
      <c r="B32" s="126" t="s">
        <v>707</v>
      </c>
      <c r="C32" s="130">
        <v>49961.68</v>
      </c>
      <c r="D32" s="136" t="s">
        <v>751</v>
      </c>
      <c r="E32" s="137">
        <f>30130.08+19831.6</f>
        <v>49961.68</v>
      </c>
      <c r="F32" s="128">
        <f t="shared" si="0"/>
        <v>0</v>
      </c>
      <c r="J32" s="164">
        <v>27846.52</v>
      </c>
      <c r="K32" s="126" t="s">
        <v>641</v>
      </c>
      <c r="L32" s="130">
        <v>26889.55</v>
      </c>
      <c r="M32" s="165" t="s">
        <v>111</v>
      </c>
      <c r="N32" s="166">
        <v>3321696</v>
      </c>
      <c r="O32" s="167">
        <v>27965.5</v>
      </c>
      <c r="P32" s="168">
        <v>42957</v>
      </c>
    </row>
    <row r="33" spans="1:16" ht="15.75" x14ac:dyDescent="0.25">
      <c r="A33" s="236">
        <v>42976</v>
      </c>
      <c r="B33" s="126" t="s">
        <v>711</v>
      </c>
      <c r="C33" s="130">
        <v>76588.929999999993</v>
      </c>
      <c r="D33" s="385">
        <v>42987</v>
      </c>
      <c r="E33" s="137">
        <v>76588.929999999993</v>
      </c>
      <c r="F33" s="128">
        <f t="shared" si="0"/>
        <v>0</v>
      </c>
      <c r="J33" s="164">
        <f>119.35+3110.5</f>
        <v>3229.85</v>
      </c>
      <c r="K33" s="126" t="s">
        <v>642</v>
      </c>
      <c r="L33" s="130">
        <v>3229.72</v>
      </c>
      <c r="M33" s="165"/>
      <c r="N33" s="166">
        <v>3321695</v>
      </c>
      <c r="O33" s="167">
        <v>75222.5</v>
      </c>
      <c r="P33" s="168">
        <v>42958</v>
      </c>
    </row>
    <row r="34" spans="1:16" ht="15.75" x14ac:dyDescent="0.25">
      <c r="A34" s="236">
        <v>42978</v>
      </c>
      <c r="B34" s="126" t="s">
        <v>712</v>
      </c>
      <c r="C34" s="130">
        <v>9486.08</v>
      </c>
      <c r="D34" s="385">
        <v>42987</v>
      </c>
      <c r="E34" s="137">
        <v>9486.08</v>
      </c>
      <c r="F34" s="128">
        <f t="shared" si="0"/>
        <v>0</v>
      </c>
      <c r="J34" s="140">
        <v>35147.58</v>
      </c>
      <c r="K34" s="126" t="s">
        <v>643</v>
      </c>
      <c r="L34" s="130">
        <v>35147.58</v>
      </c>
      <c r="M34" s="165"/>
      <c r="N34" s="166" t="s">
        <v>113</v>
      </c>
      <c r="O34" s="167">
        <v>90</v>
      </c>
      <c r="P34" s="168">
        <v>42963</v>
      </c>
    </row>
    <row r="35" spans="1:16" ht="15.75" x14ac:dyDescent="0.25">
      <c r="A35" s="236"/>
      <c r="B35" s="126"/>
      <c r="C35" s="130">
        <v>22157.62</v>
      </c>
      <c r="D35" s="202" t="s">
        <v>728</v>
      </c>
      <c r="E35" s="130">
        <v>22157.62</v>
      </c>
      <c r="F35" s="128">
        <f t="shared" si="0"/>
        <v>0</v>
      </c>
      <c r="J35" s="140">
        <v>30344.06</v>
      </c>
      <c r="K35" s="126" t="s">
        <v>644</v>
      </c>
      <c r="L35" s="130">
        <v>30344.06</v>
      </c>
      <c r="M35" s="165"/>
      <c r="N35" s="166">
        <v>3932701</v>
      </c>
      <c r="O35" s="167">
        <v>59386</v>
      </c>
      <c r="P35" s="168">
        <v>42961</v>
      </c>
    </row>
    <row r="36" spans="1:16" ht="15.75" x14ac:dyDescent="0.25">
      <c r="A36" s="236"/>
      <c r="B36" s="126"/>
      <c r="C36" s="36"/>
      <c r="D36" s="202"/>
      <c r="E36" s="130"/>
      <c r="F36" s="128">
        <f t="shared" si="0"/>
        <v>0</v>
      </c>
      <c r="J36" s="140">
        <v>592.84</v>
      </c>
      <c r="K36" s="126" t="s">
        <v>658</v>
      </c>
      <c r="L36" s="130">
        <v>592.84</v>
      </c>
      <c r="M36" s="165"/>
      <c r="N36" s="166">
        <v>3932505</v>
      </c>
      <c r="O36" s="167">
        <v>5695</v>
      </c>
      <c r="P36" s="168">
        <v>42959</v>
      </c>
    </row>
    <row r="37" spans="1:16" ht="16.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  <c r="J37" s="164">
        <f>5397.25+61964.09</f>
        <v>67361.34</v>
      </c>
      <c r="K37" s="126" t="s">
        <v>645</v>
      </c>
      <c r="L37" s="130">
        <v>67361.34</v>
      </c>
      <c r="M37" s="165"/>
      <c r="N37" s="166">
        <v>3321700</v>
      </c>
      <c r="O37" s="167">
        <v>53905.5</v>
      </c>
      <c r="P37" s="168">
        <v>42960</v>
      </c>
    </row>
    <row r="38" spans="1:16" ht="16.5" thickTop="1" x14ac:dyDescent="0.25">
      <c r="B38" s="44"/>
      <c r="C38" s="130">
        <f>SUM(C3:C37)</f>
        <v>1327946.97</v>
      </c>
      <c r="D38" s="148"/>
      <c r="E38" s="140">
        <f>SUM(E3:E37)</f>
        <v>1327946.97</v>
      </c>
      <c r="F38" s="130">
        <f>SUM(F3:F37)</f>
        <v>0</v>
      </c>
      <c r="J38" s="140">
        <v>630</v>
      </c>
      <c r="K38" s="126" t="s">
        <v>659</v>
      </c>
      <c r="L38" s="130">
        <v>630</v>
      </c>
      <c r="M38" s="165"/>
      <c r="N38" s="166" t="s">
        <v>113</v>
      </c>
      <c r="O38" s="167">
        <v>2800</v>
      </c>
      <c r="P38" s="168">
        <v>42968</v>
      </c>
    </row>
    <row r="39" spans="1:16" ht="15.75" x14ac:dyDescent="0.25">
      <c r="A39"/>
      <c r="B39" s="149"/>
      <c r="D39" s="149"/>
      <c r="J39" s="140">
        <f>91.12+56705.62+28080.28</f>
        <v>84877.02</v>
      </c>
      <c r="K39" s="126" t="s">
        <v>646</v>
      </c>
      <c r="L39" s="130">
        <v>84877.02</v>
      </c>
      <c r="M39" s="165"/>
      <c r="N39" s="166">
        <v>3932703</v>
      </c>
      <c r="O39" s="167">
        <v>35077</v>
      </c>
      <c r="P39" s="168">
        <v>42962</v>
      </c>
    </row>
    <row r="40" spans="1:16" ht="15.75" x14ac:dyDescent="0.25">
      <c r="A40"/>
      <c r="B40" s="149">
        <v>42948</v>
      </c>
      <c r="C40" s="140">
        <v>0</v>
      </c>
      <c r="D40" s="149"/>
      <c r="J40" s="140">
        <v>989.7</v>
      </c>
      <c r="K40" s="126" t="s">
        <v>660</v>
      </c>
      <c r="L40" s="130">
        <v>989.7</v>
      </c>
      <c r="M40" s="183"/>
      <c r="N40" s="184">
        <v>3932704</v>
      </c>
      <c r="O40" s="185">
        <v>39703</v>
      </c>
      <c r="P40" s="186">
        <v>42963</v>
      </c>
    </row>
    <row r="41" spans="1:16" ht="15.75" x14ac:dyDescent="0.25">
      <c r="A41"/>
      <c r="B41" s="149">
        <v>42949</v>
      </c>
      <c r="C41" s="140">
        <v>260</v>
      </c>
      <c r="D41" s="149" t="s">
        <v>167</v>
      </c>
      <c r="J41" s="164">
        <v>2128</v>
      </c>
      <c r="K41" s="126" t="s">
        <v>661</v>
      </c>
      <c r="L41" s="130">
        <v>2128</v>
      </c>
      <c r="M41" s="235"/>
      <c r="N41" s="184">
        <v>3932708</v>
      </c>
      <c r="O41" s="301">
        <v>28435</v>
      </c>
      <c r="P41" s="186">
        <v>42964</v>
      </c>
    </row>
    <row r="42" spans="1:16" ht="15.75" x14ac:dyDescent="0.25">
      <c r="A42"/>
      <c r="B42" s="149">
        <v>42950</v>
      </c>
      <c r="C42" s="140">
        <v>481</v>
      </c>
      <c r="D42" s="149" t="s">
        <v>634</v>
      </c>
      <c r="F42" s="22"/>
      <c r="J42" s="164">
        <f>6997.09+39702.75+18621.6</f>
        <v>65321.439999999995</v>
      </c>
      <c r="K42" s="126" t="s">
        <v>662</v>
      </c>
      <c r="L42" s="130">
        <v>65321.440000000002</v>
      </c>
      <c r="M42" s="187"/>
      <c r="N42" s="184" t="s">
        <v>113</v>
      </c>
      <c r="O42" s="302">
        <v>40553</v>
      </c>
      <c r="P42" s="186">
        <v>42965</v>
      </c>
    </row>
    <row r="43" spans="1:16" ht="15.75" x14ac:dyDescent="0.25">
      <c r="A43"/>
      <c r="B43" s="149">
        <v>42951</v>
      </c>
      <c r="C43" s="140">
        <v>0</v>
      </c>
      <c r="D43" s="149"/>
      <c r="F43" s="22"/>
      <c r="J43" s="164">
        <v>9813.2199999999993</v>
      </c>
      <c r="K43" s="126" t="s">
        <v>663</v>
      </c>
      <c r="L43" s="130">
        <v>9813.2199999999993</v>
      </c>
      <c r="M43" s="187"/>
      <c r="N43" s="369" t="s">
        <v>113</v>
      </c>
      <c r="O43" s="302">
        <v>3046</v>
      </c>
      <c r="P43" s="186">
        <v>42964</v>
      </c>
    </row>
    <row r="44" spans="1:16" ht="15.75" x14ac:dyDescent="0.25">
      <c r="A44"/>
      <c r="B44" s="149">
        <v>42952</v>
      </c>
      <c r="C44" s="140">
        <v>1972.5</v>
      </c>
      <c r="D44" s="149" t="s">
        <v>650</v>
      </c>
      <c r="F44" s="22"/>
      <c r="J44" s="164">
        <f>43598.45+8424.5</f>
        <v>52022.95</v>
      </c>
      <c r="K44" s="126" t="s">
        <v>668</v>
      </c>
      <c r="L44" s="130">
        <v>52022.94</v>
      </c>
      <c r="M44" s="227"/>
      <c r="N44" s="184" t="s">
        <v>113</v>
      </c>
      <c r="O44" s="302">
        <v>59190</v>
      </c>
      <c r="P44" s="186">
        <v>42968</v>
      </c>
    </row>
    <row r="45" spans="1:16" ht="15.75" x14ac:dyDescent="0.25">
      <c r="A45"/>
      <c r="B45" s="149">
        <v>42953</v>
      </c>
      <c r="C45" s="140">
        <v>0</v>
      </c>
      <c r="D45" s="149"/>
      <c r="F45" s="22"/>
      <c r="J45" s="151">
        <v>33576.47</v>
      </c>
      <c r="K45" s="126" t="s">
        <v>669</v>
      </c>
      <c r="L45" s="130">
        <v>33576.47</v>
      </c>
      <c r="M45" s="187"/>
      <c r="N45" s="184" t="s">
        <v>113</v>
      </c>
      <c r="O45" s="302">
        <v>70018</v>
      </c>
      <c r="P45" s="186">
        <v>42968</v>
      </c>
    </row>
    <row r="46" spans="1:16" ht="15.75" x14ac:dyDescent="0.25">
      <c r="A46"/>
      <c r="B46" s="149">
        <v>42954</v>
      </c>
      <c r="C46" s="140">
        <v>0</v>
      </c>
      <c r="D46" s="149"/>
      <c r="F46" s="22"/>
      <c r="I46" s="4">
        <v>17053</v>
      </c>
      <c r="J46" s="151">
        <v>136</v>
      </c>
      <c r="K46" s="126" t="s">
        <v>670</v>
      </c>
      <c r="L46" s="130">
        <v>136</v>
      </c>
      <c r="M46" s="227"/>
      <c r="N46" s="369" t="s">
        <v>113</v>
      </c>
      <c r="O46" s="302">
        <v>2863</v>
      </c>
      <c r="P46" s="186">
        <v>42967</v>
      </c>
    </row>
    <row r="47" spans="1:16" ht="15.75" x14ac:dyDescent="0.25">
      <c r="A47"/>
      <c r="B47" s="149">
        <v>42955</v>
      </c>
      <c r="C47" s="140">
        <v>0</v>
      </c>
      <c r="D47" s="149"/>
      <c r="F47" s="22"/>
      <c r="J47" s="209">
        <f>70017.96+54462.83</f>
        <v>124480.79000000001</v>
      </c>
      <c r="K47" s="126" t="s">
        <v>672</v>
      </c>
      <c r="L47" s="130">
        <v>133276.70000000001</v>
      </c>
      <c r="M47" s="187"/>
      <c r="N47" s="184" t="s">
        <v>113</v>
      </c>
      <c r="O47" s="302">
        <v>51600</v>
      </c>
      <c r="P47" s="186">
        <v>42968</v>
      </c>
    </row>
    <row r="48" spans="1:16" ht="15.75" x14ac:dyDescent="0.25">
      <c r="A48"/>
      <c r="B48" s="149">
        <v>42956</v>
      </c>
      <c r="C48" s="140">
        <v>955</v>
      </c>
      <c r="D48" s="149" t="s">
        <v>656</v>
      </c>
      <c r="F48" s="22"/>
      <c r="J48" s="209"/>
      <c r="K48" s="126" t="s">
        <v>674</v>
      </c>
      <c r="L48" s="130">
        <v>9212.92</v>
      </c>
      <c r="M48" s="227" t="s">
        <v>125</v>
      </c>
      <c r="N48" s="184" t="s">
        <v>113</v>
      </c>
      <c r="O48" s="302">
        <v>0</v>
      </c>
      <c r="P48" s="186"/>
    </row>
    <row r="49" spans="1:16" ht="15.75" x14ac:dyDescent="0.25">
      <c r="A49"/>
      <c r="B49" s="149">
        <v>42957</v>
      </c>
      <c r="C49" s="140">
        <v>0</v>
      </c>
      <c r="D49" s="149"/>
      <c r="F49" s="22"/>
      <c r="J49" s="209"/>
      <c r="K49" s="126"/>
      <c r="L49" s="130"/>
      <c r="M49" s="187"/>
      <c r="N49" s="184" t="s">
        <v>113</v>
      </c>
      <c r="O49" s="302">
        <v>0</v>
      </c>
      <c r="P49" s="186"/>
    </row>
    <row r="50" spans="1:16" ht="15.75" x14ac:dyDescent="0.25">
      <c r="A50"/>
      <c r="B50" s="149">
        <v>42958</v>
      </c>
      <c r="C50" s="140">
        <v>0</v>
      </c>
      <c r="D50" s="149"/>
      <c r="F50" s="22"/>
      <c r="J50" s="209"/>
      <c r="K50" s="126"/>
      <c r="L50" s="130"/>
      <c r="M50" s="224"/>
      <c r="N50" s="184" t="s">
        <v>113</v>
      </c>
      <c r="O50" s="301">
        <v>0</v>
      </c>
      <c r="P50" s="186"/>
    </row>
    <row r="51" spans="1:16" ht="15.75" x14ac:dyDescent="0.25">
      <c r="A51"/>
      <c r="B51" s="149">
        <v>42959</v>
      </c>
      <c r="C51" s="140">
        <v>434</v>
      </c>
      <c r="D51" s="149" t="s">
        <v>364</v>
      </c>
      <c r="E51"/>
      <c r="F51" s="22"/>
      <c r="J51" s="209"/>
      <c r="K51" s="126"/>
      <c r="L51" s="130"/>
      <c r="M51" s="187"/>
      <c r="N51" s="166" t="s">
        <v>113</v>
      </c>
      <c r="O51" s="188">
        <v>0</v>
      </c>
      <c r="P51" s="168"/>
    </row>
    <row r="52" spans="1:16" ht="16.5" thickBot="1" x14ac:dyDescent="0.3">
      <c r="A52"/>
      <c r="B52" s="149">
        <v>42960</v>
      </c>
      <c r="C52" s="140">
        <v>0</v>
      </c>
      <c r="D52" s="149"/>
      <c r="E52"/>
      <c r="F52" s="22"/>
      <c r="J52" s="342"/>
      <c r="K52" s="143"/>
      <c r="L52" s="345"/>
      <c r="M52" s="207"/>
      <c r="N52" s="343" t="s">
        <v>113</v>
      </c>
      <c r="O52" s="344" t="s">
        <v>64</v>
      </c>
      <c r="P52" s="207"/>
    </row>
    <row r="53" spans="1:16" ht="16.5" thickTop="1" x14ac:dyDescent="0.25">
      <c r="A53"/>
      <c r="B53" s="149">
        <v>42961</v>
      </c>
      <c r="C53" s="140">
        <v>0</v>
      </c>
      <c r="D53" s="149"/>
      <c r="E53"/>
      <c r="F53" s="22"/>
      <c r="J53" s="160">
        <f>SUM(J31:J52)</f>
        <v>538497.78</v>
      </c>
      <c r="K53" s="163"/>
      <c r="L53" s="153">
        <f>SUM(L32:L52)</f>
        <v>555549.50000000012</v>
      </c>
      <c r="M53" s="163"/>
      <c r="N53" s="163"/>
      <c r="O53" s="153">
        <f>SUM(O32:O52)</f>
        <v>555549.5</v>
      </c>
      <c r="P53" s="163"/>
    </row>
    <row r="54" spans="1:16" x14ac:dyDescent="0.25">
      <c r="A54"/>
      <c r="B54" s="149">
        <v>42962</v>
      </c>
      <c r="C54" s="140">
        <v>707.12</v>
      </c>
      <c r="D54" s="149" t="s">
        <v>365</v>
      </c>
      <c r="E54"/>
      <c r="F54" s="22"/>
    </row>
    <row r="55" spans="1:16" x14ac:dyDescent="0.25">
      <c r="A55"/>
      <c r="B55" s="149">
        <v>42963</v>
      </c>
      <c r="C55" s="140">
        <v>520</v>
      </c>
      <c r="D55" s="149" t="s">
        <v>167</v>
      </c>
      <c r="E55"/>
      <c r="F55" s="22"/>
      <c r="H55" s="100"/>
    </row>
    <row r="56" spans="1:16" x14ac:dyDescent="0.25">
      <c r="A56"/>
      <c r="B56" s="149">
        <v>42964</v>
      </c>
      <c r="C56" s="140">
        <v>493</v>
      </c>
      <c r="D56" s="149" t="s">
        <v>97</v>
      </c>
      <c r="E56"/>
      <c r="F56" s="22"/>
      <c r="H56" s="100"/>
    </row>
    <row r="57" spans="1:16" x14ac:dyDescent="0.25">
      <c r="B57" s="149">
        <v>42965</v>
      </c>
      <c r="C57" s="140">
        <v>495</v>
      </c>
      <c r="D57" s="149" t="s">
        <v>97</v>
      </c>
      <c r="E57"/>
      <c r="H57" s="100"/>
    </row>
    <row r="58" spans="1:16" x14ac:dyDescent="0.25">
      <c r="B58" s="149">
        <v>42966</v>
      </c>
      <c r="C58" s="140">
        <v>520</v>
      </c>
      <c r="D58" s="149" t="s">
        <v>167</v>
      </c>
      <c r="E58"/>
      <c r="H58" s="100"/>
    </row>
    <row r="59" spans="1:16" x14ac:dyDescent="0.25">
      <c r="B59" s="149">
        <v>42967</v>
      </c>
      <c r="C59" s="140">
        <v>435</v>
      </c>
      <c r="D59" s="149" t="s">
        <v>698</v>
      </c>
      <c r="E59"/>
      <c r="H59" s="100"/>
    </row>
    <row r="60" spans="1:16" x14ac:dyDescent="0.25">
      <c r="B60" s="149">
        <v>42968</v>
      </c>
      <c r="C60" s="140">
        <v>821</v>
      </c>
      <c r="D60" s="149" t="s">
        <v>365</v>
      </c>
      <c r="E60"/>
      <c r="H60" s="100"/>
    </row>
    <row r="61" spans="1:16" x14ac:dyDescent="0.25">
      <c r="B61" s="149">
        <v>42969</v>
      </c>
      <c r="C61" s="140">
        <v>0</v>
      </c>
      <c r="D61" s="149"/>
      <c r="E61"/>
    </row>
    <row r="62" spans="1:16" x14ac:dyDescent="0.25">
      <c r="B62" s="149">
        <v>42970</v>
      </c>
      <c r="C62" s="140">
        <v>520</v>
      </c>
      <c r="D62" s="149" t="s">
        <v>167</v>
      </c>
      <c r="E62"/>
    </row>
    <row r="63" spans="1:16" x14ac:dyDescent="0.25">
      <c r="B63" s="149">
        <v>42971</v>
      </c>
      <c r="C63" s="140">
        <v>475</v>
      </c>
      <c r="D63" s="149" t="s">
        <v>97</v>
      </c>
      <c r="E63"/>
    </row>
    <row r="64" spans="1:16" x14ac:dyDescent="0.25">
      <c r="B64" s="149">
        <v>42972</v>
      </c>
      <c r="C64" s="140">
        <v>0</v>
      </c>
      <c r="D64"/>
      <c r="E64"/>
    </row>
    <row r="65" spans="2:5" x14ac:dyDescent="0.25">
      <c r="B65" s="149">
        <v>42973</v>
      </c>
      <c r="C65" s="164">
        <v>2182</v>
      </c>
      <c r="D65" s="149" t="s">
        <v>181</v>
      </c>
      <c r="E65"/>
    </row>
    <row r="66" spans="2:5" x14ac:dyDescent="0.25">
      <c r="B66" s="149">
        <v>42974</v>
      </c>
    </row>
    <row r="67" spans="2:5" x14ac:dyDescent="0.25">
      <c r="B67" s="149">
        <v>42975</v>
      </c>
      <c r="C67" s="140">
        <v>1196</v>
      </c>
      <c r="D67" s="149" t="s">
        <v>97</v>
      </c>
    </row>
    <row r="68" spans="2:5" x14ac:dyDescent="0.25">
      <c r="B68" s="149">
        <v>42976</v>
      </c>
      <c r="C68" s="140">
        <v>8698</v>
      </c>
      <c r="D68" s="22" t="s">
        <v>179</v>
      </c>
    </row>
    <row r="69" spans="2:5" x14ac:dyDescent="0.25">
      <c r="B69" s="149">
        <v>42977</v>
      </c>
      <c r="C69" s="140">
        <v>923</v>
      </c>
      <c r="D69" s="149" t="s">
        <v>97</v>
      </c>
    </row>
    <row r="70" spans="2:5" x14ac:dyDescent="0.25">
      <c r="B70" s="149">
        <v>42978</v>
      </c>
      <c r="C70" s="140">
        <v>811</v>
      </c>
      <c r="D70" s="22" t="s">
        <v>99</v>
      </c>
    </row>
    <row r="71" spans="2:5" x14ac:dyDescent="0.25">
      <c r="B71" s="149"/>
    </row>
    <row r="72" spans="2:5" ht="18.75" x14ac:dyDescent="0.3">
      <c r="C72" s="215">
        <f>SUM(C43:C71)</f>
        <v>22157.62</v>
      </c>
    </row>
  </sheetData>
  <sortState ref="A14:C25">
    <sortCondition ref="B14:B25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FF"/>
  </sheetPr>
  <dimension ref="A1:Q76"/>
  <sheetViews>
    <sheetView topLeftCell="A13" workbookViewId="0">
      <selection activeCell="P17" sqref="P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34" t="s">
        <v>714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8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170700.78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  <c r="P4" s="100"/>
      <c r="Q4" s="100"/>
    </row>
    <row r="5" spans="1:17" ht="16.5" thickTop="1" thickBot="1" x14ac:dyDescent="0.3">
      <c r="A5" s="16"/>
      <c r="B5" s="285">
        <v>42979</v>
      </c>
      <c r="C5" s="286">
        <v>48468.18</v>
      </c>
      <c r="D5" s="238" t="s">
        <v>736</v>
      </c>
      <c r="E5" s="279">
        <v>42979</v>
      </c>
      <c r="F5" s="280">
        <v>65246.18</v>
      </c>
      <c r="G5" s="22"/>
      <c r="H5" s="23">
        <v>42979</v>
      </c>
      <c r="I5" s="291">
        <v>128</v>
      </c>
      <c r="J5" s="195"/>
      <c r="K5" s="26"/>
      <c r="L5" s="27"/>
      <c r="M5" s="196">
        <v>0</v>
      </c>
      <c r="N5" s="29">
        <v>100</v>
      </c>
      <c r="O5" s="22"/>
      <c r="P5" s="37"/>
      <c r="Q5" s="100"/>
    </row>
    <row r="6" spans="1:17" ht="15.75" thickBot="1" x14ac:dyDescent="0.3">
      <c r="A6" s="16"/>
      <c r="B6" s="287">
        <v>42980</v>
      </c>
      <c r="C6" s="288">
        <v>70292.289999999994</v>
      </c>
      <c r="D6" s="239" t="s">
        <v>739</v>
      </c>
      <c r="E6" s="281">
        <v>42980</v>
      </c>
      <c r="F6" s="282">
        <v>66361.53</v>
      </c>
      <c r="G6" s="33"/>
      <c r="H6" s="23">
        <v>42980</v>
      </c>
      <c r="I6" s="292">
        <v>100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7"/>
      <c r="Q6" s="100"/>
    </row>
    <row r="7" spans="1:17" ht="15.75" thickBot="1" x14ac:dyDescent="0.3">
      <c r="A7" s="16"/>
      <c r="B7" s="287">
        <v>42981</v>
      </c>
      <c r="C7" s="288">
        <v>37713.879999999997</v>
      </c>
      <c r="D7" s="238" t="s">
        <v>740</v>
      </c>
      <c r="E7" s="281">
        <v>42981</v>
      </c>
      <c r="F7" s="282">
        <v>47191.46</v>
      </c>
      <c r="G7" s="22"/>
      <c r="H7" s="23">
        <v>42981</v>
      </c>
      <c r="I7" s="292">
        <v>100</v>
      </c>
      <c r="J7" s="36"/>
      <c r="K7" s="40" t="s">
        <v>831</v>
      </c>
      <c r="L7" s="415">
        <v>10833</v>
      </c>
      <c r="M7" s="381">
        <v>9377.58</v>
      </c>
      <c r="N7" s="35">
        <v>100</v>
      </c>
      <c r="O7" s="22"/>
      <c r="P7" s="37"/>
      <c r="Q7" s="100"/>
    </row>
    <row r="8" spans="1:17" ht="15.75" thickBot="1" x14ac:dyDescent="0.3">
      <c r="A8" s="16"/>
      <c r="B8" s="287">
        <v>42982</v>
      </c>
      <c r="C8" s="288">
        <v>28523.22</v>
      </c>
      <c r="D8" s="238" t="s">
        <v>746</v>
      </c>
      <c r="E8" s="281">
        <v>42982</v>
      </c>
      <c r="F8" s="282">
        <v>35123.22</v>
      </c>
      <c r="G8" s="22"/>
      <c r="H8" s="23">
        <v>42982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178"/>
      <c r="Q8" s="37"/>
    </row>
    <row r="9" spans="1:17" ht="15.75" thickBot="1" x14ac:dyDescent="0.3">
      <c r="A9" s="16"/>
      <c r="B9" s="287">
        <v>42983</v>
      </c>
      <c r="C9" s="288">
        <v>33061.769999999997</v>
      </c>
      <c r="D9" s="238" t="s">
        <v>747</v>
      </c>
      <c r="E9" s="281">
        <v>42983</v>
      </c>
      <c r="F9" s="282">
        <v>33189.769999999997</v>
      </c>
      <c r="G9" s="22"/>
      <c r="H9" s="23">
        <v>42983</v>
      </c>
      <c r="I9" s="292">
        <v>128</v>
      </c>
      <c r="J9" s="42" t="s">
        <v>748</v>
      </c>
      <c r="K9" s="37" t="s">
        <v>741</v>
      </c>
      <c r="L9" s="262">
        <f>10741.35</f>
        <v>10741.35</v>
      </c>
      <c r="M9" s="39">
        <v>0</v>
      </c>
      <c r="N9" s="35">
        <v>100</v>
      </c>
      <c r="O9" s="44"/>
      <c r="P9" s="37"/>
      <c r="Q9" s="100"/>
    </row>
    <row r="10" spans="1:17" ht="15.75" thickBot="1" x14ac:dyDescent="0.3">
      <c r="A10" s="16"/>
      <c r="B10" s="287">
        <v>42984</v>
      </c>
      <c r="C10" s="288">
        <v>28525.74</v>
      </c>
      <c r="D10" s="239" t="s">
        <v>749</v>
      </c>
      <c r="E10" s="281">
        <v>42984</v>
      </c>
      <c r="F10" s="282">
        <v>28694.240000000002</v>
      </c>
      <c r="G10" s="22"/>
      <c r="H10" s="23">
        <v>42984</v>
      </c>
      <c r="I10" s="292">
        <v>168.5</v>
      </c>
      <c r="J10" s="42" t="s">
        <v>795</v>
      </c>
      <c r="K10" s="37" t="s">
        <v>742</v>
      </c>
      <c r="L10" s="262">
        <f>2500+2100+11041.35</f>
        <v>15641.35</v>
      </c>
      <c r="M10" s="39">
        <v>0</v>
      </c>
      <c r="N10" s="35">
        <v>100</v>
      </c>
      <c r="O10" s="36"/>
      <c r="P10" s="37"/>
      <c r="Q10" s="100"/>
    </row>
    <row r="11" spans="1:17" ht="15.75" thickBot="1" x14ac:dyDescent="0.3">
      <c r="A11" s="16"/>
      <c r="B11" s="287">
        <v>42985</v>
      </c>
      <c r="C11" s="288">
        <v>44558</v>
      </c>
      <c r="D11" s="240" t="s">
        <v>773</v>
      </c>
      <c r="E11" s="281">
        <v>42985</v>
      </c>
      <c r="F11" s="282">
        <v>45157.72</v>
      </c>
      <c r="G11" s="22"/>
      <c r="H11" s="23">
        <v>42985</v>
      </c>
      <c r="I11" s="292">
        <v>160</v>
      </c>
      <c r="J11" s="42" t="s">
        <v>796</v>
      </c>
      <c r="K11" s="37" t="s">
        <v>743</v>
      </c>
      <c r="L11" s="262">
        <f>2500+13077.06</f>
        <v>15577.06</v>
      </c>
      <c r="M11" s="39">
        <v>0</v>
      </c>
      <c r="N11" s="35">
        <v>100</v>
      </c>
      <c r="O11" s="36"/>
      <c r="P11" s="37"/>
      <c r="Q11" s="100"/>
    </row>
    <row r="12" spans="1:17" ht="15.75" thickBot="1" x14ac:dyDescent="0.3">
      <c r="A12" s="16"/>
      <c r="B12" s="287">
        <v>42986</v>
      </c>
      <c r="C12" s="288">
        <v>64798.21</v>
      </c>
      <c r="D12" s="238" t="s">
        <v>776</v>
      </c>
      <c r="E12" s="281">
        <v>42986</v>
      </c>
      <c r="F12" s="282">
        <v>67478.210000000006</v>
      </c>
      <c r="G12" s="22"/>
      <c r="H12" s="23">
        <v>42986</v>
      </c>
      <c r="I12" s="292">
        <v>680</v>
      </c>
      <c r="J12" s="42" t="s">
        <v>797</v>
      </c>
      <c r="K12" s="37" t="s">
        <v>744</v>
      </c>
      <c r="L12" s="262">
        <f>2500+11041.35</f>
        <v>13541.35</v>
      </c>
      <c r="M12" s="39">
        <v>0</v>
      </c>
      <c r="N12" s="35">
        <v>100</v>
      </c>
      <c r="O12" s="44" t="s">
        <v>64</v>
      </c>
      <c r="P12" s="69"/>
      <c r="Q12" s="100"/>
    </row>
    <row r="13" spans="1:17" ht="15.75" thickBot="1" x14ac:dyDescent="0.3">
      <c r="A13" s="16"/>
      <c r="B13" s="287">
        <v>42987</v>
      </c>
      <c r="C13" s="288">
        <v>65924.45</v>
      </c>
      <c r="D13" s="239" t="s">
        <v>777</v>
      </c>
      <c r="E13" s="281">
        <v>42987</v>
      </c>
      <c r="F13" s="282">
        <v>68360.45</v>
      </c>
      <c r="G13" s="22"/>
      <c r="H13" s="23">
        <v>42987</v>
      </c>
      <c r="I13" s="292">
        <v>336</v>
      </c>
      <c r="J13" s="42" t="s">
        <v>798</v>
      </c>
      <c r="K13" s="37" t="s">
        <v>833</v>
      </c>
      <c r="L13" s="262">
        <f>2500+10824.05</f>
        <v>13324.05</v>
      </c>
      <c r="M13" s="39">
        <v>0</v>
      </c>
      <c r="N13" s="35">
        <v>100</v>
      </c>
      <c r="O13" s="22"/>
      <c r="P13" s="37"/>
      <c r="Q13" s="100"/>
    </row>
    <row r="14" spans="1:17" ht="15.75" thickBot="1" x14ac:dyDescent="0.3">
      <c r="A14" s="16"/>
      <c r="B14" s="287">
        <v>42988</v>
      </c>
      <c r="C14" s="288">
        <v>45467.06</v>
      </c>
      <c r="D14" s="238" t="s">
        <v>781</v>
      </c>
      <c r="E14" s="281">
        <v>42988</v>
      </c>
      <c r="F14" s="282">
        <v>49067.06</v>
      </c>
      <c r="G14" s="22"/>
      <c r="H14" s="23">
        <v>42988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7"/>
      <c r="Q14" s="100"/>
    </row>
    <row r="15" spans="1:17" ht="15.75" thickBot="1" x14ac:dyDescent="0.3">
      <c r="A15" s="16"/>
      <c r="B15" s="287">
        <v>42989</v>
      </c>
      <c r="C15" s="288">
        <v>27165.62</v>
      </c>
      <c r="D15" s="238" t="s">
        <v>783</v>
      </c>
      <c r="E15" s="281">
        <v>42989</v>
      </c>
      <c r="F15" s="282">
        <v>29173.62</v>
      </c>
      <c r="G15" s="22"/>
      <c r="H15" s="23">
        <v>42989</v>
      </c>
      <c r="I15" s="292">
        <v>508</v>
      </c>
      <c r="J15" s="265"/>
      <c r="K15" s="49"/>
      <c r="L15" s="32">
        <v>0</v>
      </c>
      <c r="M15" s="418">
        <v>1560</v>
      </c>
      <c r="N15" s="35">
        <v>100</v>
      </c>
      <c r="O15" s="22"/>
      <c r="P15" s="37"/>
      <c r="Q15" s="100"/>
    </row>
    <row r="16" spans="1:17" ht="15.75" thickBot="1" x14ac:dyDescent="0.3">
      <c r="A16" s="16"/>
      <c r="B16" s="287">
        <v>42990</v>
      </c>
      <c r="C16" s="288">
        <v>43738.1</v>
      </c>
      <c r="D16" s="238" t="s">
        <v>783</v>
      </c>
      <c r="E16" s="281">
        <v>42990</v>
      </c>
      <c r="F16" s="282">
        <v>43873.1</v>
      </c>
      <c r="G16" s="22"/>
      <c r="H16" s="23">
        <v>42990</v>
      </c>
      <c r="I16" s="292">
        <v>135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7"/>
      <c r="Q16" s="100"/>
    </row>
    <row r="17" spans="1:17" ht="15.75" thickBot="1" x14ac:dyDescent="0.3">
      <c r="A17" s="16"/>
      <c r="B17" s="287">
        <v>42991</v>
      </c>
      <c r="C17" s="288">
        <v>41883.85</v>
      </c>
      <c r="D17" s="238" t="s">
        <v>793</v>
      </c>
      <c r="E17" s="281">
        <v>42991</v>
      </c>
      <c r="F17" s="282">
        <v>41983.85</v>
      </c>
      <c r="G17" s="22"/>
      <c r="H17" s="23">
        <v>42991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7"/>
      <c r="Q17" s="100"/>
    </row>
    <row r="18" spans="1:17" ht="15.75" thickBot="1" x14ac:dyDescent="0.3">
      <c r="A18" s="16"/>
      <c r="B18" s="287">
        <v>42992</v>
      </c>
      <c r="C18" s="288">
        <v>58931.83</v>
      </c>
      <c r="D18" s="238" t="s">
        <v>794</v>
      </c>
      <c r="E18" s="281">
        <v>42992</v>
      </c>
      <c r="F18" s="282">
        <v>59031.839999999997</v>
      </c>
      <c r="G18" s="22"/>
      <c r="H18" s="23">
        <v>42992</v>
      </c>
      <c r="I18" s="292">
        <v>100</v>
      </c>
      <c r="J18" s="42"/>
      <c r="K18" s="396" t="s">
        <v>774</v>
      </c>
      <c r="L18" s="262">
        <v>2000</v>
      </c>
      <c r="M18" s="39">
        <v>0</v>
      </c>
      <c r="N18" s="35">
        <v>100</v>
      </c>
      <c r="O18" s="44"/>
      <c r="P18" s="37"/>
      <c r="Q18" s="100"/>
    </row>
    <row r="19" spans="1:17" ht="15.75" thickBot="1" x14ac:dyDescent="0.3">
      <c r="A19" s="16"/>
      <c r="B19" s="287">
        <v>42993</v>
      </c>
      <c r="C19" s="288">
        <v>104853</v>
      </c>
      <c r="D19" s="238" t="s">
        <v>799</v>
      </c>
      <c r="E19" s="281">
        <v>42993</v>
      </c>
      <c r="F19" s="282">
        <v>107709</v>
      </c>
      <c r="G19" s="22"/>
      <c r="H19" s="23">
        <v>42993</v>
      </c>
      <c r="I19" s="292">
        <v>356</v>
      </c>
      <c r="J19" s="42"/>
      <c r="K19" s="396" t="s">
        <v>775</v>
      </c>
      <c r="L19" s="397">
        <v>0</v>
      </c>
      <c r="M19" s="39">
        <v>0</v>
      </c>
      <c r="N19" s="35">
        <v>100</v>
      </c>
      <c r="O19" s="22"/>
      <c r="P19" s="37"/>
      <c r="Q19" s="100"/>
    </row>
    <row r="20" spans="1:17" ht="15.75" thickBot="1" x14ac:dyDescent="0.3">
      <c r="A20" s="16"/>
      <c r="B20" s="287">
        <v>42994</v>
      </c>
      <c r="C20" s="288">
        <v>62932.35</v>
      </c>
      <c r="D20" s="239" t="s">
        <v>800</v>
      </c>
      <c r="E20" s="281">
        <v>42994</v>
      </c>
      <c r="F20" s="282">
        <v>63907.49</v>
      </c>
      <c r="G20" s="22"/>
      <c r="H20" s="23">
        <v>42994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37"/>
      <c r="Q20" s="100"/>
    </row>
    <row r="21" spans="1:17" ht="15.75" thickBot="1" x14ac:dyDescent="0.3">
      <c r="A21" s="16"/>
      <c r="B21" s="287">
        <v>42995</v>
      </c>
      <c r="C21" s="288">
        <v>50799.18</v>
      </c>
      <c r="D21" s="238" t="s">
        <v>801</v>
      </c>
      <c r="E21" s="281">
        <v>42995</v>
      </c>
      <c r="F21" s="282">
        <v>54399.18</v>
      </c>
      <c r="G21" s="22"/>
      <c r="H21" s="23">
        <v>42995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178"/>
      <c r="Q21" s="100"/>
    </row>
    <row r="22" spans="1:17" ht="15.75" thickBot="1" x14ac:dyDescent="0.3">
      <c r="A22" s="16"/>
      <c r="B22" s="287">
        <v>42996</v>
      </c>
      <c r="C22" s="288">
        <v>31764.83</v>
      </c>
      <c r="D22" s="238" t="s">
        <v>808</v>
      </c>
      <c r="E22" s="281">
        <v>42996</v>
      </c>
      <c r="F22" s="282">
        <v>33402.83</v>
      </c>
      <c r="G22" s="22"/>
      <c r="H22" s="23">
        <v>42996</v>
      </c>
      <c r="I22" s="292">
        <v>138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42997</v>
      </c>
      <c r="C23" s="288">
        <v>21992</v>
      </c>
      <c r="D23" s="241" t="s">
        <v>801</v>
      </c>
      <c r="E23" s="281">
        <v>42997</v>
      </c>
      <c r="F23" s="282">
        <v>21991.74</v>
      </c>
      <c r="G23" s="22"/>
      <c r="H23" s="23">
        <v>42997</v>
      </c>
      <c r="I23" s="292">
        <v>0</v>
      </c>
      <c r="J23" s="36"/>
      <c r="K23" s="61">
        <v>43000</v>
      </c>
      <c r="L23" s="51">
        <v>0</v>
      </c>
      <c r="M23" s="39">
        <v>0</v>
      </c>
      <c r="N23" s="35">
        <v>0</v>
      </c>
      <c r="P23" s="22"/>
    </row>
    <row r="24" spans="1:17" ht="15.75" thickBot="1" x14ac:dyDescent="0.3">
      <c r="A24" s="16"/>
      <c r="B24" s="287">
        <v>42998</v>
      </c>
      <c r="C24" s="288">
        <v>41465.589999999997</v>
      </c>
      <c r="D24" s="238" t="s">
        <v>810</v>
      </c>
      <c r="E24" s="281">
        <v>42998</v>
      </c>
      <c r="F24" s="282">
        <v>41685.589999999997</v>
      </c>
      <c r="G24" s="22"/>
      <c r="H24" s="23">
        <v>42998</v>
      </c>
      <c r="I24" s="292">
        <v>220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42999</v>
      </c>
      <c r="C25" s="288">
        <v>24633.47</v>
      </c>
      <c r="D25" s="241" t="s">
        <v>809</v>
      </c>
      <c r="E25" s="281">
        <v>42999</v>
      </c>
      <c r="F25" s="282">
        <v>24633.47</v>
      </c>
      <c r="G25" s="22"/>
      <c r="H25" s="23">
        <v>42999</v>
      </c>
      <c r="I25" s="292">
        <v>0</v>
      </c>
      <c r="J25" s="36"/>
      <c r="K25" s="61"/>
      <c r="L25" s="51">
        <v>0</v>
      </c>
      <c r="M25" s="39">
        <v>0</v>
      </c>
      <c r="N25" s="35">
        <v>0</v>
      </c>
      <c r="O25" s="22"/>
      <c r="P25" s="22"/>
    </row>
    <row r="26" spans="1:17" ht="15.75" thickBot="1" x14ac:dyDescent="0.3">
      <c r="A26" s="16"/>
      <c r="B26" s="287">
        <v>43000</v>
      </c>
      <c r="C26" s="288">
        <v>62873.54</v>
      </c>
      <c r="D26" s="238" t="s">
        <v>812</v>
      </c>
      <c r="E26" s="281">
        <v>43000</v>
      </c>
      <c r="F26" s="282">
        <v>66343.539999999994</v>
      </c>
      <c r="G26" s="22"/>
      <c r="H26" s="23">
        <v>43000</v>
      </c>
      <c r="I26" s="292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9.5" thickBot="1" x14ac:dyDescent="0.35">
      <c r="A27" s="16"/>
      <c r="B27" s="287">
        <v>43001</v>
      </c>
      <c r="C27" s="288">
        <v>0</v>
      </c>
      <c r="D27" s="238"/>
      <c r="E27" s="281">
        <v>43001</v>
      </c>
      <c r="F27" s="282">
        <v>61974.17</v>
      </c>
      <c r="G27" s="22"/>
      <c r="H27" s="23">
        <v>43001</v>
      </c>
      <c r="I27" s="292">
        <v>200</v>
      </c>
      <c r="J27" s="36"/>
      <c r="K27" s="410" t="s">
        <v>813</v>
      </c>
      <c r="L27" s="411">
        <v>47214</v>
      </c>
      <c r="M27" s="381">
        <v>10560</v>
      </c>
      <c r="N27" s="35">
        <v>100</v>
      </c>
      <c r="O27" s="22"/>
      <c r="P27" s="22"/>
    </row>
    <row r="28" spans="1:17" ht="15.75" thickBot="1" x14ac:dyDescent="0.3">
      <c r="A28" s="16"/>
      <c r="B28" s="287">
        <v>43002</v>
      </c>
      <c r="C28" s="288">
        <v>48253.51</v>
      </c>
      <c r="D28" s="238" t="s">
        <v>815</v>
      </c>
      <c r="E28" s="281">
        <v>43002</v>
      </c>
      <c r="F28" s="282">
        <v>51853.51</v>
      </c>
      <c r="G28" s="22"/>
      <c r="H28" s="23">
        <v>43002</v>
      </c>
      <c r="I28" s="292">
        <v>100</v>
      </c>
      <c r="J28" s="36"/>
      <c r="K28" s="64" t="s">
        <v>735</v>
      </c>
      <c r="L28" s="197">
        <v>16500</v>
      </c>
      <c r="M28" s="39">
        <v>0</v>
      </c>
      <c r="N28" s="35">
        <v>100</v>
      </c>
      <c r="O28" s="44"/>
      <c r="P28" s="22"/>
    </row>
    <row r="29" spans="1:17" ht="15.75" thickBot="1" x14ac:dyDescent="0.3">
      <c r="A29" s="16"/>
      <c r="B29" s="287">
        <v>43003</v>
      </c>
      <c r="C29" s="288">
        <v>10538.41</v>
      </c>
      <c r="D29" s="238" t="s">
        <v>816</v>
      </c>
      <c r="E29" s="281">
        <v>43003</v>
      </c>
      <c r="F29" s="282">
        <v>32384.41</v>
      </c>
      <c r="G29" s="22"/>
      <c r="H29" s="23">
        <v>43003</v>
      </c>
      <c r="I29" s="292">
        <v>180</v>
      </c>
      <c r="J29" s="36"/>
      <c r="K29" s="64" t="s">
        <v>745</v>
      </c>
      <c r="L29" s="197">
        <v>4000</v>
      </c>
      <c r="M29" s="39">
        <v>0</v>
      </c>
      <c r="N29" s="35">
        <v>100</v>
      </c>
      <c r="O29" s="44"/>
      <c r="P29" s="44"/>
    </row>
    <row r="30" spans="1:17" ht="16.5" thickBot="1" x14ac:dyDescent="0.3">
      <c r="A30" s="16"/>
      <c r="B30" s="287">
        <v>43004</v>
      </c>
      <c r="C30" s="288">
        <v>30965.625</v>
      </c>
      <c r="D30" s="238" t="s">
        <v>817</v>
      </c>
      <c r="E30" s="281">
        <v>43004</v>
      </c>
      <c r="F30" s="282">
        <v>31049.62</v>
      </c>
      <c r="G30" s="22"/>
      <c r="H30" s="23">
        <v>43004</v>
      </c>
      <c r="I30" s="292">
        <v>84</v>
      </c>
      <c r="J30" s="63"/>
      <c r="K30" s="350" t="s">
        <v>780</v>
      </c>
      <c r="L30" s="197">
        <v>3500</v>
      </c>
      <c r="M30" s="39">
        <v>0</v>
      </c>
      <c r="N30" s="35">
        <v>0</v>
      </c>
      <c r="O30" s="22"/>
      <c r="P30" s="22"/>
    </row>
    <row r="31" spans="1:17" ht="15.75" thickBot="1" x14ac:dyDescent="0.3">
      <c r="A31" s="16"/>
      <c r="B31" s="287">
        <v>43005</v>
      </c>
      <c r="C31" s="288">
        <v>27410.18</v>
      </c>
      <c r="D31" s="238" t="s">
        <v>818</v>
      </c>
      <c r="E31" s="281">
        <v>43005</v>
      </c>
      <c r="F31" s="282">
        <v>30290.18</v>
      </c>
      <c r="G31" s="22"/>
      <c r="H31" s="23">
        <v>43005</v>
      </c>
      <c r="I31" s="292">
        <v>380</v>
      </c>
      <c r="J31" s="42"/>
      <c r="K31" s="64" t="s">
        <v>782</v>
      </c>
      <c r="L31" s="197">
        <v>1500</v>
      </c>
      <c r="M31" s="39">
        <v>0</v>
      </c>
      <c r="N31" s="35"/>
      <c r="O31" s="44"/>
      <c r="P31" s="44"/>
    </row>
    <row r="32" spans="1:17" ht="15.75" thickBot="1" x14ac:dyDescent="0.3">
      <c r="A32" s="16"/>
      <c r="B32" s="287">
        <v>43006</v>
      </c>
      <c r="C32" s="288">
        <v>31215.98</v>
      </c>
      <c r="D32" s="238" t="s">
        <v>819</v>
      </c>
      <c r="E32" s="281">
        <v>43006</v>
      </c>
      <c r="F32" s="282">
        <v>31793.98</v>
      </c>
      <c r="G32" s="22"/>
      <c r="H32" s="23">
        <v>43006</v>
      </c>
      <c r="I32" s="292">
        <v>578</v>
      </c>
      <c r="J32" s="36"/>
      <c r="K32" s="66" t="s">
        <v>802</v>
      </c>
      <c r="L32" s="413">
        <v>3500</v>
      </c>
      <c r="M32" s="39"/>
      <c r="N32" s="35">
        <v>100</v>
      </c>
      <c r="O32" s="22"/>
      <c r="P32" s="22"/>
    </row>
    <row r="33" spans="1:16" ht="15.75" customHeight="1" thickBot="1" x14ac:dyDescent="0.3">
      <c r="A33" s="16"/>
      <c r="B33" s="287">
        <v>43007</v>
      </c>
      <c r="C33" s="288">
        <v>72810.91</v>
      </c>
      <c r="D33" s="240" t="s">
        <v>820</v>
      </c>
      <c r="E33" s="281">
        <v>43007</v>
      </c>
      <c r="F33" s="282">
        <v>72910.91</v>
      </c>
      <c r="G33" s="22"/>
      <c r="H33" s="23">
        <v>43007</v>
      </c>
      <c r="I33" s="292">
        <v>100</v>
      </c>
      <c r="J33" s="36"/>
      <c r="K33" s="64" t="s">
        <v>807</v>
      </c>
      <c r="L33" s="414">
        <v>1500</v>
      </c>
      <c r="M33" s="39">
        <v>0</v>
      </c>
      <c r="N33" s="35">
        <v>100</v>
      </c>
      <c r="O33" s="22"/>
      <c r="P33" s="22"/>
    </row>
    <row r="34" spans="1:16" ht="15.75" customHeight="1" thickBot="1" x14ac:dyDescent="0.3">
      <c r="A34" s="16"/>
      <c r="B34" s="287">
        <v>43008</v>
      </c>
      <c r="C34" s="289">
        <v>100806.2</v>
      </c>
      <c r="D34" s="238" t="s">
        <v>821</v>
      </c>
      <c r="E34" s="281">
        <v>43008</v>
      </c>
      <c r="F34" s="282">
        <v>101006.2</v>
      </c>
      <c r="G34" s="22"/>
      <c r="H34" s="23">
        <v>200</v>
      </c>
      <c r="I34" s="292">
        <v>200</v>
      </c>
      <c r="J34" s="36"/>
      <c r="K34" s="64" t="s">
        <v>814</v>
      </c>
      <c r="L34" s="414">
        <v>3500</v>
      </c>
      <c r="M34" s="39">
        <v>0</v>
      </c>
      <c r="N34" s="35">
        <v>100</v>
      </c>
      <c r="O34" s="22"/>
    </row>
    <row r="35" spans="1:16" ht="16.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384"/>
      <c r="L35" s="232"/>
      <c r="M35" s="39">
        <v>0</v>
      </c>
      <c r="N35" s="70"/>
    </row>
    <row r="36" spans="1:16" ht="16.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84" t="s">
        <v>738</v>
      </c>
      <c r="L36" s="232">
        <v>150</v>
      </c>
      <c r="M36" s="78">
        <v>0</v>
      </c>
      <c r="N36" s="408">
        <f>SUM(N5:N35)</f>
        <v>2600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21497.58</v>
      </c>
      <c r="N37" s="409" t="s">
        <v>830</v>
      </c>
    </row>
    <row r="38" spans="1:16" x14ac:dyDescent="0.25">
      <c r="B38" s="91" t="s">
        <v>60</v>
      </c>
      <c r="C38" s="92">
        <f>SUM(C5:C37)</f>
        <v>1362366.9749999996</v>
      </c>
      <c r="E38" s="376" t="s">
        <v>60</v>
      </c>
      <c r="F38" s="94">
        <f>SUM(F5:F37)</f>
        <v>1507268.0699999996</v>
      </c>
      <c r="H38" s="6" t="s">
        <v>60</v>
      </c>
      <c r="I38" s="4">
        <f>SUM(I5:I37)</f>
        <v>5679.5</v>
      </c>
      <c r="J38" s="4"/>
      <c r="K38" s="95" t="s">
        <v>60</v>
      </c>
      <c r="L38" s="96">
        <f>SUM(L5:L37)</f>
        <v>193191.16</v>
      </c>
    </row>
    <row r="40" spans="1:16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378"/>
      <c r="K40" s="432">
        <f>I38+L38</f>
        <v>198870.66</v>
      </c>
      <c r="L40" s="433"/>
    </row>
    <row r="41" spans="1:16" ht="15.75" x14ac:dyDescent="0.25">
      <c r="B41" s="102"/>
      <c r="C41" s="77"/>
      <c r="D41" s="448" t="s">
        <v>62</v>
      </c>
      <c r="E41" s="448"/>
      <c r="F41" s="103">
        <f>F38-K40</f>
        <v>1308397.4099999997</v>
      </c>
      <c r="I41" s="104"/>
      <c r="J41" s="104"/>
    </row>
    <row r="42" spans="1:16" ht="15.75" x14ac:dyDescent="0.25">
      <c r="D42" s="449" t="s">
        <v>63</v>
      </c>
      <c r="E42" s="449"/>
      <c r="F42" s="103">
        <v>-1364713.41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-56316.000000000233</v>
      </c>
      <c r="I44" s="450" t="s">
        <v>66</v>
      </c>
      <c r="J44" s="451"/>
      <c r="K44" s="454">
        <f>F48+L46</f>
        <v>152207.31999999977</v>
      </c>
      <c r="L44" s="455"/>
    </row>
    <row r="45" spans="1:16" ht="15.75" thickBot="1" x14ac:dyDescent="0.3">
      <c r="D45" s="108" t="s">
        <v>67</v>
      </c>
      <c r="E45" s="97" t="s">
        <v>68</v>
      </c>
      <c r="F45" s="4">
        <v>0</v>
      </c>
      <c r="I45" s="452"/>
      <c r="J45" s="453"/>
      <c r="K45" s="456"/>
      <c r="L45" s="457"/>
    </row>
    <row r="46" spans="1:16" ht="17.25" thickTop="1" thickBot="1" x14ac:dyDescent="0.3">
      <c r="C46" s="94"/>
      <c r="D46" s="458" t="s">
        <v>69</v>
      </c>
      <c r="E46" s="458"/>
      <c r="F46" s="412">
        <v>208523.32</v>
      </c>
      <c r="I46" s="459"/>
      <c r="J46" s="459"/>
      <c r="K46" s="460"/>
      <c r="L46" s="110"/>
    </row>
    <row r="47" spans="1:16" ht="20.25" thickTop="1" thickBot="1" x14ac:dyDescent="0.35">
      <c r="C47" s="94"/>
      <c r="D47" s="376"/>
      <c r="E47" s="376"/>
      <c r="F47" s="111"/>
      <c r="H47" s="112"/>
      <c r="I47" s="377" t="s">
        <v>275</v>
      </c>
      <c r="J47" s="377"/>
      <c r="K47" s="442">
        <f>-C4</f>
        <v>-170700.78</v>
      </c>
      <c r="L47" s="442"/>
      <c r="M47" s="114"/>
    </row>
    <row r="48" spans="1:16" ht="17.25" thickTop="1" thickBot="1" x14ac:dyDescent="0.3">
      <c r="E48" s="115" t="s">
        <v>71</v>
      </c>
      <c r="F48" s="116">
        <f>F44+F45+F46</f>
        <v>152207.31999999977</v>
      </c>
    </row>
    <row r="49" spans="2:14" ht="19.5" thickBot="1" x14ac:dyDescent="0.35">
      <c r="B49"/>
      <c r="C49"/>
      <c r="D49" s="443"/>
      <c r="E49" s="443"/>
      <c r="F49" s="77"/>
      <c r="I49" s="444" t="s">
        <v>274</v>
      </c>
      <c r="J49" s="445"/>
      <c r="K49" s="446">
        <f>K44+K47</f>
        <v>-18493.460000000225</v>
      </c>
      <c r="L49" s="447"/>
      <c r="M49" s="117"/>
      <c r="N49" s="97"/>
    </row>
    <row r="50" spans="2:14" x14ac:dyDescent="0.25">
      <c r="B50"/>
      <c r="C50"/>
      <c r="I50" s="151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0866141732283472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</sheetPr>
  <dimension ref="A1:Q65"/>
  <sheetViews>
    <sheetView topLeftCell="A18" workbookViewId="0">
      <selection activeCell="O31" sqref="O3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" customWidth="1"/>
    <col min="15" max="15" width="20.140625" bestFit="1" customWidth="1"/>
    <col min="16" max="16" width="12.7109375" bestFit="1" customWidth="1"/>
  </cols>
  <sheetData>
    <row r="1" spans="1:17" ht="19.5" thickBot="1" x14ac:dyDescent="0.35">
      <c r="B1" s="118" t="s">
        <v>715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242">
        <v>42987</v>
      </c>
      <c r="P1" s="158"/>
    </row>
    <row r="2" spans="1:17" ht="16.5" thickBot="1" x14ac:dyDescent="0.3">
      <c r="A2" s="122"/>
      <c r="B2" s="123"/>
      <c r="C2" s="124"/>
      <c r="D2" s="123"/>
      <c r="E2" s="124"/>
      <c r="F2" s="124"/>
      <c r="I2" t="s">
        <v>722</v>
      </c>
      <c r="J2" s="151">
        <v>2600.98</v>
      </c>
      <c r="K2" s="159"/>
      <c r="L2" s="160"/>
      <c r="M2" s="159"/>
      <c r="N2" s="161"/>
      <c r="O2" s="160"/>
      <c r="P2" s="162"/>
    </row>
    <row r="3" spans="1:17" ht="15.75" x14ac:dyDescent="0.25">
      <c r="A3" s="125">
        <v>42979</v>
      </c>
      <c r="B3" s="126" t="s">
        <v>716</v>
      </c>
      <c r="C3" s="36">
        <v>88564.25</v>
      </c>
      <c r="D3" s="127">
        <v>42987</v>
      </c>
      <c r="E3" s="36">
        <v>88564.25</v>
      </c>
      <c r="F3" s="128">
        <f t="shared" ref="F3:F30" si="0">C3-E3</f>
        <v>0</v>
      </c>
      <c r="I3" t="s">
        <v>723</v>
      </c>
      <c r="J3" s="151">
        <v>19187.330000000002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7" ht="15.75" x14ac:dyDescent="0.25">
      <c r="A4" s="129">
        <v>42980</v>
      </c>
      <c r="B4" s="126" t="s">
        <v>717</v>
      </c>
      <c r="C4" s="130">
        <v>41044.31</v>
      </c>
      <c r="D4" s="127">
        <v>42987</v>
      </c>
      <c r="E4" s="130">
        <v>41044.31</v>
      </c>
      <c r="F4" s="128">
        <f t="shared" si="0"/>
        <v>0</v>
      </c>
      <c r="J4" s="164">
        <v>20787.14</v>
      </c>
      <c r="K4" s="126" t="s">
        <v>707</v>
      </c>
      <c r="L4" s="130">
        <v>19831.599999999999</v>
      </c>
      <c r="M4" s="165" t="s">
        <v>111</v>
      </c>
      <c r="N4" s="166" t="s">
        <v>113</v>
      </c>
      <c r="O4" s="167">
        <v>42575.5</v>
      </c>
      <c r="P4" s="168">
        <v>42979</v>
      </c>
    </row>
    <row r="5" spans="1:17" ht="15.75" x14ac:dyDescent="0.25">
      <c r="A5" s="129">
        <v>42982</v>
      </c>
      <c r="B5" s="132" t="s">
        <v>718</v>
      </c>
      <c r="C5" s="36">
        <v>72197.5</v>
      </c>
      <c r="D5" s="127">
        <v>42987</v>
      </c>
      <c r="E5" s="36">
        <v>72197.5</v>
      </c>
      <c r="F5" s="128">
        <f t="shared" si="0"/>
        <v>0</v>
      </c>
      <c r="J5" s="164">
        <f>29774.01+31521.71+15293.21</f>
        <v>76588.929999999993</v>
      </c>
      <c r="K5" s="126" t="s">
        <v>711</v>
      </c>
      <c r="L5" s="130">
        <v>76588.929999999993</v>
      </c>
      <c r="M5" s="165"/>
      <c r="N5" s="166" t="s">
        <v>113</v>
      </c>
      <c r="O5" s="167">
        <v>29774</v>
      </c>
      <c r="P5" s="168">
        <v>42979</v>
      </c>
    </row>
    <row r="6" spans="1:17" ht="15.75" x14ac:dyDescent="0.25">
      <c r="A6" s="129">
        <v>42983</v>
      </c>
      <c r="B6" s="126" t="s">
        <v>719</v>
      </c>
      <c r="C6" s="36">
        <v>18782.02</v>
      </c>
      <c r="D6" s="127">
        <v>42987</v>
      </c>
      <c r="E6" s="36">
        <v>18782.02</v>
      </c>
      <c r="F6" s="128">
        <f t="shared" si="0"/>
        <v>0</v>
      </c>
      <c r="J6" s="140">
        <v>9406.08</v>
      </c>
      <c r="K6" s="126" t="s">
        <v>712</v>
      </c>
      <c r="L6" s="130">
        <v>9486.08</v>
      </c>
      <c r="M6" s="165"/>
      <c r="N6" s="166" t="s">
        <v>113</v>
      </c>
      <c r="O6" s="167">
        <v>30992</v>
      </c>
      <c r="P6" s="168">
        <v>42979</v>
      </c>
    </row>
    <row r="7" spans="1:17" ht="15.75" x14ac:dyDescent="0.25">
      <c r="A7" s="129">
        <v>42983</v>
      </c>
      <c r="B7" s="126" t="s">
        <v>720</v>
      </c>
      <c r="C7" s="130">
        <v>13830.8</v>
      </c>
      <c r="D7" s="127">
        <v>42987</v>
      </c>
      <c r="E7" s="130">
        <v>13830.8</v>
      </c>
      <c r="F7" s="128">
        <f t="shared" si="0"/>
        <v>0</v>
      </c>
      <c r="J7" s="140">
        <f>65425.36+23138.89</f>
        <v>88564.25</v>
      </c>
      <c r="K7" s="126" t="s">
        <v>716</v>
      </c>
      <c r="L7" s="36">
        <v>88564.25</v>
      </c>
      <c r="M7" s="165"/>
      <c r="N7" s="166" t="s">
        <v>113</v>
      </c>
      <c r="O7" s="167">
        <v>530</v>
      </c>
      <c r="P7" s="168">
        <v>42979</v>
      </c>
    </row>
    <row r="8" spans="1:17" ht="15.75" x14ac:dyDescent="0.25">
      <c r="A8" s="129">
        <v>42984</v>
      </c>
      <c r="B8" s="126" t="s">
        <v>721</v>
      </c>
      <c r="C8" s="130">
        <v>37976.76</v>
      </c>
      <c r="D8" s="213" t="s">
        <v>765</v>
      </c>
      <c r="E8" s="130">
        <f>4010.91+33965.85</f>
        <v>37976.759999999995</v>
      </c>
      <c r="F8" s="128">
        <f t="shared" si="0"/>
        <v>0</v>
      </c>
      <c r="J8" s="140">
        <f>3330.43+37713.88</f>
        <v>41044.31</v>
      </c>
      <c r="K8" s="126" t="s">
        <v>717</v>
      </c>
      <c r="L8" s="130">
        <v>41044.31</v>
      </c>
      <c r="M8" s="165"/>
      <c r="N8" s="166">
        <v>3932774</v>
      </c>
      <c r="O8" s="167">
        <v>47838</v>
      </c>
      <c r="P8" s="168">
        <v>42982</v>
      </c>
      <c r="Q8" s="16">
        <v>42979</v>
      </c>
    </row>
    <row r="9" spans="1:17" ht="15.75" x14ac:dyDescent="0.25">
      <c r="A9" s="129">
        <v>42985</v>
      </c>
      <c r="B9" s="126" t="s">
        <v>752</v>
      </c>
      <c r="C9" s="130">
        <v>31888.85</v>
      </c>
      <c r="D9" s="127">
        <v>43001</v>
      </c>
      <c r="E9" s="130">
        <v>31888.85</v>
      </c>
      <c r="F9" s="128">
        <f t="shared" si="0"/>
        <v>0</v>
      </c>
      <c r="J9" s="164">
        <f>27909.22+33061.77+11226.28</f>
        <v>72197.27</v>
      </c>
      <c r="K9" s="132" t="s">
        <v>718</v>
      </c>
      <c r="L9" s="36">
        <v>72197.5</v>
      </c>
      <c r="M9" s="165"/>
      <c r="N9" s="166">
        <v>3932775</v>
      </c>
      <c r="O9" s="167">
        <v>59568</v>
      </c>
      <c r="P9" s="168">
        <v>42982</v>
      </c>
      <c r="Q9" s="16">
        <v>42980</v>
      </c>
    </row>
    <row r="10" spans="1:17" ht="15.75" x14ac:dyDescent="0.25">
      <c r="A10" s="129">
        <v>42986</v>
      </c>
      <c r="B10" s="126" t="s">
        <v>753</v>
      </c>
      <c r="C10" s="130">
        <v>85131.8</v>
      </c>
      <c r="D10" s="127">
        <v>43001</v>
      </c>
      <c r="E10" s="130">
        <v>85131.8</v>
      </c>
      <c r="F10" s="128">
        <f t="shared" si="0"/>
        <v>0</v>
      </c>
      <c r="J10" s="140">
        <v>13959.46</v>
      </c>
      <c r="K10" s="126" t="s">
        <v>719</v>
      </c>
      <c r="L10" s="36">
        <v>18782.02</v>
      </c>
      <c r="M10" s="165"/>
      <c r="N10" s="166" t="s">
        <v>113</v>
      </c>
      <c r="O10" s="167">
        <v>5007</v>
      </c>
      <c r="P10" s="168">
        <v>42976</v>
      </c>
      <c r="Q10" s="16">
        <v>42980</v>
      </c>
    </row>
    <row r="11" spans="1:17" ht="15.75" x14ac:dyDescent="0.25">
      <c r="A11" s="129">
        <v>42987</v>
      </c>
      <c r="B11" s="126" t="s">
        <v>754</v>
      </c>
      <c r="C11" s="130">
        <v>30442</v>
      </c>
      <c r="D11" s="127">
        <v>43001</v>
      </c>
      <c r="E11" s="130">
        <v>30442</v>
      </c>
      <c r="F11" s="128">
        <f t="shared" si="0"/>
        <v>0</v>
      </c>
      <c r="J11" s="140"/>
      <c r="K11" s="126" t="s">
        <v>720</v>
      </c>
      <c r="L11" s="130">
        <v>13830.8</v>
      </c>
      <c r="M11" s="165"/>
      <c r="N11" s="166" t="s">
        <v>113</v>
      </c>
      <c r="O11" s="167">
        <v>2185</v>
      </c>
      <c r="P11" s="168">
        <v>42977</v>
      </c>
      <c r="Q11" s="16">
        <v>42980</v>
      </c>
    </row>
    <row r="12" spans="1:17" ht="15.75" x14ac:dyDescent="0.25">
      <c r="A12" s="129">
        <v>42988</v>
      </c>
      <c r="B12" s="126" t="s">
        <v>755</v>
      </c>
      <c r="C12" s="130">
        <v>2712.62</v>
      </c>
      <c r="D12" s="127">
        <v>43001</v>
      </c>
      <c r="E12" s="130">
        <v>2712.62</v>
      </c>
      <c r="F12" s="128">
        <f t="shared" si="0"/>
        <v>0</v>
      </c>
      <c r="J12" s="140"/>
      <c r="K12" s="126" t="s">
        <v>721</v>
      </c>
      <c r="L12" s="130">
        <v>4010.91</v>
      </c>
      <c r="M12" s="183" t="s">
        <v>202</v>
      </c>
      <c r="N12" s="166" t="s">
        <v>113</v>
      </c>
      <c r="O12" s="167">
        <v>1996</v>
      </c>
      <c r="P12" s="168">
        <v>42979</v>
      </c>
      <c r="Q12" s="16">
        <v>42980</v>
      </c>
    </row>
    <row r="13" spans="1:17" ht="15.75" x14ac:dyDescent="0.25">
      <c r="A13" s="129">
        <v>42989</v>
      </c>
      <c r="B13" s="126" t="s">
        <v>756</v>
      </c>
      <c r="C13" s="130">
        <v>94170.26</v>
      </c>
      <c r="D13" s="127">
        <v>43001</v>
      </c>
      <c r="E13" s="130">
        <v>94170.26</v>
      </c>
      <c r="F13" s="128">
        <f t="shared" si="0"/>
        <v>0</v>
      </c>
      <c r="J13" s="164"/>
      <c r="K13" s="126"/>
      <c r="L13" s="130"/>
      <c r="M13" s="235"/>
      <c r="N13" s="184"/>
      <c r="O13" s="185">
        <v>37713.9</v>
      </c>
      <c r="P13" s="186">
        <v>42984</v>
      </c>
      <c r="Q13" s="16">
        <v>42981</v>
      </c>
    </row>
    <row r="14" spans="1:17" ht="15.75" x14ac:dyDescent="0.25">
      <c r="A14" s="129">
        <v>42990</v>
      </c>
      <c r="B14" s="126" t="s">
        <v>757</v>
      </c>
      <c r="C14" s="130">
        <v>21664.69</v>
      </c>
      <c r="D14" s="127">
        <v>43001</v>
      </c>
      <c r="E14" s="130">
        <v>21664.69</v>
      </c>
      <c r="F14" s="128">
        <f t="shared" si="0"/>
        <v>0</v>
      </c>
      <c r="J14" s="164"/>
      <c r="K14" s="126"/>
      <c r="L14" s="130"/>
      <c r="M14" s="187"/>
      <c r="N14" s="184"/>
      <c r="O14" s="301">
        <v>27909</v>
      </c>
      <c r="P14" s="186">
        <v>42984</v>
      </c>
      <c r="Q14" s="16">
        <v>42982</v>
      </c>
    </row>
    <row r="15" spans="1:17" ht="15.75" x14ac:dyDescent="0.25">
      <c r="A15" s="129">
        <v>42991</v>
      </c>
      <c r="B15" s="126" t="s">
        <v>758</v>
      </c>
      <c r="C15" s="130">
        <v>84976.3</v>
      </c>
      <c r="D15" s="127">
        <v>43001</v>
      </c>
      <c r="E15" s="130">
        <v>84976.3</v>
      </c>
      <c r="F15" s="128">
        <f t="shared" si="0"/>
        <v>0</v>
      </c>
      <c r="J15" s="164"/>
      <c r="K15" s="126"/>
      <c r="L15" s="130"/>
      <c r="M15" s="187"/>
      <c r="N15" s="184"/>
      <c r="O15" s="302">
        <v>33062</v>
      </c>
      <c r="P15" s="186">
        <v>42984</v>
      </c>
      <c r="Q15" s="16">
        <v>42983</v>
      </c>
    </row>
    <row r="16" spans="1:17" ht="15.75" x14ac:dyDescent="0.25">
      <c r="A16" s="129">
        <v>42992</v>
      </c>
      <c r="B16" s="126" t="s">
        <v>759</v>
      </c>
      <c r="C16" s="130">
        <v>15147.1</v>
      </c>
      <c r="D16" s="127">
        <v>43001</v>
      </c>
      <c r="E16" s="130">
        <v>15147.1</v>
      </c>
      <c r="F16" s="128">
        <f t="shared" si="0"/>
        <v>0</v>
      </c>
      <c r="J16" s="164"/>
      <c r="K16" s="126"/>
      <c r="L16" s="130"/>
      <c r="M16" s="227"/>
      <c r="N16" s="369"/>
      <c r="O16" s="302">
        <v>25186</v>
      </c>
      <c r="P16" s="186">
        <v>42986</v>
      </c>
      <c r="Q16" s="16">
        <v>42984</v>
      </c>
    </row>
    <row r="17" spans="1:16" ht="16.5" thickBot="1" x14ac:dyDescent="0.3">
      <c r="A17" s="129">
        <v>42993</v>
      </c>
      <c r="B17" s="126" t="s">
        <v>760</v>
      </c>
      <c r="C17" s="130">
        <v>59535.08</v>
      </c>
      <c r="D17" s="127">
        <v>43001</v>
      </c>
      <c r="E17" s="130">
        <v>59535.08</v>
      </c>
      <c r="F17" s="128">
        <f t="shared" si="0"/>
        <v>0</v>
      </c>
      <c r="J17" s="342"/>
      <c r="K17" s="143"/>
      <c r="L17" s="345"/>
      <c r="M17" s="207"/>
      <c r="N17" s="343" t="s">
        <v>113</v>
      </c>
      <c r="O17" s="344">
        <v>0</v>
      </c>
      <c r="P17" s="207"/>
    </row>
    <row r="18" spans="1:16" ht="16.5" thickTop="1" x14ac:dyDescent="0.25">
      <c r="A18" s="129">
        <v>42993</v>
      </c>
      <c r="B18" s="126" t="s">
        <v>761</v>
      </c>
      <c r="C18" s="130">
        <v>1929.2</v>
      </c>
      <c r="D18" s="127">
        <v>43001</v>
      </c>
      <c r="E18" s="130">
        <v>1929.2</v>
      </c>
      <c r="F18" s="128">
        <f t="shared" si="0"/>
        <v>0</v>
      </c>
      <c r="J18" s="160">
        <f>SUM(J2:J17)</f>
        <v>344335.75</v>
      </c>
      <c r="K18" s="163"/>
      <c r="L18" s="153">
        <f>SUM(L4:L17)</f>
        <v>344336.39999999997</v>
      </c>
      <c r="M18" s="163"/>
      <c r="N18" s="163"/>
      <c r="O18" s="153">
        <f>SUM(O4:O17)</f>
        <v>344336.4</v>
      </c>
      <c r="P18" s="163"/>
    </row>
    <row r="19" spans="1:16" x14ac:dyDescent="0.25">
      <c r="A19" s="129">
        <v>42993</v>
      </c>
      <c r="B19" s="126" t="s">
        <v>762</v>
      </c>
      <c r="C19" s="130">
        <v>3248</v>
      </c>
      <c r="D19" s="127">
        <v>43001</v>
      </c>
      <c r="E19" s="130">
        <v>3248</v>
      </c>
      <c r="F19" s="128">
        <f t="shared" si="0"/>
        <v>0</v>
      </c>
    </row>
    <row r="20" spans="1:16" x14ac:dyDescent="0.25">
      <c r="A20" s="236">
        <v>42995</v>
      </c>
      <c r="B20" s="126" t="s">
        <v>763</v>
      </c>
      <c r="C20" s="130">
        <v>109642.76</v>
      </c>
      <c r="D20" s="127">
        <v>43001</v>
      </c>
      <c r="E20" s="130">
        <v>109642.76</v>
      </c>
      <c r="F20" s="128">
        <f t="shared" si="0"/>
        <v>0</v>
      </c>
    </row>
    <row r="21" spans="1:16" x14ac:dyDescent="0.25">
      <c r="A21" s="236">
        <v>42997</v>
      </c>
      <c r="B21" s="126" t="s">
        <v>764</v>
      </c>
      <c r="C21" s="130">
        <v>60091.8</v>
      </c>
      <c r="D21" s="127" t="s">
        <v>772</v>
      </c>
      <c r="E21" s="130">
        <f>22450.99+37640.81</f>
        <v>60091.8</v>
      </c>
      <c r="F21" s="128">
        <f t="shared" si="0"/>
        <v>0</v>
      </c>
    </row>
    <row r="22" spans="1:16" ht="15.75" thickBot="1" x14ac:dyDescent="0.3">
      <c r="A22" s="391">
        <v>42999</v>
      </c>
      <c r="B22" s="372" t="s">
        <v>771</v>
      </c>
      <c r="C22" s="373">
        <v>111787.41</v>
      </c>
      <c r="D22" s="127">
        <v>43008</v>
      </c>
      <c r="E22" s="130">
        <v>111787.41</v>
      </c>
      <c r="F22" s="128">
        <f t="shared" si="0"/>
        <v>0</v>
      </c>
    </row>
    <row r="23" spans="1:16" ht="19.5" thickBot="1" x14ac:dyDescent="0.35">
      <c r="A23" s="236">
        <v>43000</v>
      </c>
      <c r="B23" s="126" t="s">
        <v>766</v>
      </c>
      <c r="C23" s="130">
        <v>1833.2</v>
      </c>
      <c r="D23" s="127">
        <v>43008</v>
      </c>
      <c r="E23" s="130">
        <v>1833.2</v>
      </c>
      <c r="F23" s="128">
        <f t="shared" si="0"/>
        <v>0</v>
      </c>
      <c r="J23" s="151"/>
      <c r="K23" t="s">
        <v>64</v>
      </c>
      <c r="L23" s="154" t="s">
        <v>105</v>
      </c>
      <c r="M23" s="155"/>
      <c r="N23" s="156"/>
      <c r="O23" s="182">
        <v>43001</v>
      </c>
      <c r="P23" s="158"/>
    </row>
    <row r="24" spans="1:16" ht="15.75" x14ac:dyDescent="0.25">
      <c r="A24" s="236">
        <v>43001</v>
      </c>
      <c r="B24" s="126" t="s">
        <v>767</v>
      </c>
      <c r="C24" s="130">
        <v>84990.98</v>
      </c>
      <c r="D24" s="136" t="s">
        <v>822</v>
      </c>
      <c r="E24" s="137">
        <f>40167.08+44823.9</f>
        <v>84990.98000000001</v>
      </c>
      <c r="F24" s="128">
        <f t="shared" si="0"/>
        <v>0</v>
      </c>
      <c r="J24" s="151"/>
      <c r="K24" s="159"/>
      <c r="L24" s="160"/>
      <c r="M24" s="159"/>
      <c r="N24" s="161"/>
      <c r="O24" s="160"/>
      <c r="P24" s="162"/>
    </row>
    <row r="25" spans="1:16" ht="15.75" x14ac:dyDescent="0.25">
      <c r="A25" s="236">
        <v>43004</v>
      </c>
      <c r="B25" s="126" t="s">
        <v>768</v>
      </c>
      <c r="C25" s="130">
        <v>108333.8</v>
      </c>
      <c r="D25" s="138">
        <v>43021</v>
      </c>
      <c r="E25" s="137">
        <v>108333.8</v>
      </c>
      <c r="F25" s="128">
        <f t="shared" si="0"/>
        <v>0</v>
      </c>
      <c r="J25" s="151">
        <v>0</v>
      </c>
      <c r="K25" s="163" t="s">
        <v>106</v>
      </c>
      <c r="L25" s="160" t="s">
        <v>107</v>
      </c>
      <c r="M25" s="159"/>
      <c r="N25" s="161" t="s">
        <v>108</v>
      </c>
      <c r="O25" s="160" t="s">
        <v>109</v>
      </c>
      <c r="P25" s="162"/>
    </row>
    <row r="26" spans="1:16" ht="15.75" x14ac:dyDescent="0.25">
      <c r="A26" s="236">
        <v>43006</v>
      </c>
      <c r="B26" s="126" t="s">
        <v>769</v>
      </c>
      <c r="C26" s="130">
        <v>31426.58</v>
      </c>
      <c r="D26" s="138">
        <v>43021</v>
      </c>
      <c r="E26" s="137">
        <v>31426.58</v>
      </c>
      <c r="F26" s="128">
        <f t="shared" si="0"/>
        <v>0</v>
      </c>
      <c r="J26" s="164">
        <v>11932.1</v>
      </c>
      <c r="K26" s="126" t="s">
        <v>721</v>
      </c>
      <c r="L26" s="130">
        <v>33965.85</v>
      </c>
      <c r="M26" s="165" t="s">
        <v>111</v>
      </c>
      <c r="N26" s="166">
        <v>3932782</v>
      </c>
      <c r="O26" s="167">
        <v>44558</v>
      </c>
      <c r="P26" s="168">
        <v>42985</v>
      </c>
    </row>
    <row r="27" spans="1:16" ht="15.75" x14ac:dyDescent="0.25">
      <c r="A27" s="236">
        <v>43006</v>
      </c>
      <c r="B27" s="126" t="s">
        <v>770</v>
      </c>
      <c r="C27" s="130">
        <v>3815.7</v>
      </c>
      <c r="D27" s="138">
        <v>43021</v>
      </c>
      <c r="E27" s="137">
        <v>3815.7</v>
      </c>
      <c r="F27" s="128">
        <f t="shared" si="0"/>
        <v>0</v>
      </c>
      <c r="J27" s="164">
        <v>31888.85</v>
      </c>
      <c r="K27" s="126" t="s">
        <v>752</v>
      </c>
      <c r="L27" s="130">
        <v>31888.85</v>
      </c>
      <c r="M27" s="165"/>
      <c r="N27" s="166">
        <v>3932786</v>
      </c>
      <c r="O27" s="167">
        <v>59302.5</v>
      </c>
      <c r="P27" s="168">
        <v>42989</v>
      </c>
    </row>
    <row r="28" spans="1:16" ht="15.75" x14ac:dyDescent="0.25">
      <c r="A28" s="236">
        <v>43007</v>
      </c>
      <c r="B28" s="126" t="s">
        <v>786</v>
      </c>
      <c r="C28" s="130">
        <v>6225.6</v>
      </c>
      <c r="D28" s="138">
        <v>43021</v>
      </c>
      <c r="E28" s="137">
        <v>6225.6</v>
      </c>
      <c r="F28" s="128">
        <f t="shared" si="0"/>
        <v>0</v>
      </c>
      <c r="J28" s="140">
        <f>20977.26+64154.5</f>
        <v>85131.76</v>
      </c>
      <c r="K28" s="126" t="s">
        <v>753</v>
      </c>
      <c r="L28" s="130">
        <v>85131.8</v>
      </c>
      <c r="M28" s="165"/>
      <c r="N28" s="166" t="s">
        <v>113</v>
      </c>
      <c r="O28" s="167">
        <v>5496</v>
      </c>
      <c r="P28" s="168">
        <v>42983</v>
      </c>
    </row>
    <row r="29" spans="1:16" ht="15.75" x14ac:dyDescent="0.25">
      <c r="A29" s="236">
        <v>43008</v>
      </c>
      <c r="B29" s="126" t="s">
        <v>787</v>
      </c>
      <c r="C29" s="36">
        <v>115837.22</v>
      </c>
      <c r="D29" s="138">
        <v>43021</v>
      </c>
      <c r="E29" s="368">
        <v>115837.22</v>
      </c>
      <c r="F29" s="128">
        <f t="shared" si="0"/>
        <v>0</v>
      </c>
      <c r="J29" s="140">
        <f>1266.95+29175.05</f>
        <v>30442</v>
      </c>
      <c r="K29" s="126" t="s">
        <v>754</v>
      </c>
      <c r="L29" s="130">
        <v>30442</v>
      </c>
      <c r="M29" s="165"/>
      <c r="N29" s="166">
        <v>3932785</v>
      </c>
      <c r="O29" s="167">
        <v>65421.5</v>
      </c>
      <c r="P29" s="168">
        <v>42989</v>
      </c>
    </row>
    <row r="30" spans="1:16" ht="16.5" thickBot="1" x14ac:dyDescent="0.3">
      <c r="A30" s="308">
        <v>43008</v>
      </c>
      <c r="B30" s="143" t="s">
        <v>788</v>
      </c>
      <c r="C30" s="144">
        <v>7141.46</v>
      </c>
      <c r="D30" s="138">
        <v>43021</v>
      </c>
      <c r="E30" s="269">
        <v>7141.46</v>
      </c>
      <c r="F30" s="128">
        <f t="shared" si="0"/>
        <v>0</v>
      </c>
      <c r="H30" t="s">
        <v>64</v>
      </c>
      <c r="J30" s="140">
        <v>2712.62</v>
      </c>
      <c r="K30" s="126" t="s">
        <v>755</v>
      </c>
      <c r="L30" s="130">
        <v>2712.62</v>
      </c>
      <c r="M30" s="165"/>
      <c r="N30" s="166">
        <v>3932787</v>
      </c>
      <c r="O30" s="167">
        <v>44848</v>
      </c>
      <c r="P30" s="168">
        <v>42989</v>
      </c>
    </row>
    <row r="31" spans="1:16" ht="16.5" thickTop="1" x14ac:dyDescent="0.25">
      <c r="B31" s="44"/>
      <c r="C31" s="130">
        <f>SUM(C3:C30)</f>
        <v>1344368.05</v>
      </c>
      <c r="D31" s="148"/>
      <c r="E31" s="140">
        <f>SUM(E3:E30)</f>
        <v>1344368.05</v>
      </c>
      <c r="F31" s="130">
        <f>SUM(F3:F30)</f>
        <v>0</v>
      </c>
      <c r="J31" s="164">
        <f>24888+41567.38+27715.26</f>
        <v>94170.64</v>
      </c>
      <c r="K31" s="126" t="s">
        <v>756</v>
      </c>
      <c r="L31" s="130">
        <v>94170.26</v>
      </c>
      <c r="M31" s="165"/>
      <c r="N31" s="166" t="s">
        <v>113</v>
      </c>
      <c r="O31" s="167">
        <v>24888</v>
      </c>
      <c r="P31" s="168">
        <v>42991</v>
      </c>
    </row>
    <row r="32" spans="1:16" ht="15.75" x14ac:dyDescent="0.25">
      <c r="A32"/>
      <c r="B32" s="149"/>
      <c r="D32" s="149"/>
      <c r="J32" s="140">
        <f>14168.59+7516.1</f>
        <v>21684.690000000002</v>
      </c>
      <c r="K32" s="126" t="s">
        <v>757</v>
      </c>
      <c r="L32" s="130">
        <v>21664.69</v>
      </c>
      <c r="M32" s="165"/>
      <c r="N32" s="166" t="s">
        <v>113</v>
      </c>
      <c r="O32" s="167">
        <v>41567.5</v>
      </c>
      <c r="P32" s="168">
        <v>42991</v>
      </c>
    </row>
    <row r="33" spans="1:17" ht="15.75" x14ac:dyDescent="0.25">
      <c r="A33"/>
      <c r="B33" s="149">
        <v>42979</v>
      </c>
      <c r="C33" s="404">
        <v>630</v>
      </c>
      <c r="D33" s="149" t="s">
        <v>737</v>
      </c>
      <c r="J33" s="140">
        <f>50014.73+34961.55</f>
        <v>84976.28</v>
      </c>
      <c r="K33" s="126" t="s">
        <v>758</v>
      </c>
      <c r="L33" s="130">
        <v>84976.3</v>
      </c>
      <c r="M33" s="165"/>
      <c r="N33" s="166">
        <v>3932791</v>
      </c>
      <c r="O33" s="167">
        <v>41884</v>
      </c>
      <c r="P33" s="168">
        <v>42991</v>
      </c>
    </row>
    <row r="34" spans="1:17" ht="15.75" x14ac:dyDescent="0.25">
      <c r="A34"/>
      <c r="B34" s="149">
        <v>42980</v>
      </c>
      <c r="C34" s="404">
        <v>1536.5</v>
      </c>
      <c r="D34" s="149" t="s">
        <v>737</v>
      </c>
      <c r="J34" s="140">
        <v>15147.1</v>
      </c>
      <c r="K34" s="126" t="s">
        <v>759</v>
      </c>
      <c r="L34" s="130">
        <v>15147.1</v>
      </c>
      <c r="M34" s="183"/>
      <c r="N34" s="166" t="s">
        <v>113</v>
      </c>
      <c r="O34" s="167">
        <v>51178</v>
      </c>
      <c r="P34" s="168">
        <v>42996</v>
      </c>
    </row>
    <row r="35" spans="1:17" ht="15.75" x14ac:dyDescent="0.25">
      <c r="A35"/>
      <c r="B35" s="149">
        <v>42981</v>
      </c>
      <c r="C35" s="404">
        <v>0</v>
      </c>
      <c r="D35" s="149"/>
      <c r="F35" s="22"/>
      <c r="J35" s="164">
        <f>52124.35+7410.73</f>
        <v>59535.08</v>
      </c>
      <c r="K35" s="126" t="s">
        <v>760</v>
      </c>
      <c r="L35" s="130">
        <v>59535.08</v>
      </c>
      <c r="M35" s="235"/>
      <c r="N35" s="184" t="s">
        <v>113</v>
      </c>
      <c r="O35" s="185">
        <v>4193</v>
      </c>
      <c r="P35" s="186">
        <v>42992</v>
      </c>
    </row>
    <row r="36" spans="1:17" ht="15.75" x14ac:dyDescent="0.25">
      <c r="A36"/>
      <c r="B36" s="149">
        <v>42982</v>
      </c>
      <c r="C36" s="404">
        <v>614</v>
      </c>
      <c r="D36" s="149" t="s">
        <v>737</v>
      </c>
      <c r="F36" s="22"/>
      <c r="J36" s="164">
        <v>1929.2</v>
      </c>
      <c r="K36" s="126" t="s">
        <v>761</v>
      </c>
      <c r="L36" s="130">
        <v>1929.2</v>
      </c>
      <c r="M36" s="187"/>
      <c r="N36" s="184" t="s">
        <v>113</v>
      </c>
      <c r="O36" s="301">
        <v>2160</v>
      </c>
      <c r="P36" s="186">
        <v>42991</v>
      </c>
    </row>
    <row r="37" spans="1:17" ht="15.75" x14ac:dyDescent="0.25">
      <c r="A37"/>
      <c r="B37" s="149">
        <v>42983</v>
      </c>
      <c r="C37" s="404">
        <v>0</v>
      </c>
      <c r="D37" s="149"/>
      <c r="F37" s="22"/>
      <c r="J37" s="164">
        <v>3248</v>
      </c>
      <c r="K37" s="126" t="s">
        <v>762</v>
      </c>
      <c r="L37" s="130">
        <v>3248</v>
      </c>
      <c r="M37" s="187"/>
      <c r="N37" s="184" t="s">
        <v>113</v>
      </c>
      <c r="O37" s="302">
        <v>102233</v>
      </c>
      <c r="P37" s="186">
        <v>42996</v>
      </c>
    </row>
    <row r="38" spans="1:17" ht="15.75" x14ac:dyDescent="0.25">
      <c r="A38"/>
      <c r="B38" s="149">
        <v>42984</v>
      </c>
      <c r="C38" s="404">
        <v>3340</v>
      </c>
      <c r="D38" s="149" t="s">
        <v>750</v>
      </c>
      <c r="F38" s="22"/>
      <c r="J38" s="151">
        <f>44558+12960.39+50344.42</f>
        <v>107862.81</v>
      </c>
      <c r="K38" s="205" t="s">
        <v>763</v>
      </c>
      <c r="L38" s="130">
        <v>109642.76</v>
      </c>
      <c r="M38" s="235"/>
      <c r="N38" s="369" t="s">
        <v>113</v>
      </c>
      <c r="O38" s="301">
        <v>62932.5</v>
      </c>
      <c r="P38" s="186">
        <v>42996</v>
      </c>
    </row>
    <row r="39" spans="1:17" ht="15.75" x14ac:dyDescent="0.25">
      <c r="A39"/>
      <c r="B39" s="149">
        <v>42985</v>
      </c>
      <c r="C39" s="404">
        <v>439.5</v>
      </c>
      <c r="D39" s="149" t="s">
        <v>365</v>
      </c>
      <c r="F39" s="22"/>
      <c r="J39" s="389">
        <f>21992+24251.5</f>
        <v>46243.5</v>
      </c>
      <c r="K39" s="126" t="s">
        <v>764</v>
      </c>
      <c r="L39" s="332">
        <v>22450.99</v>
      </c>
      <c r="M39" s="227" t="s">
        <v>125</v>
      </c>
      <c r="N39" s="166" t="s">
        <v>113</v>
      </c>
      <c r="O39" s="339">
        <v>21992</v>
      </c>
      <c r="P39" s="186">
        <v>43000</v>
      </c>
    </row>
    <row r="40" spans="1:17" ht="16.5" thickBot="1" x14ac:dyDescent="0.3">
      <c r="A40"/>
      <c r="B40" s="149">
        <v>42986</v>
      </c>
      <c r="C40" s="404">
        <v>0</v>
      </c>
      <c r="D40" s="149"/>
      <c r="F40" s="22"/>
      <c r="J40" s="270">
        <v>0</v>
      </c>
      <c r="K40" s="207"/>
      <c r="L40" s="270">
        <v>0</v>
      </c>
      <c r="M40" s="207"/>
      <c r="N40" s="343" t="s">
        <v>113</v>
      </c>
      <c r="O40" s="344">
        <v>24251.5</v>
      </c>
      <c r="P40" s="222">
        <v>43000</v>
      </c>
    </row>
    <row r="41" spans="1:17" ht="16.5" thickTop="1" x14ac:dyDescent="0.25">
      <c r="A41"/>
      <c r="B41" s="149">
        <v>42987</v>
      </c>
      <c r="C41" s="404">
        <v>503</v>
      </c>
      <c r="D41" s="149" t="s">
        <v>99</v>
      </c>
      <c r="F41" s="22"/>
      <c r="J41" s="390">
        <f>SUM(J25:J40)</f>
        <v>596904.62999999989</v>
      </c>
      <c r="K41" s="100"/>
      <c r="L41" s="352">
        <f>SUM(L26:L40)</f>
        <v>596905.5</v>
      </c>
      <c r="M41" s="100"/>
      <c r="N41" s="100"/>
      <c r="O41" s="307">
        <f>SUM(O26:O40)</f>
        <v>596905.5</v>
      </c>
      <c r="P41" s="245"/>
    </row>
    <row r="42" spans="1:17" ht="15.75" x14ac:dyDescent="0.25">
      <c r="A42"/>
      <c r="B42" s="149">
        <v>42988</v>
      </c>
      <c r="C42" s="404">
        <v>619</v>
      </c>
      <c r="D42" s="149" t="s">
        <v>99</v>
      </c>
      <c r="F42" s="22"/>
      <c r="J42" s="100"/>
      <c r="K42" s="100"/>
      <c r="L42" s="248"/>
      <c r="M42" s="100"/>
      <c r="N42" s="100"/>
      <c r="O42" s="249"/>
      <c r="P42" s="245"/>
    </row>
    <row r="43" spans="1:17" ht="15.75" x14ac:dyDescent="0.25">
      <c r="A43"/>
      <c r="B43" s="149">
        <v>42989</v>
      </c>
      <c r="C43" s="404">
        <v>2278</v>
      </c>
      <c r="D43" s="149" t="s">
        <v>784</v>
      </c>
      <c r="F43" s="22"/>
      <c r="J43" s="100"/>
      <c r="K43" s="100"/>
      <c r="L43" s="248"/>
      <c r="M43" s="100"/>
      <c r="N43" s="100"/>
      <c r="O43" s="249"/>
      <c r="P43" s="245"/>
    </row>
    <row r="44" spans="1:17" ht="16.5" thickBot="1" x14ac:dyDescent="0.3">
      <c r="A44"/>
      <c r="B44" s="149">
        <v>42990</v>
      </c>
      <c r="C44" s="404">
        <v>2170.7199999999998</v>
      </c>
      <c r="D44" s="149" t="s">
        <v>785</v>
      </c>
      <c r="E44"/>
      <c r="F44" s="22"/>
      <c r="J44" s="100"/>
      <c r="K44" s="100"/>
      <c r="L44" s="248"/>
      <c r="M44" s="100"/>
      <c r="N44" s="100"/>
      <c r="O44" s="249"/>
      <c r="P44" s="245"/>
    </row>
    <row r="45" spans="1:17" ht="19.5" thickBot="1" x14ac:dyDescent="0.35">
      <c r="A45"/>
      <c r="B45" s="149">
        <v>42991</v>
      </c>
      <c r="C45" s="404">
        <v>0</v>
      </c>
      <c r="D45" s="149"/>
      <c r="E45"/>
      <c r="F45" s="22"/>
      <c r="J45" s="151"/>
      <c r="K45" t="s">
        <v>64</v>
      </c>
      <c r="L45" s="154" t="s">
        <v>105</v>
      </c>
      <c r="M45" s="155"/>
      <c r="N45" s="156"/>
      <c r="O45" s="182">
        <v>43008</v>
      </c>
      <c r="P45" s="158"/>
    </row>
    <row r="46" spans="1:17" ht="15.75" x14ac:dyDescent="0.25">
      <c r="A46"/>
      <c r="B46" s="149">
        <v>42992</v>
      </c>
      <c r="C46" s="404">
        <v>1401</v>
      </c>
      <c r="D46" s="149" t="s">
        <v>97</v>
      </c>
      <c r="E46"/>
      <c r="F46" s="22"/>
      <c r="J46" s="151"/>
      <c r="K46" s="159"/>
      <c r="L46" s="160"/>
      <c r="M46" s="159"/>
      <c r="N46" s="161"/>
      <c r="O46" s="160"/>
      <c r="P46" s="162"/>
    </row>
    <row r="47" spans="1:17" ht="15.75" x14ac:dyDescent="0.25">
      <c r="A47"/>
      <c r="B47" s="149">
        <v>42993</v>
      </c>
      <c r="C47" s="404">
        <v>2620</v>
      </c>
      <c r="D47" s="149" t="s">
        <v>636</v>
      </c>
      <c r="E47"/>
      <c r="F47" s="22"/>
      <c r="J47" s="151">
        <v>5648.01</v>
      </c>
      <c r="K47" s="163" t="s">
        <v>106</v>
      </c>
      <c r="L47" s="160" t="s">
        <v>107</v>
      </c>
      <c r="M47" s="159"/>
      <c r="N47" s="161" t="s">
        <v>108</v>
      </c>
      <c r="O47" s="160" t="s">
        <v>109</v>
      </c>
      <c r="P47" s="162"/>
    </row>
    <row r="48" spans="1:17" ht="15.75" x14ac:dyDescent="0.25">
      <c r="A48"/>
      <c r="B48" s="149">
        <v>42994</v>
      </c>
      <c r="C48" s="404">
        <v>0</v>
      </c>
      <c r="D48" s="149"/>
      <c r="E48"/>
      <c r="F48" s="22"/>
      <c r="H48" s="100"/>
      <c r="J48" s="164">
        <f>35070.58+770.25</f>
        <v>35840.83</v>
      </c>
      <c r="K48" s="126" t="s">
        <v>764</v>
      </c>
      <c r="L48" s="130">
        <v>37640.81</v>
      </c>
      <c r="M48" s="165" t="s">
        <v>111</v>
      </c>
      <c r="N48" s="166">
        <v>353472</v>
      </c>
      <c r="O48" s="167">
        <v>40718</v>
      </c>
      <c r="P48" s="168">
        <v>43001</v>
      </c>
      <c r="Q48" s="16">
        <v>42998</v>
      </c>
    </row>
    <row r="49" spans="1:16" ht="15.75" x14ac:dyDescent="0.25">
      <c r="A49"/>
      <c r="B49" s="149">
        <v>42995</v>
      </c>
      <c r="C49" s="404">
        <v>0</v>
      </c>
      <c r="D49" s="149"/>
      <c r="E49"/>
      <c r="F49" s="22"/>
      <c r="H49" s="100"/>
      <c r="J49" s="164">
        <f>62103.29+48253.51+987</f>
        <v>111343.8</v>
      </c>
      <c r="K49" s="372" t="s">
        <v>771</v>
      </c>
      <c r="L49" s="373">
        <v>111787.41</v>
      </c>
      <c r="M49" s="165"/>
      <c r="N49" s="166" t="s">
        <v>113</v>
      </c>
      <c r="O49" s="167">
        <v>62873</v>
      </c>
      <c r="P49" s="168">
        <v>43003</v>
      </c>
    </row>
    <row r="50" spans="1:16" ht="15.75" x14ac:dyDescent="0.25">
      <c r="B50" s="149">
        <v>42996</v>
      </c>
      <c r="C50" s="404">
        <v>561</v>
      </c>
      <c r="D50" s="149" t="s">
        <v>97</v>
      </c>
      <c r="E50"/>
      <c r="H50" s="100"/>
      <c r="J50" s="140">
        <v>1833.2</v>
      </c>
      <c r="K50" s="126" t="s">
        <v>766</v>
      </c>
      <c r="L50" s="130">
        <v>1833.2</v>
      </c>
      <c r="M50" s="165"/>
      <c r="N50" s="166" t="s">
        <v>113</v>
      </c>
      <c r="O50" s="167">
        <v>48253.5</v>
      </c>
      <c r="P50" s="168">
        <v>43005</v>
      </c>
    </row>
    <row r="51" spans="1:16" ht="15.75" x14ac:dyDescent="0.25">
      <c r="B51" s="149">
        <v>42997</v>
      </c>
      <c r="C51" s="404">
        <v>0</v>
      </c>
      <c r="D51" s="149"/>
      <c r="E51"/>
      <c r="H51" s="100"/>
      <c r="J51" s="140">
        <f>7019.21+29744.5</f>
        <v>36763.71</v>
      </c>
      <c r="K51" s="126" t="s">
        <v>767</v>
      </c>
      <c r="L51" s="130">
        <v>40167.08</v>
      </c>
      <c r="M51" s="165" t="s">
        <v>125</v>
      </c>
      <c r="N51" s="166" t="s">
        <v>113</v>
      </c>
      <c r="O51" s="167">
        <v>9839.5</v>
      </c>
      <c r="P51" s="168">
        <v>43005</v>
      </c>
    </row>
    <row r="52" spans="1:16" ht="15.75" x14ac:dyDescent="0.25">
      <c r="B52" s="149">
        <v>42998</v>
      </c>
      <c r="C52" s="404">
        <v>747</v>
      </c>
      <c r="D52" s="149" t="s">
        <v>97</v>
      </c>
      <c r="E52"/>
      <c r="H52" s="100"/>
      <c r="J52" s="140">
        <v>0</v>
      </c>
      <c r="K52" s="126"/>
      <c r="L52" s="130">
        <v>0</v>
      </c>
      <c r="M52" s="165"/>
      <c r="N52" s="166" t="s">
        <v>113</v>
      </c>
      <c r="O52" s="167">
        <v>29744.5</v>
      </c>
      <c r="P52" s="168">
        <v>43007</v>
      </c>
    </row>
    <row r="53" spans="1:16" ht="16.5" thickBot="1" x14ac:dyDescent="0.3">
      <c r="B53" s="149">
        <v>42999</v>
      </c>
      <c r="C53" s="404">
        <v>382.5</v>
      </c>
      <c r="D53" s="149" t="s">
        <v>811</v>
      </c>
      <c r="E53"/>
      <c r="H53" s="100"/>
      <c r="J53" s="355">
        <v>0</v>
      </c>
      <c r="K53" s="143"/>
      <c r="L53" s="144">
        <v>0</v>
      </c>
      <c r="M53" s="357"/>
      <c r="N53" s="343" t="s">
        <v>113</v>
      </c>
      <c r="O53" s="395">
        <v>0</v>
      </c>
      <c r="P53" s="222"/>
    </row>
    <row r="54" spans="1:16" ht="16.5" thickTop="1" x14ac:dyDescent="0.25">
      <c r="B54" s="149">
        <v>43000</v>
      </c>
      <c r="C54" s="404">
        <v>0</v>
      </c>
      <c r="D54" s="149"/>
      <c r="E54"/>
      <c r="J54" s="392">
        <f>SUM(J47:J53)</f>
        <v>191429.55000000002</v>
      </c>
      <c r="K54" s="176"/>
      <c r="L54" s="36">
        <f>SUM(L48:L53)</f>
        <v>191428.5</v>
      </c>
      <c r="M54" s="393"/>
      <c r="N54" s="244"/>
      <c r="O54" s="307">
        <f>SUM(O48:O53)</f>
        <v>191428.5</v>
      </c>
      <c r="P54" s="245"/>
    </row>
    <row r="55" spans="1:16" ht="15.75" x14ac:dyDescent="0.25">
      <c r="B55" s="149">
        <v>43001</v>
      </c>
      <c r="C55" s="404">
        <v>0</v>
      </c>
      <c r="D55" s="149"/>
      <c r="E55"/>
      <c r="J55" s="392"/>
      <c r="K55" s="176"/>
      <c r="L55" s="36"/>
      <c r="M55" s="393"/>
      <c r="N55" s="244"/>
      <c r="O55" s="307"/>
      <c r="P55" s="245"/>
    </row>
    <row r="56" spans="1:16" ht="15.75" x14ac:dyDescent="0.25">
      <c r="B56" s="149">
        <v>43002</v>
      </c>
      <c r="C56" s="404">
        <v>0</v>
      </c>
      <c r="D56" s="149"/>
      <c r="E56"/>
      <c r="J56" s="392"/>
      <c r="K56" s="176"/>
      <c r="L56" s="36"/>
      <c r="M56" s="393"/>
      <c r="N56" s="244"/>
      <c r="O56" s="307"/>
      <c r="P56" s="245"/>
    </row>
    <row r="57" spans="1:16" ht="15.75" x14ac:dyDescent="0.25">
      <c r="B57" s="149">
        <v>43003</v>
      </c>
      <c r="C57" s="405">
        <v>699</v>
      </c>
      <c r="D57" t="s">
        <v>97</v>
      </c>
      <c r="E57"/>
      <c r="J57" s="351"/>
      <c r="K57" s="176"/>
      <c r="L57" s="36"/>
      <c r="M57" s="246"/>
      <c r="N57" s="244"/>
      <c r="O57" s="394"/>
      <c r="P57" s="245"/>
    </row>
    <row r="58" spans="1:16" ht="15.75" x14ac:dyDescent="0.25">
      <c r="B58" s="149">
        <v>43004</v>
      </c>
      <c r="C58" s="405">
        <v>1221.1400000000001</v>
      </c>
      <c r="D58" s="149" t="s">
        <v>179</v>
      </c>
      <c r="E58"/>
      <c r="J58" s="351"/>
      <c r="K58" s="176"/>
      <c r="L58" s="36"/>
      <c r="M58" s="100"/>
      <c r="N58" s="244"/>
      <c r="O58" s="303"/>
      <c r="P58" s="245"/>
    </row>
    <row r="59" spans="1:16" ht="15.75" x14ac:dyDescent="0.25">
      <c r="B59" s="149">
        <v>43005</v>
      </c>
      <c r="C59" s="404">
        <v>0</v>
      </c>
      <c r="J59" s="351"/>
      <c r="K59" s="176"/>
      <c r="L59" s="36"/>
      <c r="M59" s="100"/>
      <c r="N59" s="244"/>
      <c r="O59" s="303"/>
      <c r="P59" s="245"/>
    </row>
    <row r="60" spans="1:16" ht="15.75" x14ac:dyDescent="0.25">
      <c r="B60" s="149">
        <v>43006</v>
      </c>
      <c r="C60" s="404">
        <v>105</v>
      </c>
      <c r="D60" s="22" t="s">
        <v>829</v>
      </c>
      <c r="J60" s="248"/>
      <c r="K60" s="176"/>
      <c r="L60" s="36"/>
      <c r="M60" s="246"/>
      <c r="N60" s="179"/>
      <c r="O60" s="303"/>
      <c r="P60" s="245"/>
    </row>
    <row r="61" spans="1:16" ht="15.75" x14ac:dyDescent="0.25">
      <c r="B61" s="149">
        <v>43007</v>
      </c>
      <c r="C61" s="404">
        <v>478</v>
      </c>
      <c r="D61" s="22" t="s">
        <v>97</v>
      </c>
      <c r="J61" s="177"/>
      <c r="K61" s="176"/>
      <c r="L61" s="36"/>
      <c r="M61" s="246"/>
      <c r="N61" s="244"/>
      <c r="O61" s="249"/>
      <c r="P61" s="245"/>
    </row>
    <row r="62" spans="1:16" ht="15.75" x14ac:dyDescent="0.25">
      <c r="B62" s="149">
        <v>43008</v>
      </c>
      <c r="C62" s="404">
        <v>0</v>
      </c>
      <c r="J62" s="248"/>
      <c r="K62" s="100"/>
      <c r="L62" s="248"/>
      <c r="M62" s="100"/>
      <c r="N62" s="244"/>
      <c r="O62" s="249"/>
      <c r="P62" s="245"/>
    </row>
    <row r="63" spans="1:16" ht="15.75" x14ac:dyDescent="0.25">
      <c r="B63" s="149"/>
      <c r="J63" s="390"/>
      <c r="K63" s="100"/>
      <c r="L63" s="352"/>
      <c r="M63" s="100"/>
      <c r="N63" s="100"/>
      <c r="O63" s="307"/>
      <c r="P63" s="245"/>
    </row>
    <row r="64" spans="1:16" ht="15.75" x14ac:dyDescent="0.25">
      <c r="B64" s="149"/>
      <c r="J64" s="100"/>
      <c r="K64" s="100"/>
      <c r="L64" s="248"/>
      <c r="M64" s="100"/>
      <c r="N64" s="100"/>
      <c r="O64" s="249"/>
      <c r="P64" s="245"/>
    </row>
    <row r="65" spans="3:3" ht="18.75" x14ac:dyDescent="0.3">
      <c r="C65" s="215">
        <f>SUM(C33:C64)</f>
        <v>20345.36</v>
      </c>
    </row>
  </sheetData>
  <sortState ref="K49:L54">
    <sortCondition ref="K49:K54"/>
  </sortState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Q76"/>
  <sheetViews>
    <sheetView topLeftCell="A31" workbookViewId="0">
      <selection activeCell="Q43" sqref="Q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34" t="s">
        <v>789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8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208523.32</v>
      </c>
      <c r="D4" s="13"/>
      <c r="E4" s="435" t="s">
        <v>4</v>
      </c>
      <c r="F4" s="436"/>
      <c r="I4" s="437" t="s">
        <v>64</v>
      </c>
      <c r="J4" s="438"/>
      <c r="K4" s="438"/>
      <c r="L4" s="438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43009</v>
      </c>
      <c r="C5" s="286">
        <v>47883.79</v>
      </c>
      <c r="D5" s="238" t="s">
        <v>843</v>
      </c>
      <c r="E5" s="279">
        <v>43009</v>
      </c>
      <c r="F5" s="280">
        <v>51509.79</v>
      </c>
      <c r="G5" s="22"/>
      <c r="H5" s="23">
        <v>43009</v>
      </c>
      <c r="I5" s="291">
        <v>126</v>
      </c>
      <c r="J5" s="195"/>
      <c r="K5" s="26"/>
      <c r="L5" s="27"/>
      <c r="M5" s="196">
        <v>47884</v>
      </c>
      <c r="N5" s="29">
        <v>100</v>
      </c>
      <c r="O5" s="22"/>
      <c r="P5" s="335"/>
    </row>
    <row r="6" spans="1:17" ht="15.75" thickBot="1" x14ac:dyDescent="0.3">
      <c r="A6" s="16"/>
      <c r="B6" s="287">
        <v>43010</v>
      </c>
      <c r="C6" s="288">
        <v>34883</v>
      </c>
      <c r="D6" s="239" t="s">
        <v>843</v>
      </c>
      <c r="E6" s="281">
        <v>43010</v>
      </c>
      <c r="F6" s="282">
        <v>35482.82</v>
      </c>
      <c r="G6" s="33"/>
      <c r="H6" s="23">
        <v>43010</v>
      </c>
      <c r="I6" s="292">
        <v>100</v>
      </c>
      <c r="J6" s="36"/>
      <c r="K6" s="37" t="s">
        <v>9</v>
      </c>
      <c r="L6" s="38">
        <v>876</v>
      </c>
      <c r="M6" s="39">
        <v>34883</v>
      </c>
      <c r="N6" s="35">
        <v>100</v>
      </c>
      <c r="O6" s="22"/>
      <c r="P6" s="335"/>
    </row>
    <row r="7" spans="1:17" ht="15.75" thickBot="1" x14ac:dyDescent="0.3">
      <c r="A7" s="16"/>
      <c r="B7" s="287">
        <v>43011</v>
      </c>
      <c r="C7" s="288">
        <v>43479.32</v>
      </c>
      <c r="D7" s="238" t="s">
        <v>845</v>
      </c>
      <c r="E7" s="281">
        <v>43011</v>
      </c>
      <c r="F7" s="282">
        <v>43579.32</v>
      </c>
      <c r="G7" s="22"/>
      <c r="H7" s="23">
        <v>43011</v>
      </c>
      <c r="I7" s="292">
        <v>100</v>
      </c>
      <c r="J7" s="36"/>
      <c r="K7" s="40" t="s">
        <v>131</v>
      </c>
      <c r="L7" s="38">
        <v>0</v>
      </c>
      <c r="M7" s="39">
        <v>42645</v>
      </c>
      <c r="N7" s="35">
        <v>100</v>
      </c>
      <c r="O7" s="22"/>
      <c r="P7" s="335"/>
    </row>
    <row r="8" spans="1:17" ht="15.75" thickBot="1" x14ac:dyDescent="0.3">
      <c r="A8" s="16"/>
      <c r="B8" s="287">
        <v>43012</v>
      </c>
      <c r="C8" s="288">
        <v>30422</v>
      </c>
      <c r="D8" s="238" t="s">
        <v>846</v>
      </c>
      <c r="E8" s="281">
        <v>43012</v>
      </c>
      <c r="F8" s="282">
        <v>31199.43</v>
      </c>
      <c r="G8" s="22"/>
      <c r="H8" s="23">
        <v>43012</v>
      </c>
      <c r="I8" s="292">
        <v>248</v>
      </c>
      <c r="J8" s="36"/>
      <c r="K8" s="37" t="s">
        <v>14</v>
      </c>
      <c r="L8" s="38">
        <v>28750</v>
      </c>
      <c r="M8" s="39">
        <v>30422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43013</v>
      </c>
      <c r="C9" s="288">
        <v>29856.85</v>
      </c>
      <c r="D9" s="238" t="s">
        <v>848</v>
      </c>
      <c r="E9" s="281">
        <v>43013</v>
      </c>
      <c r="F9" s="282">
        <v>29946.85</v>
      </c>
      <c r="G9" s="22"/>
      <c r="H9" s="23">
        <v>43013</v>
      </c>
      <c r="I9" s="292">
        <v>90</v>
      </c>
      <c r="J9" s="42" t="s">
        <v>839</v>
      </c>
      <c r="K9" s="37" t="s">
        <v>834</v>
      </c>
      <c r="L9" s="32">
        <f>11041.35+1800</f>
        <v>12841.35</v>
      </c>
      <c r="M9" s="39">
        <v>29857</v>
      </c>
      <c r="N9" s="35">
        <v>0</v>
      </c>
      <c r="O9" s="44"/>
      <c r="P9" s="335"/>
    </row>
    <row r="10" spans="1:17" ht="15.75" thickBot="1" x14ac:dyDescent="0.3">
      <c r="A10" s="16"/>
      <c r="B10" s="287">
        <v>43014</v>
      </c>
      <c r="C10" s="288">
        <v>69529</v>
      </c>
      <c r="D10" s="239" t="s">
        <v>849</v>
      </c>
      <c r="E10" s="281">
        <v>43014</v>
      </c>
      <c r="F10" s="282">
        <v>69726.84</v>
      </c>
      <c r="G10" s="22"/>
      <c r="H10" s="23">
        <v>43014</v>
      </c>
      <c r="I10" s="292">
        <v>168</v>
      </c>
      <c r="J10" s="42" t="s">
        <v>840</v>
      </c>
      <c r="K10" s="37" t="s">
        <v>836</v>
      </c>
      <c r="L10" s="32">
        <f>9865.85+2500</f>
        <v>12365.85</v>
      </c>
      <c r="M10" s="39">
        <v>69529</v>
      </c>
      <c r="N10" s="35">
        <v>100</v>
      </c>
      <c r="O10" s="36"/>
      <c r="P10" s="335"/>
    </row>
    <row r="11" spans="1:17" ht="15.75" thickBot="1" x14ac:dyDescent="0.3">
      <c r="A11" s="16"/>
      <c r="B11" s="287">
        <v>43015</v>
      </c>
      <c r="C11" s="288">
        <v>76638.179999999993</v>
      </c>
      <c r="D11" s="240" t="s">
        <v>850</v>
      </c>
      <c r="E11" s="281">
        <v>43015</v>
      </c>
      <c r="F11" s="282">
        <v>78938.179999999993</v>
      </c>
      <c r="G11" s="22"/>
      <c r="H11" s="23">
        <v>43015</v>
      </c>
      <c r="I11" s="292">
        <v>500</v>
      </c>
      <c r="J11" s="42" t="s">
        <v>885</v>
      </c>
      <c r="K11" s="37" t="s">
        <v>835</v>
      </c>
      <c r="L11" s="32">
        <v>2500</v>
      </c>
      <c r="M11" s="39">
        <v>75961</v>
      </c>
      <c r="N11" s="35">
        <v>100</v>
      </c>
      <c r="O11" s="36"/>
      <c r="P11" s="335"/>
    </row>
    <row r="12" spans="1:17" ht="15.75" thickBot="1" x14ac:dyDescent="0.3">
      <c r="A12" s="16"/>
      <c r="B12" s="287">
        <v>43016</v>
      </c>
      <c r="C12" s="288">
        <v>51729.39</v>
      </c>
      <c r="D12" s="238" t="s">
        <v>853</v>
      </c>
      <c r="E12" s="281">
        <v>43016</v>
      </c>
      <c r="F12" s="282">
        <v>55634.39</v>
      </c>
      <c r="G12" s="22"/>
      <c r="H12" s="23">
        <v>43016</v>
      </c>
      <c r="I12" s="292">
        <v>405</v>
      </c>
      <c r="J12" s="42" t="s">
        <v>896</v>
      </c>
      <c r="K12" s="37" t="s">
        <v>837</v>
      </c>
      <c r="L12" s="32">
        <v>2250</v>
      </c>
      <c r="M12" s="39">
        <v>51729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43017</v>
      </c>
      <c r="C13" s="288">
        <v>39610</v>
      </c>
      <c r="D13" s="239" t="s">
        <v>854</v>
      </c>
      <c r="E13" s="281">
        <v>43017</v>
      </c>
      <c r="F13" s="282">
        <v>40710.18</v>
      </c>
      <c r="G13" s="22"/>
      <c r="H13" s="23">
        <v>43017</v>
      </c>
      <c r="I13" s="292">
        <v>100</v>
      </c>
      <c r="J13" s="42"/>
      <c r="K13" s="37" t="s">
        <v>838</v>
      </c>
      <c r="L13" s="32">
        <v>0</v>
      </c>
      <c r="M13" s="39">
        <v>39610</v>
      </c>
      <c r="N13" s="35">
        <v>100</v>
      </c>
      <c r="O13" s="22"/>
      <c r="P13" s="335"/>
    </row>
    <row r="14" spans="1:17" ht="15.75" thickBot="1" x14ac:dyDescent="0.3">
      <c r="A14" s="16"/>
      <c r="B14" s="287">
        <v>43018</v>
      </c>
      <c r="C14" s="288">
        <v>27838</v>
      </c>
      <c r="D14" s="238" t="s">
        <v>855</v>
      </c>
      <c r="E14" s="281">
        <v>43018</v>
      </c>
      <c r="F14" s="282">
        <v>28769.35</v>
      </c>
      <c r="G14" s="22"/>
      <c r="H14" s="23">
        <v>43018</v>
      </c>
      <c r="I14" s="292">
        <v>480</v>
      </c>
      <c r="J14" s="42"/>
      <c r="K14" s="178" t="s">
        <v>29</v>
      </c>
      <c r="L14" s="32">
        <v>0</v>
      </c>
      <c r="M14" s="39">
        <v>27838</v>
      </c>
      <c r="N14" s="35">
        <v>100</v>
      </c>
      <c r="O14" s="22"/>
      <c r="P14" s="335"/>
    </row>
    <row r="15" spans="1:17" ht="15.75" thickBot="1" x14ac:dyDescent="0.3">
      <c r="A15" s="16"/>
      <c r="B15" s="287">
        <v>43019</v>
      </c>
      <c r="C15" s="288">
        <v>37850.629999999997</v>
      </c>
      <c r="D15" s="238" t="s">
        <v>855</v>
      </c>
      <c r="E15" s="281">
        <v>43019</v>
      </c>
      <c r="F15" s="282">
        <v>38016.959999999999</v>
      </c>
      <c r="G15" s="22"/>
      <c r="H15" s="23">
        <v>43019</v>
      </c>
      <c r="I15" s="292">
        <v>166</v>
      </c>
      <c r="J15" s="265"/>
      <c r="K15" s="49"/>
      <c r="L15" s="32">
        <v>0</v>
      </c>
      <c r="M15" s="39">
        <v>37288.5</v>
      </c>
      <c r="N15" s="35">
        <v>100</v>
      </c>
      <c r="O15" s="22"/>
      <c r="P15" s="335"/>
    </row>
    <row r="16" spans="1:17" ht="15.75" thickBot="1" x14ac:dyDescent="0.3">
      <c r="A16" s="16"/>
      <c r="B16" s="287">
        <v>43020</v>
      </c>
      <c r="C16" s="288">
        <v>31230</v>
      </c>
      <c r="D16" s="238" t="s">
        <v>855</v>
      </c>
      <c r="E16" s="281">
        <v>43020</v>
      </c>
      <c r="F16" s="282">
        <v>31834.41</v>
      </c>
      <c r="G16" s="22"/>
      <c r="H16" s="23">
        <v>43020</v>
      </c>
      <c r="I16" s="292">
        <v>100</v>
      </c>
      <c r="J16" s="42"/>
      <c r="K16" s="49" t="s">
        <v>31</v>
      </c>
      <c r="L16" s="51">
        <v>0</v>
      </c>
      <c r="M16" s="39">
        <v>31230</v>
      </c>
      <c r="N16" s="35">
        <v>100</v>
      </c>
      <c r="O16" s="22"/>
      <c r="P16" s="335"/>
    </row>
    <row r="17" spans="1:16" ht="15.75" thickBot="1" x14ac:dyDescent="0.3">
      <c r="A17" s="16"/>
      <c r="B17" s="287">
        <v>43021</v>
      </c>
      <c r="C17" s="288">
        <v>61082</v>
      </c>
      <c r="D17" s="238" t="s">
        <v>858</v>
      </c>
      <c r="E17" s="281">
        <v>43021</v>
      </c>
      <c r="F17" s="282">
        <v>63727.27</v>
      </c>
      <c r="G17" s="22"/>
      <c r="H17" s="23">
        <v>43021</v>
      </c>
      <c r="I17" s="292">
        <v>156</v>
      </c>
      <c r="J17" s="42"/>
      <c r="K17" s="52"/>
      <c r="L17" s="32">
        <v>0</v>
      </c>
      <c r="M17" s="39">
        <v>61082</v>
      </c>
      <c r="N17" s="35">
        <v>100</v>
      </c>
      <c r="O17" s="44"/>
      <c r="P17" s="335"/>
    </row>
    <row r="18" spans="1:16" ht="15.75" thickBot="1" x14ac:dyDescent="0.3">
      <c r="A18" s="16"/>
      <c r="B18" s="287">
        <v>43022</v>
      </c>
      <c r="C18" s="288">
        <v>93490</v>
      </c>
      <c r="D18" s="238" t="s">
        <v>859</v>
      </c>
      <c r="E18" s="281">
        <v>43022</v>
      </c>
      <c r="F18" s="282">
        <v>94101.46</v>
      </c>
      <c r="G18" s="22"/>
      <c r="H18" s="23">
        <v>43022</v>
      </c>
      <c r="I18" s="292">
        <v>100</v>
      </c>
      <c r="J18" s="42"/>
      <c r="K18" s="53"/>
      <c r="L18" s="32"/>
      <c r="M18" s="39">
        <v>93490</v>
      </c>
      <c r="N18" s="35">
        <v>100</v>
      </c>
      <c r="O18" s="44"/>
      <c r="P18" s="335"/>
    </row>
    <row r="19" spans="1:16" ht="15.75" thickBot="1" x14ac:dyDescent="0.3">
      <c r="A19" s="16"/>
      <c r="B19" s="287">
        <v>43023</v>
      </c>
      <c r="C19" s="288">
        <v>65620</v>
      </c>
      <c r="D19" s="238" t="s">
        <v>860</v>
      </c>
      <c r="E19" s="281">
        <v>43023</v>
      </c>
      <c r="F19" s="282">
        <v>65718.34</v>
      </c>
      <c r="G19" s="22"/>
      <c r="H19" s="23">
        <v>43023</v>
      </c>
      <c r="I19" s="292">
        <v>100</v>
      </c>
      <c r="J19" s="42"/>
      <c r="K19" s="53"/>
      <c r="L19" s="54"/>
      <c r="M19" s="39">
        <v>65620</v>
      </c>
      <c r="N19" s="35">
        <v>100</v>
      </c>
      <c r="O19" s="22"/>
      <c r="P19" s="335"/>
    </row>
    <row r="20" spans="1:16" ht="15.75" thickBot="1" x14ac:dyDescent="0.3">
      <c r="A20" s="16"/>
      <c r="B20" s="287">
        <v>43024</v>
      </c>
      <c r="C20" s="288">
        <v>39824.839999999997</v>
      </c>
      <c r="D20" s="239" t="s">
        <v>861</v>
      </c>
      <c r="E20" s="281">
        <v>43024</v>
      </c>
      <c r="F20" s="282">
        <v>39924.839999999997</v>
      </c>
      <c r="G20" s="22"/>
      <c r="H20" s="23">
        <v>43024</v>
      </c>
      <c r="I20" s="292">
        <v>100</v>
      </c>
      <c r="J20" s="42"/>
      <c r="K20" s="56" t="s">
        <v>38</v>
      </c>
      <c r="L20" s="51">
        <v>0</v>
      </c>
      <c r="M20" s="39">
        <v>39270</v>
      </c>
      <c r="N20" s="35">
        <v>100</v>
      </c>
      <c r="O20" s="44"/>
      <c r="P20" s="22"/>
    </row>
    <row r="21" spans="1:16" ht="15.75" thickBot="1" x14ac:dyDescent="0.3">
      <c r="A21" s="16"/>
      <c r="B21" s="287">
        <v>43025</v>
      </c>
      <c r="C21" s="288">
        <v>28554.99</v>
      </c>
      <c r="D21" s="238" t="s">
        <v>862</v>
      </c>
      <c r="E21" s="281">
        <v>43025</v>
      </c>
      <c r="F21" s="282">
        <v>28654.99</v>
      </c>
      <c r="G21" s="22"/>
      <c r="H21" s="23">
        <v>43025</v>
      </c>
      <c r="I21" s="292">
        <v>100</v>
      </c>
      <c r="J21" s="42"/>
      <c r="K21" s="57" t="s">
        <v>418</v>
      </c>
      <c r="L21" s="51">
        <v>0</v>
      </c>
      <c r="M21" s="39">
        <v>28254</v>
      </c>
      <c r="N21" s="35">
        <v>100</v>
      </c>
      <c r="O21" s="44"/>
      <c r="P21" s="44"/>
    </row>
    <row r="22" spans="1:16" ht="15.75" thickBot="1" x14ac:dyDescent="0.3">
      <c r="A22" s="16"/>
      <c r="B22" s="287">
        <v>43026</v>
      </c>
      <c r="C22" s="288">
        <v>40910.43</v>
      </c>
      <c r="D22" s="238" t="s">
        <v>881</v>
      </c>
      <c r="E22" s="281">
        <v>43026</v>
      </c>
      <c r="F22" s="282">
        <v>41010.43</v>
      </c>
      <c r="G22" s="22"/>
      <c r="H22" s="23">
        <v>43026</v>
      </c>
      <c r="I22" s="292">
        <v>100</v>
      </c>
      <c r="J22" s="58"/>
      <c r="K22" s="266" t="s">
        <v>42</v>
      </c>
      <c r="L22" s="51">
        <v>870</v>
      </c>
      <c r="M22" s="39">
        <v>39637.5</v>
      </c>
      <c r="N22" s="35">
        <v>100</v>
      </c>
      <c r="O22" s="22"/>
      <c r="P22" s="22"/>
    </row>
    <row r="23" spans="1:16" ht="15.75" thickBot="1" x14ac:dyDescent="0.3">
      <c r="A23" s="16"/>
      <c r="B23" s="287">
        <v>43027</v>
      </c>
      <c r="C23" s="288">
        <v>22687.81</v>
      </c>
      <c r="D23" s="241" t="s">
        <v>884</v>
      </c>
      <c r="E23" s="281">
        <v>43027</v>
      </c>
      <c r="F23" s="282">
        <v>26057.81</v>
      </c>
      <c r="G23" s="22"/>
      <c r="H23" s="23">
        <v>43027</v>
      </c>
      <c r="I23" s="292">
        <v>0</v>
      </c>
      <c r="J23" s="36"/>
      <c r="K23" s="61">
        <v>43027</v>
      </c>
      <c r="L23" s="426" t="s">
        <v>882</v>
      </c>
      <c r="M23" s="39">
        <v>22688.5</v>
      </c>
      <c r="N23" s="35">
        <v>0</v>
      </c>
      <c r="P23" s="22"/>
    </row>
    <row r="24" spans="1:16" ht="15.75" thickBot="1" x14ac:dyDescent="0.3">
      <c r="A24" s="16"/>
      <c r="B24" s="287">
        <v>43028</v>
      </c>
      <c r="C24" s="288">
        <v>74131.19</v>
      </c>
      <c r="D24" s="238" t="s">
        <v>886</v>
      </c>
      <c r="E24" s="281">
        <v>43028</v>
      </c>
      <c r="F24" s="282">
        <v>76981.19</v>
      </c>
      <c r="G24" s="22"/>
      <c r="H24" s="23">
        <v>43028</v>
      </c>
      <c r="I24" s="292">
        <v>350</v>
      </c>
      <c r="J24" s="42"/>
      <c r="K24" s="263"/>
      <c r="L24" s="51">
        <v>0</v>
      </c>
      <c r="M24" s="39">
        <v>73583</v>
      </c>
      <c r="N24" s="35">
        <v>100</v>
      </c>
      <c r="P24" s="22"/>
    </row>
    <row r="25" spans="1:16" ht="15.75" thickBot="1" x14ac:dyDescent="0.3">
      <c r="A25" s="16"/>
      <c r="B25" s="287">
        <v>43029</v>
      </c>
      <c r="C25" s="288">
        <v>90947.99</v>
      </c>
      <c r="D25" s="241" t="s">
        <v>887</v>
      </c>
      <c r="E25" s="281">
        <v>43029</v>
      </c>
      <c r="F25" s="282">
        <v>90947.99</v>
      </c>
      <c r="G25" s="22"/>
      <c r="H25" s="23">
        <v>43029</v>
      </c>
      <c r="I25" s="292">
        <v>0</v>
      </c>
      <c r="J25" s="36"/>
      <c r="K25" s="61"/>
      <c r="L25" s="51">
        <v>0</v>
      </c>
      <c r="M25" s="39">
        <v>90114</v>
      </c>
      <c r="N25" s="35">
        <v>0</v>
      </c>
      <c r="O25" s="22"/>
      <c r="P25" s="22"/>
    </row>
    <row r="26" spans="1:16" ht="15.75" thickBot="1" x14ac:dyDescent="0.3">
      <c r="A26" s="16"/>
      <c r="B26" s="287">
        <v>43030</v>
      </c>
      <c r="C26" s="288">
        <v>68049.070000000007</v>
      </c>
      <c r="D26" s="238" t="s">
        <v>889</v>
      </c>
      <c r="E26" s="281">
        <v>43030</v>
      </c>
      <c r="F26" s="282">
        <v>72649.070000000007</v>
      </c>
      <c r="G26" s="22"/>
      <c r="H26" s="23">
        <v>43030</v>
      </c>
      <c r="I26" s="292">
        <v>100</v>
      </c>
      <c r="J26" s="63"/>
      <c r="K26" s="61"/>
      <c r="L26" s="51">
        <v>0</v>
      </c>
      <c r="M26" s="39">
        <v>68550</v>
      </c>
      <c r="N26" s="35">
        <v>100</v>
      </c>
      <c r="O26" s="44"/>
      <c r="P26" s="47"/>
    </row>
    <row r="27" spans="1:16" ht="15.75" thickBot="1" x14ac:dyDescent="0.3">
      <c r="A27" s="16"/>
      <c r="B27" s="287">
        <v>43031</v>
      </c>
      <c r="C27" s="288">
        <v>49890.46</v>
      </c>
      <c r="D27" s="238" t="s">
        <v>891</v>
      </c>
      <c r="E27" s="281">
        <v>43031</v>
      </c>
      <c r="F27" s="282">
        <v>50100.46</v>
      </c>
      <c r="G27" s="22"/>
      <c r="H27" s="23">
        <v>43031</v>
      </c>
      <c r="I27" s="292">
        <v>210</v>
      </c>
      <c r="J27" s="36"/>
      <c r="K27" s="64" t="s">
        <v>842</v>
      </c>
      <c r="L27" s="51">
        <v>3500</v>
      </c>
      <c r="M27" s="39">
        <v>49356.5</v>
      </c>
      <c r="N27" s="35">
        <v>100</v>
      </c>
      <c r="O27" s="22"/>
      <c r="P27" s="22"/>
    </row>
    <row r="28" spans="1:16" ht="15.75" thickBot="1" x14ac:dyDescent="0.3">
      <c r="A28" s="16"/>
      <c r="B28" s="287">
        <v>43032</v>
      </c>
      <c r="C28" s="288">
        <v>28428.75</v>
      </c>
      <c r="D28" s="238" t="s">
        <v>892</v>
      </c>
      <c r="E28" s="281">
        <v>43032</v>
      </c>
      <c r="F28" s="282">
        <v>29658.75</v>
      </c>
      <c r="G28" s="22"/>
      <c r="H28" s="23">
        <v>43032</v>
      </c>
      <c r="I28" s="292">
        <v>1230</v>
      </c>
      <c r="J28" s="36"/>
      <c r="K28" s="64" t="s">
        <v>844</v>
      </c>
      <c r="L28" s="51">
        <v>500</v>
      </c>
      <c r="M28" s="39">
        <v>28428.5</v>
      </c>
      <c r="N28" s="35">
        <v>100</v>
      </c>
      <c r="O28" s="44"/>
      <c r="P28" s="22"/>
    </row>
    <row r="29" spans="1:16" ht="15.75" thickBot="1" x14ac:dyDescent="0.3">
      <c r="A29" s="16"/>
      <c r="B29" s="287">
        <v>43033</v>
      </c>
      <c r="C29" s="288">
        <v>59681.75</v>
      </c>
      <c r="D29" s="238" t="s">
        <v>894</v>
      </c>
      <c r="E29" s="281">
        <v>43033</v>
      </c>
      <c r="F29" s="282">
        <v>59931.75</v>
      </c>
      <c r="G29" s="22"/>
      <c r="H29" s="23">
        <v>43033</v>
      </c>
      <c r="I29" s="292">
        <v>250</v>
      </c>
      <c r="J29" s="36"/>
      <c r="K29" s="64" t="s">
        <v>852</v>
      </c>
      <c r="L29" s="51">
        <v>3500</v>
      </c>
      <c r="M29" s="39">
        <v>58652</v>
      </c>
      <c r="N29" s="35">
        <v>100</v>
      </c>
      <c r="O29" s="44"/>
      <c r="P29" s="44"/>
    </row>
    <row r="30" spans="1:16" ht="15.75" thickBot="1" x14ac:dyDescent="0.3">
      <c r="A30" s="16"/>
      <c r="B30" s="287">
        <v>43034</v>
      </c>
      <c r="C30" s="288">
        <v>38235.39</v>
      </c>
      <c r="D30" s="238" t="s">
        <v>895</v>
      </c>
      <c r="E30" s="281">
        <v>43034</v>
      </c>
      <c r="F30" s="282">
        <v>38235.39</v>
      </c>
      <c r="G30" s="22"/>
      <c r="H30" s="23">
        <v>43034</v>
      </c>
      <c r="I30" s="292">
        <v>0</v>
      </c>
      <c r="J30" s="63"/>
      <c r="K30" s="64" t="s">
        <v>883</v>
      </c>
      <c r="L30" s="51">
        <v>1000</v>
      </c>
      <c r="M30" s="39">
        <v>37620</v>
      </c>
      <c r="N30" s="35">
        <v>0</v>
      </c>
      <c r="O30" s="22"/>
      <c r="P30" s="22"/>
    </row>
    <row r="31" spans="1:16" ht="15.75" thickBot="1" x14ac:dyDescent="0.3">
      <c r="A31" s="16"/>
      <c r="B31" s="287">
        <v>43035</v>
      </c>
      <c r="C31" s="288">
        <v>75312.75</v>
      </c>
      <c r="D31" s="238" t="s">
        <v>897</v>
      </c>
      <c r="E31" s="281">
        <v>43035</v>
      </c>
      <c r="F31" s="282">
        <v>77718.75</v>
      </c>
      <c r="G31" s="22"/>
      <c r="H31" s="23">
        <v>43035</v>
      </c>
      <c r="I31" s="292">
        <v>156</v>
      </c>
      <c r="J31" s="42"/>
      <c r="K31" s="504" t="s">
        <v>890</v>
      </c>
      <c r="L31" s="506">
        <v>2500</v>
      </c>
      <c r="M31" s="505">
        <v>74666</v>
      </c>
      <c r="N31" s="35">
        <v>100</v>
      </c>
      <c r="O31" s="44"/>
      <c r="P31" s="44"/>
    </row>
    <row r="32" spans="1:16" ht="15.75" thickBot="1" x14ac:dyDescent="0.3">
      <c r="A32" s="16"/>
      <c r="B32" s="287">
        <v>43036</v>
      </c>
      <c r="C32" s="288">
        <v>75458.27</v>
      </c>
      <c r="D32" s="238" t="s">
        <v>905</v>
      </c>
      <c r="E32" s="281">
        <v>43036</v>
      </c>
      <c r="F32" s="282">
        <v>75558.27</v>
      </c>
      <c r="G32" s="22"/>
      <c r="H32" s="23">
        <v>43036</v>
      </c>
      <c r="I32" s="292">
        <v>100</v>
      </c>
      <c r="J32" s="36"/>
      <c r="K32" s="64" t="s">
        <v>893</v>
      </c>
      <c r="L32" s="506">
        <v>4000</v>
      </c>
      <c r="M32" s="505">
        <v>75403.5</v>
      </c>
      <c r="N32" s="35">
        <v>100</v>
      </c>
      <c r="O32" s="22"/>
      <c r="P32" s="22"/>
    </row>
    <row r="33" spans="1:16" ht="16.5" thickBot="1" x14ac:dyDescent="0.3">
      <c r="A33" s="16"/>
      <c r="B33" s="287">
        <v>43037</v>
      </c>
      <c r="C33" s="288">
        <v>51532.4</v>
      </c>
      <c r="D33" s="240" t="s">
        <v>907</v>
      </c>
      <c r="E33" s="281">
        <v>43037</v>
      </c>
      <c r="F33" s="282">
        <v>56132.4</v>
      </c>
      <c r="G33" s="22"/>
      <c r="H33" s="23">
        <v>43037</v>
      </c>
      <c r="I33" s="292">
        <v>100</v>
      </c>
      <c r="J33" s="36"/>
      <c r="K33" s="178" t="s">
        <v>906</v>
      </c>
      <c r="L33" s="498">
        <v>4500</v>
      </c>
      <c r="M33" s="39">
        <v>50883.5</v>
      </c>
      <c r="N33" s="35">
        <v>100</v>
      </c>
      <c r="O33" s="22"/>
      <c r="P33" s="22"/>
    </row>
    <row r="34" spans="1:16" ht="16.5" thickBot="1" x14ac:dyDescent="0.3">
      <c r="A34" s="16"/>
      <c r="B34" s="287">
        <v>43038</v>
      </c>
      <c r="C34" s="289">
        <v>22710</v>
      </c>
      <c r="D34" s="238" t="s">
        <v>910</v>
      </c>
      <c r="E34" s="281">
        <v>43038</v>
      </c>
      <c r="F34" s="282">
        <v>36394.879999999997</v>
      </c>
      <c r="G34" s="22"/>
      <c r="H34" s="23">
        <v>43038</v>
      </c>
      <c r="I34" s="292">
        <v>259</v>
      </c>
      <c r="J34" s="36"/>
      <c r="K34" s="503" t="s">
        <v>909</v>
      </c>
      <c r="L34" s="498">
        <v>1500</v>
      </c>
      <c r="M34" s="39">
        <v>22600</v>
      </c>
      <c r="N34" s="35">
        <v>100</v>
      </c>
      <c r="O34" s="499">
        <v>1718</v>
      </c>
    </row>
    <row r="35" spans="1:16" ht="15.75" thickBot="1" x14ac:dyDescent="0.3">
      <c r="A35" s="16"/>
      <c r="B35" s="287">
        <v>43039</v>
      </c>
      <c r="C35" s="30">
        <v>55389.84</v>
      </c>
      <c r="D35" s="238" t="s">
        <v>911</v>
      </c>
      <c r="E35" s="281">
        <v>43039</v>
      </c>
      <c r="F35" s="284">
        <v>55489.84</v>
      </c>
      <c r="G35" s="22"/>
      <c r="H35" s="23">
        <v>43039</v>
      </c>
      <c r="I35" s="292">
        <v>100</v>
      </c>
      <c r="J35" s="36"/>
      <c r="K35" s="475"/>
      <c r="L35" s="38">
        <v>0</v>
      </c>
      <c r="M35" s="39">
        <v>54209</v>
      </c>
      <c r="N35" s="70">
        <v>100</v>
      </c>
      <c r="O35" s="316">
        <v>200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75"/>
      <c r="L36" s="41"/>
      <c r="M36" s="78">
        <v>0</v>
      </c>
      <c r="N36" s="79">
        <f>SUM(N5:N35)</f>
        <v>2700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1552984.5</v>
      </c>
    </row>
    <row r="38" spans="1:16" x14ac:dyDescent="0.25">
      <c r="B38" s="91" t="s">
        <v>60</v>
      </c>
      <c r="C38" s="92">
        <f>SUM(C5:C37)</f>
        <v>1562888.09</v>
      </c>
      <c r="E38" s="400" t="s">
        <v>60</v>
      </c>
      <c r="F38" s="94">
        <f>SUM(F5:F37)</f>
        <v>1614342.4</v>
      </c>
      <c r="H38" s="6" t="s">
        <v>60</v>
      </c>
      <c r="I38" s="4">
        <f>SUM(I5:I37)</f>
        <v>6094</v>
      </c>
      <c r="J38" s="4"/>
      <c r="K38" s="95" t="s">
        <v>60</v>
      </c>
      <c r="L38" s="96">
        <f>SUM(L5:L37)</f>
        <v>81453.2</v>
      </c>
    </row>
    <row r="40" spans="1:16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399"/>
      <c r="K40" s="432">
        <f>I38+L38</f>
        <v>87547.199999999997</v>
      </c>
      <c r="L40" s="433"/>
    </row>
    <row r="41" spans="1:16" ht="15.75" x14ac:dyDescent="0.25">
      <c r="B41" s="102"/>
      <c r="C41" s="77"/>
      <c r="D41" s="448" t="s">
        <v>62</v>
      </c>
      <c r="E41" s="448"/>
      <c r="F41" s="103">
        <f>F38-K40</f>
        <v>1526795.2</v>
      </c>
      <c r="I41" s="104"/>
      <c r="J41" s="104"/>
    </row>
    <row r="42" spans="1:16" ht="15.75" x14ac:dyDescent="0.25">
      <c r="D42" s="449" t="s">
        <v>63</v>
      </c>
      <c r="E42" s="449"/>
      <c r="F42" s="103">
        <v>-1476403.93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6.5" thickTop="1" x14ac:dyDescent="0.25">
      <c r="C44" s="3" t="s">
        <v>64</v>
      </c>
      <c r="E44" s="97" t="s">
        <v>65</v>
      </c>
      <c r="F44" s="160">
        <f>SUM(F41:F43)</f>
        <v>50391.270000000019</v>
      </c>
      <c r="I44" s="450" t="s">
        <v>66</v>
      </c>
      <c r="J44" s="451"/>
      <c r="K44" s="454">
        <f>F48+L46</f>
        <v>210464.66000000003</v>
      </c>
      <c r="L44" s="455"/>
    </row>
    <row r="45" spans="1:16" ht="15.75" thickBot="1" x14ac:dyDescent="0.3">
      <c r="D45" s="108" t="s">
        <v>67</v>
      </c>
      <c r="E45" s="97" t="s">
        <v>68</v>
      </c>
      <c r="F45" s="4"/>
      <c r="I45" s="452"/>
      <c r="J45" s="453"/>
      <c r="K45" s="456"/>
      <c r="L45" s="457"/>
    </row>
    <row r="46" spans="1:16" ht="17.25" thickTop="1" thickBot="1" x14ac:dyDescent="0.3">
      <c r="C46" s="94"/>
      <c r="D46" s="501" t="s">
        <v>69</v>
      </c>
      <c r="E46" s="501"/>
      <c r="F46" s="502">
        <v>160073.39000000001</v>
      </c>
      <c r="I46" s="459"/>
      <c r="J46" s="459"/>
      <c r="K46" s="460"/>
      <c r="L46" s="110"/>
    </row>
    <row r="47" spans="1:16" ht="19.5" thickBot="1" x14ac:dyDescent="0.35">
      <c r="C47" s="94"/>
      <c r="D47" s="400"/>
      <c r="E47" s="400"/>
      <c r="F47" s="111"/>
      <c r="H47" s="112"/>
      <c r="I47" s="401" t="s">
        <v>275</v>
      </c>
      <c r="J47" s="401"/>
      <c r="K47" s="442">
        <f>-C4</f>
        <v>-208523.32</v>
      </c>
      <c r="L47" s="442"/>
      <c r="M47" s="114"/>
    </row>
    <row r="48" spans="1:16" ht="17.25" thickTop="1" thickBot="1" x14ac:dyDescent="0.3">
      <c r="E48" s="115" t="s">
        <v>71</v>
      </c>
      <c r="F48" s="116">
        <f>F44+F45+F46</f>
        <v>210464.66000000003</v>
      </c>
    </row>
    <row r="49" spans="2:14" ht="19.5" thickBot="1" x14ac:dyDescent="0.35">
      <c r="B49"/>
      <c r="C49"/>
      <c r="D49" s="443"/>
      <c r="E49" s="443"/>
      <c r="F49" s="77"/>
      <c r="I49" s="444" t="s">
        <v>274</v>
      </c>
      <c r="J49" s="445"/>
      <c r="K49" s="446">
        <f>K44+K47</f>
        <v>1941.3400000000256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C1:K1"/>
    <mergeCell ref="E4:F4"/>
    <mergeCell ref="I4:L4"/>
    <mergeCell ref="K35:K36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Z70"/>
  <sheetViews>
    <sheetView topLeftCell="A31" workbookViewId="0">
      <selection activeCell="F41" sqref="F4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2.7109375" bestFit="1" customWidth="1"/>
    <col min="12" max="12" width="16.42578125" customWidth="1"/>
    <col min="14" max="14" width="12.42578125" customWidth="1"/>
    <col min="15" max="15" width="20.140625" bestFit="1" customWidth="1"/>
    <col min="16" max="16" width="12.7109375" bestFit="1" customWidth="1"/>
    <col min="20" max="20" width="16.85546875" bestFit="1" customWidth="1"/>
    <col min="22" max="22" width="14" customWidth="1"/>
    <col min="25" max="25" width="20.140625" bestFit="1" customWidth="1"/>
    <col min="26" max="26" width="12.140625" bestFit="1" customWidth="1"/>
  </cols>
  <sheetData>
    <row r="1" spans="1:26" ht="19.5" thickBot="1" x14ac:dyDescent="0.35">
      <c r="B1" s="118" t="s">
        <v>790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43021</v>
      </c>
      <c r="P1" s="158"/>
      <c r="S1" t="s">
        <v>863</v>
      </c>
      <c r="T1" s="151">
        <f>10228.82+4244.22</f>
        <v>14473.04</v>
      </c>
      <c r="U1" t="s">
        <v>64</v>
      </c>
      <c r="V1" s="154" t="s">
        <v>105</v>
      </c>
      <c r="W1" s="155"/>
      <c r="X1" s="156"/>
      <c r="Y1" s="242">
        <v>43038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I2">
        <v>2910</v>
      </c>
      <c r="J2" s="151">
        <f>50799.18+31203.83</f>
        <v>82003.010000000009</v>
      </c>
      <c r="K2" s="159"/>
      <c r="L2" s="160"/>
      <c r="M2" s="159"/>
      <c r="N2" s="161"/>
      <c r="O2" s="160"/>
      <c r="P2" s="162"/>
      <c r="S2" t="s">
        <v>828</v>
      </c>
      <c r="T2" s="151">
        <v>731.62</v>
      </c>
      <c r="U2" s="159"/>
      <c r="V2" s="160"/>
      <c r="W2" s="159"/>
      <c r="X2" s="161"/>
      <c r="Y2" s="160"/>
      <c r="Z2" s="162"/>
    </row>
    <row r="3" spans="1:26" ht="15.75" x14ac:dyDescent="0.25">
      <c r="A3" s="125">
        <v>43010</v>
      </c>
      <c r="B3" s="132" t="s">
        <v>803</v>
      </c>
      <c r="C3" s="36">
        <v>67209.210000000006</v>
      </c>
      <c r="D3" s="127">
        <v>43021</v>
      </c>
      <c r="E3" s="36">
        <v>67209.210000000006</v>
      </c>
      <c r="F3" s="128">
        <f t="shared" ref="F3:F35" si="0">C3-E3</f>
        <v>0</v>
      </c>
      <c r="J3" s="151"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t="s">
        <v>827</v>
      </c>
      <c r="T3" s="151">
        <v>28676.99</v>
      </c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43012</v>
      </c>
      <c r="B4" s="126" t="s">
        <v>791</v>
      </c>
      <c r="C4" s="36">
        <v>63144.5</v>
      </c>
      <c r="D4" s="127">
        <v>43021</v>
      </c>
      <c r="E4" s="36">
        <v>63144.5</v>
      </c>
      <c r="F4" s="128">
        <f t="shared" si="0"/>
        <v>0</v>
      </c>
      <c r="J4" s="164">
        <f>27410.18+20817.11</f>
        <v>48227.29</v>
      </c>
      <c r="K4" s="126" t="s">
        <v>767</v>
      </c>
      <c r="L4" s="130">
        <v>44823.9</v>
      </c>
      <c r="M4" s="165" t="s">
        <v>111</v>
      </c>
      <c r="N4" s="166" t="s">
        <v>113</v>
      </c>
      <c r="O4" s="167">
        <v>50800</v>
      </c>
      <c r="P4" s="168">
        <v>42996</v>
      </c>
      <c r="T4" s="164"/>
      <c r="U4" s="126" t="s">
        <v>876</v>
      </c>
      <c r="V4" s="130">
        <v>25920</v>
      </c>
      <c r="W4" s="187"/>
      <c r="X4" s="166">
        <v>3534736</v>
      </c>
      <c r="Y4" s="167">
        <v>39637.5</v>
      </c>
      <c r="Z4" s="168">
        <v>43026</v>
      </c>
    </row>
    <row r="5" spans="1:26" ht="15.75" x14ac:dyDescent="0.25">
      <c r="A5" s="129">
        <v>43013</v>
      </c>
      <c r="B5" s="126" t="s">
        <v>792</v>
      </c>
      <c r="C5" s="130">
        <v>34383</v>
      </c>
      <c r="D5" s="127">
        <v>43021</v>
      </c>
      <c r="E5" s="130">
        <v>34383</v>
      </c>
      <c r="F5" s="128">
        <f t="shared" si="0"/>
        <v>0</v>
      </c>
      <c r="J5" s="164">
        <f>10293.87+72332.91+25707.02</f>
        <v>108333.8</v>
      </c>
      <c r="K5" s="126" t="s">
        <v>768</v>
      </c>
      <c r="L5" s="130">
        <v>108333.8</v>
      </c>
      <c r="M5" s="165"/>
      <c r="N5" s="166" t="s">
        <v>113</v>
      </c>
      <c r="O5" s="167">
        <v>31204</v>
      </c>
      <c r="P5" s="168">
        <v>42996</v>
      </c>
      <c r="T5" s="164">
        <f>73583.19+14880.9</f>
        <v>88464.09</v>
      </c>
      <c r="U5" s="126" t="s">
        <v>865</v>
      </c>
      <c r="V5" s="130">
        <v>86190.16</v>
      </c>
      <c r="W5" s="165" t="s">
        <v>111</v>
      </c>
      <c r="X5" s="166">
        <v>35834735</v>
      </c>
      <c r="Y5" s="167">
        <v>22688.5</v>
      </c>
      <c r="Z5" s="168">
        <v>43027</v>
      </c>
    </row>
    <row r="6" spans="1:26" ht="15.75" x14ac:dyDescent="0.25">
      <c r="A6" s="129">
        <v>43014</v>
      </c>
      <c r="B6" s="126" t="s">
        <v>804</v>
      </c>
      <c r="C6" s="36">
        <v>93401.04</v>
      </c>
      <c r="D6" s="127">
        <v>43021</v>
      </c>
      <c r="E6" s="36">
        <v>93401.04</v>
      </c>
      <c r="F6" s="128">
        <f t="shared" si="0"/>
        <v>0</v>
      </c>
      <c r="J6" s="140">
        <v>31426.58</v>
      </c>
      <c r="K6" s="126" t="s">
        <v>769</v>
      </c>
      <c r="L6" s="130">
        <v>31426.58</v>
      </c>
      <c r="M6" s="165"/>
      <c r="N6" s="166">
        <v>3534715</v>
      </c>
      <c r="O6" s="167">
        <v>27410</v>
      </c>
      <c r="P6" s="168">
        <v>43008</v>
      </c>
      <c r="T6" s="140">
        <v>67357.8</v>
      </c>
      <c r="U6" s="126" t="s">
        <v>866</v>
      </c>
      <c r="V6" s="130">
        <v>67357.8</v>
      </c>
      <c r="W6" s="165"/>
      <c r="X6" s="166">
        <v>3534737</v>
      </c>
      <c r="Y6" s="167">
        <v>73583</v>
      </c>
      <c r="Z6" s="168">
        <v>43028</v>
      </c>
    </row>
    <row r="7" spans="1:26" ht="15.75" x14ac:dyDescent="0.25">
      <c r="A7" s="129">
        <v>43015</v>
      </c>
      <c r="B7" s="126" t="s">
        <v>805</v>
      </c>
      <c r="C7" s="130">
        <v>36840.9</v>
      </c>
      <c r="D7" s="127">
        <v>43021</v>
      </c>
      <c r="E7" s="130">
        <v>36840.9</v>
      </c>
      <c r="F7" s="128">
        <f t="shared" si="0"/>
        <v>0</v>
      </c>
      <c r="J7" s="140">
        <v>3815.7</v>
      </c>
      <c r="K7" s="126" t="s">
        <v>770</v>
      </c>
      <c r="L7" s="130">
        <v>3815.7</v>
      </c>
      <c r="M7" s="165"/>
      <c r="N7" s="166" t="s">
        <v>113</v>
      </c>
      <c r="O7" s="167">
        <v>2176</v>
      </c>
      <c r="P7" s="168">
        <v>43003</v>
      </c>
      <c r="T7" s="140">
        <v>1618.4</v>
      </c>
      <c r="U7" s="126" t="s">
        <v>868</v>
      </c>
      <c r="V7" s="130">
        <v>1618.4</v>
      </c>
      <c r="W7" s="165"/>
      <c r="X7" s="166" t="s">
        <v>113</v>
      </c>
      <c r="Y7" s="167">
        <v>90114</v>
      </c>
      <c r="Z7" s="168">
        <v>43029</v>
      </c>
    </row>
    <row r="8" spans="1:26" ht="15.75" x14ac:dyDescent="0.25">
      <c r="A8" s="129">
        <v>43017</v>
      </c>
      <c r="B8" s="126" t="s">
        <v>806</v>
      </c>
      <c r="C8" s="130">
        <v>106525.5</v>
      </c>
      <c r="D8" s="133" t="s">
        <v>867</v>
      </c>
      <c r="E8" s="130">
        <f>83991.09+22534.41</f>
        <v>106525.5</v>
      </c>
      <c r="F8" s="128">
        <f t="shared" si="0"/>
        <v>0</v>
      </c>
      <c r="J8" s="140">
        <v>6225.6</v>
      </c>
      <c r="K8" s="126" t="s">
        <v>786</v>
      </c>
      <c r="L8" s="130">
        <v>6225.6</v>
      </c>
      <c r="M8" s="165"/>
      <c r="N8" s="166" t="s">
        <v>113</v>
      </c>
      <c r="O8" s="167">
        <v>2032</v>
      </c>
      <c r="P8" s="168">
        <v>43003</v>
      </c>
      <c r="T8" s="140">
        <v>38584.720000000001</v>
      </c>
      <c r="U8" s="126" t="s">
        <v>869</v>
      </c>
      <c r="V8" s="130">
        <v>105015.39</v>
      </c>
      <c r="W8" s="165"/>
      <c r="X8" s="166" t="s">
        <v>113</v>
      </c>
      <c r="Y8" s="167">
        <v>33431</v>
      </c>
      <c r="Z8" s="168">
        <v>43030</v>
      </c>
    </row>
    <row r="9" spans="1:26" ht="15.75" x14ac:dyDescent="0.25">
      <c r="A9" s="129">
        <v>43021</v>
      </c>
      <c r="B9" s="126" t="s">
        <v>823</v>
      </c>
      <c r="C9" s="130">
        <v>102191.1</v>
      </c>
      <c r="D9" s="127">
        <v>43031</v>
      </c>
      <c r="E9" s="130">
        <v>102191.1</v>
      </c>
      <c r="F9" s="128">
        <f t="shared" si="0"/>
        <v>0</v>
      </c>
      <c r="J9" s="164">
        <f>26489.84+47883.79+6580.77</f>
        <v>80954.400000000009</v>
      </c>
      <c r="K9" s="126" t="s">
        <v>787</v>
      </c>
      <c r="L9" s="36">
        <v>115837.22</v>
      </c>
      <c r="M9" s="165"/>
      <c r="N9" s="166">
        <v>3534716</v>
      </c>
      <c r="O9" s="167">
        <v>26903</v>
      </c>
      <c r="P9" s="168">
        <v>43008</v>
      </c>
      <c r="T9" s="164">
        <v>191.2</v>
      </c>
      <c r="U9" s="126" t="s">
        <v>870</v>
      </c>
      <c r="V9" s="130">
        <v>191.2</v>
      </c>
      <c r="W9" s="165"/>
      <c r="X9" s="166" t="s">
        <v>113</v>
      </c>
      <c r="Y9" s="167">
        <v>1619</v>
      </c>
      <c r="Z9" s="168">
        <v>43030</v>
      </c>
    </row>
    <row r="10" spans="1:26" ht="16.5" thickBot="1" x14ac:dyDescent="0.3">
      <c r="A10" s="129">
        <v>43021</v>
      </c>
      <c r="B10" s="126" t="s">
        <v>824</v>
      </c>
      <c r="C10" s="130">
        <v>33314.120000000003</v>
      </c>
      <c r="D10" s="127">
        <v>43031</v>
      </c>
      <c r="E10" s="130">
        <v>33314.120000000003</v>
      </c>
      <c r="F10" s="128">
        <f t="shared" si="0"/>
        <v>0</v>
      </c>
      <c r="J10" s="140">
        <v>0</v>
      </c>
      <c r="K10" s="143" t="s">
        <v>788</v>
      </c>
      <c r="L10" s="144">
        <v>7141.46</v>
      </c>
      <c r="M10" s="165"/>
      <c r="N10" s="166">
        <v>3534718</v>
      </c>
      <c r="O10" s="167">
        <v>72333</v>
      </c>
      <c r="P10" s="168">
        <v>43008</v>
      </c>
      <c r="T10" s="140">
        <v>28428.75</v>
      </c>
      <c r="U10" s="126" t="s">
        <v>871</v>
      </c>
      <c r="V10" s="130">
        <v>34388.17</v>
      </c>
      <c r="W10" s="165"/>
      <c r="X10" s="166" t="s">
        <v>113</v>
      </c>
      <c r="Y10" s="167">
        <v>49356.5</v>
      </c>
      <c r="Z10" s="168">
        <v>43031</v>
      </c>
    </row>
    <row r="11" spans="1:26" ht="16.5" thickTop="1" x14ac:dyDescent="0.25">
      <c r="A11" s="236">
        <v>43021</v>
      </c>
      <c r="B11" s="126" t="s">
        <v>876</v>
      </c>
      <c r="C11" s="130">
        <v>25920</v>
      </c>
      <c r="D11" s="127">
        <v>43038</v>
      </c>
      <c r="E11" s="130">
        <v>25920</v>
      </c>
      <c r="F11" s="128">
        <f t="shared" si="0"/>
        <v>0</v>
      </c>
      <c r="J11" s="140">
        <f>36064.36+723.42</f>
        <v>36787.78</v>
      </c>
      <c r="K11" s="132" t="s">
        <v>803</v>
      </c>
      <c r="L11" s="36">
        <v>67209.210000000006</v>
      </c>
      <c r="M11" s="165"/>
      <c r="N11" s="166" t="s">
        <v>113</v>
      </c>
      <c r="O11" s="167">
        <v>100806</v>
      </c>
      <c r="P11" s="168">
        <v>43011</v>
      </c>
      <c r="Q11" s="416">
        <v>43008</v>
      </c>
      <c r="T11" s="140"/>
      <c r="U11" s="126" t="s">
        <v>872</v>
      </c>
      <c r="V11" s="130">
        <v>18176.88</v>
      </c>
      <c r="W11" s="165" t="s">
        <v>125</v>
      </c>
      <c r="X11" s="166" t="s">
        <v>113</v>
      </c>
      <c r="Y11" s="167">
        <v>28428.5</v>
      </c>
      <c r="Z11" s="168">
        <v>43032</v>
      </c>
    </row>
    <row r="12" spans="1:26" ht="15.75" x14ac:dyDescent="0.25">
      <c r="A12" s="129">
        <v>43022</v>
      </c>
      <c r="B12" s="126" t="s">
        <v>825</v>
      </c>
      <c r="C12" s="130">
        <v>29895.4</v>
      </c>
      <c r="D12" s="127">
        <v>43031</v>
      </c>
      <c r="E12" s="130">
        <v>29895.4</v>
      </c>
      <c r="F12" s="128">
        <f t="shared" si="0"/>
        <v>0</v>
      </c>
      <c r="J12" s="140">
        <f>29133.43+34011.07</f>
        <v>63144.5</v>
      </c>
      <c r="K12" s="126" t="s">
        <v>791</v>
      </c>
      <c r="L12" s="36">
        <v>63144.5</v>
      </c>
      <c r="M12" s="183"/>
      <c r="N12" s="166" t="s">
        <v>113</v>
      </c>
      <c r="O12" s="167">
        <v>47884</v>
      </c>
      <c r="P12" s="168">
        <v>43011</v>
      </c>
      <c r="Q12" s="416">
        <v>43009</v>
      </c>
      <c r="T12" s="140"/>
      <c r="U12" s="205"/>
      <c r="V12" s="130"/>
      <c r="W12" s="183"/>
      <c r="X12" s="166" t="s">
        <v>113</v>
      </c>
      <c r="Y12" s="167"/>
      <c r="Z12" s="168"/>
    </row>
    <row r="13" spans="1:26" ht="15.75" x14ac:dyDescent="0.25">
      <c r="A13" s="129">
        <v>43022</v>
      </c>
      <c r="B13" s="126" t="s">
        <v>826</v>
      </c>
      <c r="C13" s="130">
        <v>7677.4</v>
      </c>
      <c r="D13" s="127">
        <v>43031</v>
      </c>
      <c r="E13" s="130">
        <v>7677.4</v>
      </c>
      <c r="F13" s="128">
        <f t="shared" si="0"/>
        <v>0</v>
      </c>
      <c r="J13" s="164">
        <v>34383</v>
      </c>
      <c r="K13" s="126" t="s">
        <v>792</v>
      </c>
      <c r="L13" s="130">
        <v>34383</v>
      </c>
      <c r="M13" s="235"/>
      <c r="N13" s="184">
        <v>3534723</v>
      </c>
      <c r="O13" s="185">
        <v>77528</v>
      </c>
      <c r="P13" s="186">
        <v>43013</v>
      </c>
      <c r="Q13" s="416" t="s">
        <v>841</v>
      </c>
      <c r="T13" s="164"/>
      <c r="U13" s="205"/>
      <c r="V13" s="130"/>
      <c r="W13" s="183"/>
      <c r="X13" s="166" t="s">
        <v>113</v>
      </c>
      <c r="Y13" s="185"/>
      <c r="Z13" s="186"/>
    </row>
    <row r="14" spans="1:26" ht="15.75" x14ac:dyDescent="0.25">
      <c r="A14" s="129">
        <v>43024</v>
      </c>
      <c r="B14" s="126" t="s">
        <v>827</v>
      </c>
      <c r="C14" s="130">
        <v>96201.32</v>
      </c>
      <c r="D14" s="127">
        <v>43031</v>
      </c>
      <c r="E14" s="130">
        <v>96201.32</v>
      </c>
      <c r="F14" s="128">
        <f t="shared" si="0"/>
        <v>0</v>
      </c>
      <c r="J14" s="164">
        <f>1134.77+75961.18+16305.09</f>
        <v>93401.04</v>
      </c>
      <c r="K14" s="126" t="s">
        <v>804</v>
      </c>
      <c r="L14" s="36">
        <v>93401.04</v>
      </c>
      <c r="M14" s="187"/>
      <c r="N14" s="184">
        <v>3534725</v>
      </c>
      <c r="O14" s="301">
        <v>30422</v>
      </c>
      <c r="P14" s="186">
        <v>43015</v>
      </c>
      <c r="Q14" s="416">
        <v>43012</v>
      </c>
      <c r="T14" s="164"/>
      <c r="U14" s="205"/>
      <c r="V14" s="130"/>
      <c r="W14" s="227"/>
      <c r="X14" s="166" t="s">
        <v>113</v>
      </c>
      <c r="Y14" s="301"/>
      <c r="Z14" s="186"/>
    </row>
    <row r="15" spans="1:26" ht="15.75" x14ac:dyDescent="0.25">
      <c r="A15" s="129">
        <v>43024</v>
      </c>
      <c r="B15" s="126" t="s">
        <v>828</v>
      </c>
      <c r="C15" s="130">
        <v>731.62</v>
      </c>
      <c r="D15" s="127">
        <v>43031</v>
      </c>
      <c r="E15" s="130">
        <v>731.62</v>
      </c>
      <c r="F15" s="128">
        <f t="shared" si="0"/>
        <v>0</v>
      </c>
      <c r="J15" s="164">
        <f>35424.3+1416.6</f>
        <v>36840.9</v>
      </c>
      <c r="K15" s="126" t="s">
        <v>805</v>
      </c>
      <c r="L15" s="130">
        <v>36840.9</v>
      </c>
      <c r="M15" s="187"/>
      <c r="N15" s="184">
        <v>3534724</v>
      </c>
      <c r="O15" s="302">
        <v>29857</v>
      </c>
      <c r="P15" s="186">
        <v>43015</v>
      </c>
      <c r="Q15" s="416">
        <v>43013</v>
      </c>
      <c r="T15" s="164"/>
      <c r="U15" s="205"/>
      <c r="V15" s="130"/>
      <c r="W15" s="187"/>
      <c r="X15" s="166" t="s">
        <v>113</v>
      </c>
      <c r="Y15" s="302"/>
      <c r="Z15" s="186"/>
    </row>
    <row r="16" spans="1:26" ht="15.75" x14ac:dyDescent="0.25">
      <c r="A16" s="129">
        <v>43026</v>
      </c>
      <c r="B16" s="126" t="s">
        <v>863</v>
      </c>
      <c r="C16" s="130">
        <v>14473.04</v>
      </c>
      <c r="D16" s="127">
        <v>43031</v>
      </c>
      <c r="E16" s="130">
        <v>14473.04</v>
      </c>
      <c r="F16" s="128">
        <f t="shared" si="0"/>
        <v>0</v>
      </c>
      <c r="J16" s="151"/>
      <c r="K16" s="126" t="s">
        <v>806</v>
      </c>
      <c r="L16" s="130">
        <v>83991.09</v>
      </c>
      <c r="M16" s="235" t="s">
        <v>125</v>
      </c>
      <c r="N16" s="369" t="s">
        <v>113</v>
      </c>
      <c r="O16" s="301">
        <v>63332</v>
      </c>
      <c r="P16" s="186">
        <v>43017</v>
      </c>
      <c r="Q16" s="416">
        <v>43014</v>
      </c>
      <c r="T16" s="151"/>
      <c r="U16" s="205"/>
      <c r="V16" s="130"/>
      <c r="W16" s="235"/>
      <c r="X16" s="166" t="s">
        <v>113</v>
      </c>
      <c r="Y16" s="301"/>
      <c r="Z16" s="186"/>
    </row>
    <row r="17" spans="1:26" ht="16.5" thickBot="1" x14ac:dyDescent="0.3">
      <c r="A17" s="129">
        <v>43027</v>
      </c>
      <c r="B17" s="126" t="s">
        <v>864</v>
      </c>
      <c r="C17" s="130">
        <v>74780.160000000003</v>
      </c>
      <c r="D17" s="127">
        <v>43031</v>
      </c>
      <c r="E17" s="130">
        <v>74780.160000000003</v>
      </c>
      <c r="F17" s="128">
        <f t="shared" si="0"/>
        <v>0</v>
      </c>
      <c r="J17" s="389"/>
      <c r="K17" s="126"/>
      <c r="L17" s="332"/>
      <c r="M17" s="227"/>
      <c r="N17" s="166" t="s">
        <v>113</v>
      </c>
      <c r="O17" s="339">
        <v>6197</v>
      </c>
      <c r="P17" s="186">
        <v>43011</v>
      </c>
      <c r="Q17" s="416">
        <v>43014</v>
      </c>
      <c r="T17" s="389"/>
      <c r="U17" s="205"/>
      <c r="V17" s="130"/>
      <c r="W17" s="235"/>
      <c r="X17" s="166" t="s">
        <v>113</v>
      </c>
      <c r="Y17" s="339"/>
      <c r="Z17" s="186"/>
    </row>
    <row r="18" spans="1:26" ht="15.75" x14ac:dyDescent="0.25">
      <c r="A18" s="129">
        <v>43028</v>
      </c>
      <c r="B18" s="126" t="s">
        <v>865</v>
      </c>
      <c r="C18" s="130">
        <v>88464.09</v>
      </c>
      <c r="D18" s="133" t="s">
        <v>880</v>
      </c>
      <c r="E18" s="130">
        <f>2273.93+86190.16</f>
        <v>88464.09</v>
      </c>
      <c r="F18" s="128">
        <f t="shared" si="0"/>
        <v>0</v>
      </c>
      <c r="J18" s="476" t="s">
        <v>856</v>
      </c>
      <c r="K18" s="477"/>
      <c r="L18" s="477"/>
      <c r="M18" s="478"/>
      <c r="N18" s="184" t="s">
        <v>113</v>
      </c>
      <c r="O18" s="347">
        <v>75961</v>
      </c>
      <c r="P18" s="186">
        <v>43017</v>
      </c>
      <c r="Q18" s="416">
        <v>43015</v>
      </c>
      <c r="S18" t="s">
        <v>864</v>
      </c>
      <c r="T18" s="4">
        <v>18443.59</v>
      </c>
      <c r="U18" s="482" t="s">
        <v>856</v>
      </c>
      <c r="V18" s="483"/>
      <c r="W18" s="484"/>
      <c r="X18" s="420" t="s">
        <v>113</v>
      </c>
      <c r="Y18" s="347"/>
      <c r="Z18" s="186"/>
    </row>
    <row r="19" spans="1:26" ht="16.5" thickBot="1" x14ac:dyDescent="0.3">
      <c r="A19" s="129">
        <v>43029</v>
      </c>
      <c r="B19" s="126" t="s">
        <v>866</v>
      </c>
      <c r="C19" s="130">
        <v>67357.8</v>
      </c>
      <c r="D19" s="127">
        <v>43038</v>
      </c>
      <c r="E19" s="130">
        <v>67357.8</v>
      </c>
      <c r="F19" s="128">
        <f t="shared" si="0"/>
        <v>0</v>
      </c>
      <c r="J19" s="479"/>
      <c r="K19" s="480"/>
      <c r="L19" s="480"/>
      <c r="M19" s="481"/>
      <c r="N19" s="184" t="s">
        <v>113</v>
      </c>
      <c r="O19" s="347">
        <v>51729</v>
      </c>
      <c r="P19" s="186">
        <v>43017</v>
      </c>
      <c r="Q19" s="416">
        <v>43016</v>
      </c>
      <c r="S19" t="s">
        <v>723</v>
      </c>
      <c r="T19" s="425">
        <v>10580.54</v>
      </c>
      <c r="U19" s="485"/>
      <c r="V19" s="486"/>
      <c r="W19" s="487"/>
      <c r="X19" s="421" t="s">
        <v>113</v>
      </c>
      <c r="Y19" s="347"/>
      <c r="Z19" s="186"/>
    </row>
    <row r="20" spans="1:26" ht="15.75" x14ac:dyDescent="0.25">
      <c r="A20" s="129">
        <v>43030</v>
      </c>
      <c r="B20" s="126" t="s">
        <v>868</v>
      </c>
      <c r="C20" s="130">
        <v>1618.4</v>
      </c>
      <c r="D20" s="127">
        <v>43038</v>
      </c>
      <c r="E20" s="130">
        <v>1618.4</v>
      </c>
      <c r="F20" s="128">
        <f t="shared" si="0"/>
        <v>0</v>
      </c>
      <c r="J20" s="402"/>
      <c r="K20" s="205"/>
      <c r="L20" s="403"/>
      <c r="M20" s="235"/>
      <c r="N20" s="184"/>
      <c r="O20" s="347">
        <v>0</v>
      </c>
      <c r="P20" s="186"/>
      <c r="T20" s="402"/>
      <c r="U20" s="422"/>
      <c r="V20" s="423"/>
      <c r="W20" s="211"/>
      <c r="X20" s="184"/>
      <c r="Y20" s="347"/>
      <c r="Z20" s="186"/>
    </row>
    <row r="21" spans="1:26" ht="16.5" thickBot="1" x14ac:dyDescent="0.3">
      <c r="A21" s="129">
        <v>43031</v>
      </c>
      <c r="B21" s="126" t="s">
        <v>869</v>
      </c>
      <c r="C21" s="130">
        <v>105015.39</v>
      </c>
      <c r="D21" s="127">
        <v>43038</v>
      </c>
      <c r="E21" s="130">
        <v>105015.39</v>
      </c>
      <c r="F21" s="128">
        <f t="shared" si="0"/>
        <v>0</v>
      </c>
      <c r="J21" s="270">
        <v>0</v>
      </c>
      <c r="K21" s="207"/>
      <c r="L21" s="270">
        <v>0</v>
      </c>
      <c r="M21" s="207"/>
      <c r="N21" s="343"/>
      <c r="O21" s="344">
        <v>0</v>
      </c>
      <c r="P21" s="222"/>
      <c r="T21" s="270">
        <v>0</v>
      </c>
      <c r="U21" s="207"/>
      <c r="V21" s="270">
        <v>0</v>
      </c>
      <c r="W21" s="207"/>
      <c r="X21" s="343"/>
      <c r="Y21" s="344">
        <v>0</v>
      </c>
      <c r="Z21" s="222"/>
    </row>
    <row r="22" spans="1:26" ht="16.5" thickTop="1" x14ac:dyDescent="0.25">
      <c r="A22" s="129">
        <v>43031</v>
      </c>
      <c r="B22" s="126" t="s">
        <v>870</v>
      </c>
      <c r="C22" s="130">
        <v>191.2</v>
      </c>
      <c r="D22" s="127">
        <v>43038</v>
      </c>
      <c r="E22" s="130">
        <v>191.2</v>
      </c>
      <c r="F22" s="128">
        <f t="shared" si="0"/>
        <v>0</v>
      </c>
      <c r="J22" s="390">
        <f>SUM(J2:J21)</f>
        <v>625543.60000000009</v>
      </c>
      <c r="K22" s="100"/>
      <c r="L22" s="352">
        <f>SUM(L4:L21)</f>
        <v>696574.00000000012</v>
      </c>
      <c r="M22" s="100"/>
      <c r="N22" s="100"/>
      <c r="O22" s="307">
        <f>SUM(O4:O21)</f>
        <v>696574</v>
      </c>
      <c r="P22" s="245"/>
      <c r="T22" s="390">
        <f>SUM(T1:T21)</f>
        <v>297550.74</v>
      </c>
      <c r="U22" s="100"/>
      <c r="V22" s="352">
        <f>SUM(V4:V21)</f>
        <v>338858</v>
      </c>
      <c r="W22" s="100"/>
      <c r="X22" s="100"/>
      <c r="Y22" s="307">
        <f>SUM(Y4:Y21)</f>
        <v>338858</v>
      </c>
      <c r="Z22" s="245"/>
    </row>
    <row r="23" spans="1:26" x14ac:dyDescent="0.25">
      <c r="A23" s="129">
        <v>43032</v>
      </c>
      <c r="B23" s="126" t="s">
        <v>871</v>
      </c>
      <c r="C23" s="130">
        <v>34388.17</v>
      </c>
      <c r="D23" s="127">
        <v>43038</v>
      </c>
      <c r="E23" s="130">
        <v>34388.17</v>
      </c>
      <c r="F23" s="128">
        <f t="shared" si="0"/>
        <v>0</v>
      </c>
    </row>
    <row r="24" spans="1:26" x14ac:dyDescent="0.25">
      <c r="A24" s="236">
        <v>43032</v>
      </c>
      <c r="B24" s="126" t="s">
        <v>872</v>
      </c>
      <c r="C24" s="130">
        <v>34824.400000000001</v>
      </c>
      <c r="D24" s="127">
        <v>43038</v>
      </c>
      <c r="E24" s="387">
        <v>18176.88</v>
      </c>
      <c r="F24" s="388">
        <f t="shared" si="0"/>
        <v>16647.52</v>
      </c>
      <c r="T24">
        <v>0</v>
      </c>
    </row>
    <row r="25" spans="1:26" ht="15.75" thickBot="1" x14ac:dyDescent="0.3">
      <c r="A25" s="424">
        <v>43033</v>
      </c>
      <c r="B25" s="205" t="s">
        <v>873</v>
      </c>
      <c r="C25" s="130">
        <v>17140.52</v>
      </c>
      <c r="D25" s="127"/>
      <c r="E25" s="130"/>
      <c r="F25" s="128">
        <f t="shared" si="0"/>
        <v>17140.52</v>
      </c>
    </row>
    <row r="26" spans="1:26" ht="19.5" thickBot="1" x14ac:dyDescent="0.35">
      <c r="A26" s="424">
        <v>43034</v>
      </c>
      <c r="B26" s="205" t="s">
        <v>874</v>
      </c>
      <c r="C26" s="130">
        <v>85351.46</v>
      </c>
      <c r="D26" s="127"/>
      <c r="E26" s="130"/>
      <c r="F26" s="128">
        <f t="shared" si="0"/>
        <v>85351.46</v>
      </c>
      <c r="J26" s="151"/>
      <c r="K26" t="s">
        <v>64</v>
      </c>
      <c r="L26" s="154" t="s">
        <v>105</v>
      </c>
      <c r="M26" s="155"/>
      <c r="N26" s="156"/>
      <c r="O26" s="242">
        <v>43031</v>
      </c>
      <c r="P26" s="158"/>
    </row>
    <row r="27" spans="1:26" ht="15.75" x14ac:dyDescent="0.25">
      <c r="A27" s="424">
        <v>43034</v>
      </c>
      <c r="B27" s="205" t="s">
        <v>875</v>
      </c>
      <c r="C27" s="130">
        <v>588.79999999999995</v>
      </c>
      <c r="D27" s="127"/>
      <c r="E27" s="130"/>
      <c r="F27" s="128">
        <f t="shared" si="0"/>
        <v>588.79999999999995</v>
      </c>
      <c r="J27" s="151"/>
      <c r="K27" s="159"/>
      <c r="L27" s="160"/>
      <c r="M27" s="159"/>
      <c r="N27" s="161"/>
      <c r="O27" s="160"/>
      <c r="P27" s="162"/>
    </row>
    <row r="28" spans="1:26" ht="15.75" x14ac:dyDescent="0.25">
      <c r="A28" s="424">
        <v>43035</v>
      </c>
      <c r="B28" s="205" t="s">
        <v>877</v>
      </c>
      <c r="C28" s="130">
        <v>32471.1</v>
      </c>
      <c r="D28" s="127"/>
      <c r="E28" s="130"/>
      <c r="F28" s="128">
        <f t="shared" si="0"/>
        <v>32471.1</v>
      </c>
      <c r="J28" s="151">
        <v>0</v>
      </c>
      <c r="K28" s="163" t="s">
        <v>106</v>
      </c>
      <c r="L28" s="160" t="s">
        <v>107</v>
      </c>
      <c r="M28" s="159"/>
      <c r="N28" s="161" t="s">
        <v>108</v>
      </c>
      <c r="O28" s="160" t="s">
        <v>109</v>
      </c>
      <c r="P28" s="162"/>
    </row>
    <row r="29" spans="1:26" ht="15.75" x14ac:dyDescent="0.25">
      <c r="A29" s="424">
        <v>43036</v>
      </c>
      <c r="B29" s="205" t="s">
        <v>878</v>
      </c>
      <c r="C29" s="130">
        <v>127509.7</v>
      </c>
      <c r="D29" s="127"/>
      <c r="E29" s="130"/>
      <c r="F29" s="128">
        <f t="shared" si="0"/>
        <v>127509.7</v>
      </c>
      <c r="J29" s="164">
        <f>27838+28771+8517.5+31230</f>
        <v>96356.5</v>
      </c>
      <c r="K29" s="126" t="s">
        <v>806</v>
      </c>
      <c r="L29" s="130">
        <v>22534.41</v>
      </c>
      <c r="M29" s="165" t="s">
        <v>111</v>
      </c>
      <c r="N29" s="166" t="s">
        <v>113</v>
      </c>
      <c r="O29" s="167">
        <v>27838</v>
      </c>
      <c r="P29" s="168">
        <v>43018</v>
      </c>
    </row>
    <row r="30" spans="1:26" ht="15.75" x14ac:dyDescent="0.25">
      <c r="A30" s="424">
        <v>43036</v>
      </c>
      <c r="B30" s="205" t="s">
        <v>879</v>
      </c>
      <c r="C30" s="130">
        <v>9170.16</v>
      </c>
      <c r="D30" s="127"/>
      <c r="E30" s="130"/>
      <c r="F30" s="128">
        <f t="shared" si="0"/>
        <v>9170.16</v>
      </c>
      <c r="J30" s="164">
        <f>61082+41109.83</f>
        <v>102191.83</v>
      </c>
      <c r="K30" s="126" t="s">
        <v>823</v>
      </c>
      <c r="L30" s="130">
        <v>102191.1</v>
      </c>
      <c r="M30" s="165"/>
      <c r="N30" s="166" t="s">
        <v>113</v>
      </c>
      <c r="O30" s="167">
        <v>28771</v>
      </c>
      <c r="P30" s="168">
        <v>43019</v>
      </c>
    </row>
    <row r="31" spans="1:26" ht="15.75" x14ac:dyDescent="0.25">
      <c r="A31" s="488">
        <v>43038</v>
      </c>
      <c r="B31" s="489" t="s">
        <v>898</v>
      </c>
      <c r="C31" s="130">
        <v>23217.1</v>
      </c>
      <c r="D31" s="127"/>
      <c r="E31" s="130"/>
      <c r="F31" s="128">
        <f t="shared" si="0"/>
        <v>23217.1</v>
      </c>
      <c r="J31" s="140">
        <v>33314.120000000003</v>
      </c>
      <c r="K31" s="126" t="s">
        <v>824</v>
      </c>
      <c r="L31" s="130">
        <v>33314.120000000003</v>
      </c>
      <c r="M31" s="165"/>
      <c r="N31" s="166" t="s">
        <v>113</v>
      </c>
      <c r="O31" s="167">
        <v>8517.5</v>
      </c>
      <c r="P31" s="168">
        <v>43019</v>
      </c>
    </row>
    <row r="32" spans="1:26" ht="15.75" x14ac:dyDescent="0.25">
      <c r="A32" s="488">
        <v>43039</v>
      </c>
      <c r="B32" s="489" t="s">
        <v>899</v>
      </c>
      <c r="C32" s="130">
        <v>45488.4</v>
      </c>
      <c r="D32" s="127"/>
      <c r="E32" s="130"/>
      <c r="F32" s="128">
        <f t="shared" si="0"/>
        <v>45488.4</v>
      </c>
      <c r="J32" s="140">
        <v>11389.11</v>
      </c>
      <c r="K32" s="126" t="s">
        <v>825</v>
      </c>
      <c r="L32" s="130">
        <v>29895.4</v>
      </c>
      <c r="M32" s="165"/>
      <c r="N32" s="166" t="s">
        <v>113</v>
      </c>
      <c r="O32" s="167">
        <v>31230</v>
      </c>
      <c r="P32" s="168">
        <v>43020</v>
      </c>
    </row>
    <row r="33" spans="1:26" ht="15.75" x14ac:dyDescent="0.25">
      <c r="A33" s="488">
        <v>43039</v>
      </c>
      <c r="B33" s="489" t="s">
        <v>900</v>
      </c>
      <c r="C33" s="130">
        <v>6684.6</v>
      </c>
      <c r="D33" s="127"/>
      <c r="E33" s="130"/>
      <c r="F33" s="128">
        <f t="shared" si="0"/>
        <v>6684.6</v>
      </c>
      <c r="J33" s="140">
        <v>7677.4</v>
      </c>
      <c r="K33" s="126" t="s">
        <v>826</v>
      </c>
      <c r="L33" s="130">
        <v>7677.4</v>
      </c>
      <c r="M33" s="165"/>
      <c r="N33" s="166">
        <v>3534733</v>
      </c>
      <c r="O33" s="167">
        <v>61082</v>
      </c>
      <c r="P33" s="168">
        <v>43021</v>
      </c>
    </row>
    <row r="34" spans="1:26" ht="15.75" x14ac:dyDescent="0.25">
      <c r="A34" s="488"/>
      <c r="B34" s="489"/>
      <c r="C34" s="130">
        <v>10234.33</v>
      </c>
      <c r="D34" s="500" t="s">
        <v>912</v>
      </c>
      <c r="E34" s="130">
        <v>102364.33</v>
      </c>
      <c r="F34" s="128">
        <f t="shared" si="0"/>
        <v>-92130</v>
      </c>
      <c r="J34" s="164">
        <f>65620+30130+9140</f>
        <v>104890</v>
      </c>
      <c r="K34" s="126" t="s">
        <v>827</v>
      </c>
      <c r="L34" s="130">
        <v>96201.32</v>
      </c>
      <c r="M34" s="165"/>
      <c r="N34" s="166">
        <v>3534730</v>
      </c>
      <c r="O34" s="167">
        <v>93490</v>
      </c>
      <c r="P34" s="168">
        <v>43022</v>
      </c>
    </row>
    <row r="35" spans="1:26" ht="16.5" thickBot="1" x14ac:dyDescent="0.3">
      <c r="A35" s="490"/>
      <c r="B35" s="491"/>
      <c r="C35" s="144"/>
      <c r="D35" s="145"/>
      <c r="E35" s="144"/>
      <c r="F35" s="128">
        <f t="shared" si="0"/>
        <v>0</v>
      </c>
      <c r="J35" s="140">
        <v>28253.99</v>
      </c>
      <c r="K35" s="126" t="s">
        <v>828</v>
      </c>
      <c r="L35" s="130">
        <v>731.62</v>
      </c>
      <c r="M35" s="165"/>
      <c r="N35" s="166">
        <v>3534732</v>
      </c>
      <c r="O35" s="167">
        <v>65620</v>
      </c>
      <c r="P35" s="168">
        <v>43023</v>
      </c>
    </row>
    <row r="36" spans="1:26" ht="16.5" thickTop="1" x14ac:dyDescent="0.25">
      <c r="A36" s="492"/>
      <c r="B36" s="492"/>
      <c r="C36" s="130">
        <f>SUM(C3:C35)</f>
        <v>1476403.93</v>
      </c>
      <c r="D36" s="148"/>
      <c r="E36" s="140">
        <f>SUM(E3:E35)</f>
        <v>1204264.5699999998</v>
      </c>
      <c r="F36" s="130">
        <f>SUM(F3:F35)</f>
        <v>272139.35999999993</v>
      </c>
      <c r="J36" s="140"/>
      <c r="K36" s="126" t="s">
        <v>863</v>
      </c>
      <c r="L36" s="130">
        <v>14473.04</v>
      </c>
      <c r="M36" s="165"/>
      <c r="N36" s="166" t="s">
        <v>113</v>
      </c>
      <c r="O36" s="167">
        <v>30130</v>
      </c>
      <c r="P36" s="168">
        <v>43024</v>
      </c>
      <c r="Z36">
        <v>1</v>
      </c>
    </row>
    <row r="37" spans="1:26" ht="15.75" x14ac:dyDescent="0.25">
      <c r="A37"/>
      <c r="B37" s="149"/>
      <c r="D37" s="149"/>
      <c r="J37" s="140"/>
      <c r="K37" s="126" t="s">
        <v>864</v>
      </c>
      <c r="L37" s="130">
        <v>74780.160000000003</v>
      </c>
      <c r="M37" s="183"/>
      <c r="N37" s="166" t="s">
        <v>113</v>
      </c>
      <c r="O37" s="167">
        <v>9140</v>
      </c>
      <c r="P37" s="168">
        <v>43024</v>
      </c>
    </row>
    <row r="38" spans="1:26" ht="15.75" x14ac:dyDescent="0.25">
      <c r="A38"/>
      <c r="B38" s="149">
        <v>43009</v>
      </c>
      <c r="C38" s="140">
        <v>0</v>
      </c>
      <c r="D38" s="149"/>
      <c r="J38" s="164"/>
      <c r="K38" s="126" t="s">
        <v>865</v>
      </c>
      <c r="L38" s="130">
        <v>2273.9299999999998</v>
      </c>
      <c r="M38" s="235" t="s">
        <v>125</v>
      </c>
      <c r="N38" s="166" t="s">
        <v>113</v>
      </c>
      <c r="O38" s="185">
        <v>28254</v>
      </c>
      <c r="P38" s="186">
        <v>43025</v>
      </c>
    </row>
    <row r="39" spans="1:26" ht="15.75" x14ac:dyDescent="0.25">
      <c r="A39"/>
      <c r="B39" s="149">
        <v>43010</v>
      </c>
      <c r="C39" s="140">
        <v>0</v>
      </c>
      <c r="D39" s="149"/>
      <c r="J39" s="164"/>
      <c r="K39" s="126"/>
      <c r="L39" s="130"/>
      <c r="M39" s="187"/>
      <c r="N39" s="166" t="s">
        <v>113</v>
      </c>
      <c r="O39" s="301"/>
      <c r="P39" s="186"/>
      <c r="Q39" s="22"/>
    </row>
    <row r="40" spans="1:26" ht="15.75" x14ac:dyDescent="0.25">
      <c r="A40"/>
      <c r="B40" s="149">
        <v>43011</v>
      </c>
      <c r="C40" s="140">
        <v>834.19</v>
      </c>
      <c r="D40" s="149" t="s">
        <v>179</v>
      </c>
      <c r="F40" s="22"/>
      <c r="J40" s="164"/>
      <c r="K40" s="126" t="s">
        <v>64</v>
      </c>
      <c r="L40" s="130"/>
      <c r="M40" s="187"/>
      <c r="N40" s="166" t="s">
        <v>113</v>
      </c>
      <c r="O40" s="302"/>
      <c r="P40" s="186"/>
      <c r="Q40" s="22"/>
    </row>
    <row r="41" spans="1:26" ht="15.75" x14ac:dyDescent="0.25">
      <c r="A41"/>
      <c r="B41" s="149">
        <v>43012</v>
      </c>
      <c r="C41" s="140">
        <v>530</v>
      </c>
      <c r="D41" s="149" t="s">
        <v>847</v>
      </c>
      <c r="F41" s="22"/>
      <c r="J41" s="151"/>
      <c r="K41" s="126"/>
      <c r="L41" s="130"/>
      <c r="M41" s="235"/>
      <c r="N41" s="166" t="s">
        <v>113</v>
      </c>
      <c r="O41" s="301"/>
      <c r="P41" s="186"/>
      <c r="Q41" s="22"/>
    </row>
    <row r="42" spans="1:26" ht="16.5" thickBot="1" x14ac:dyDescent="0.3">
      <c r="A42"/>
      <c r="B42" s="149">
        <v>43013</v>
      </c>
      <c r="C42" s="140">
        <v>0</v>
      </c>
      <c r="D42" s="149"/>
      <c r="F42" s="22"/>
      <c r="J42" s="389"/>
      <c r="K42" s="205"/>
      <c r="L42" s="403"/>
      <c r="M42" s="235"/>
      <c r="N42" s="166" t="s">
        <v>113</v>
      </c>
      <c r="O42" s="339"/>
      <c r="P42" s="186"/>
      <c r="Q42" s="22"/>
    </row>
    <row r="43" spans="1:26" ht="15.75" x14ac:dyDescent="0.25">
      <c r="A43"/>
      <c r="B43" s="149">
        <v>43014</v>
      </c>
      <c r="C43" s="140">
        <v>0</v>
      </c>
      <c r="D43" s="149"/>
      <c r="F43" s="22"/>
      <c r="K43" s="482" t="s">
        <v>856</v>
      </c>
      <c r="L43" s="483"/>
      <c r="M43" s="484"/>
      <c r="N43" s="420" t="s">
        <v>113</v>
      </c>
      <c r="O43" s="347"/>
      <c r="P43" s="186"/>
      <c r="Q43" s="22"/>
    </row>
    <row r="44" spans="1:26" ht="19.5" thickBot="1" x14ac:dyDescent="0.35">
      <c r="A44"/>
      <c r="B44" s="149">
        <v>43015</v>
      </c>
      <c r="C44" s="140">
        <v>677</v>
      </c>
      <c r="D44" s="149" t="s">
        <v>851</v>
      </c>
      <c r="F44" s="22"/>
      <c r="J44" s="419"/>
      <c r="K44" s="485"/>
      <c r="L44" s="486"/>
      <c r="M44" s="487"/>
      <c r="N44" s="421" t="s">
        <v>113</v>
      </c>
      <c r="O44" s="347"/>
      <c r="P44" s="186"/>
      <c r="Q44" s="22"/>
    </row>
    <row r="45" spans="1:26" ht="15.75" x14ac:dyDescent="0.25">
      <c r="A45"/>
      <c r="B45" s="149">
        <v>43016</v>
      </c>
      <c r="C45" s="140">
        <v>0</v>
      </c>
      <c r="D45" s="149"/>
      <c r="F45" s="22"/>
      <c r="J45" s="402"/>
      <c r="K45" s="422"/>
      <c r="L45" s="423"/>
      <c r="M45" s="211"/>
      <c r="N45" s="184"/>
      <c r="O45" s="347"/>
      <c r="P45" s="186"/>
      <c r="Q45" s="22"/>
    </row>
    <row r="46" spans="1:26" ht="16.5" thickBot="1" x14ac:dyDescent="0.3">
      <c r="A46"/>
      <c r="B46" s="149">
        <v>43017</v>
      </c>
      <c r="C46" s="140">
        <v>0</v>
      </c>
      <c r="D46" s="149"/>
      <c r="F46" s="22"/>
      <c r="J46" s="270">
        <v>0</v>
      </c>
      <c r="K46" s="207"/>
      <c r="L46" s="270">
        <v>0</v>
      </c>
      <c r="M46" s="207"/>
      <c r="N46" s="343"/>
      <c r="O46" s="344">
        <v>0</v>
      </c>
      <c r="P46" s="222"/>
      <c r="Q46" s="417"/>
    </row>
    <row r="47" spans="1:26" ht="16.5" thickTop="1" x14ac:dyDescent="0.25">
      <c r="A47"/>
      <c r="B47" s="149">
        <v>43018</v>
      </c>
      <c r="C47" s="140">
        <v>451.53</v>
      </c>
      <c r="D47" s="149" t="s">
        <v>104</v>
      </c>
      <c r="F47" s="22"/>
      <c r="J47" s="390">
        <f>SUM(J27:J46)</f>
        <v>384072.94999999995</v>
      </c>
      <c r="K47" s="100"/>
      <c r="L47" s="352">
        <f>SUM(L29:L46)</f>
        <v>384072.49999999994</v>
      </c>
      <c r="M47" s="100"/>
      <c r="N47" s="100"/>
      <c r="O47" s="307">
        <f>SUM(O29:O46)</f>
        <v>384072.5</v>
      </c>
      <c r="P47" s="245"/>
      <c r="Q47" s="417"/>
    </row>
    <row r="48" spans="1:26" x14ac:dyDescent="0.25">
      <c r="A48"/>
      <c r="B48" s="149">
        <v>43019</v>
      </c>
      <c r="C48" s="140">
        <v>562</v>
      </c>
      <c r="D48" s="149" t="s">
        <v>857</v>
      </c>
      <c r="F48" s="22"/>
      <c r="Q48" s="417"/>
    </row>
    <row r="49" spans="1:17" x14ac:dyDescent="0.25">
      <c r="A49"/>
      <c r="B49" s="149">
        <v>43020</v>
      </c>
      <c r="C49" s="140">
        <v>503</v>
      </c>
      <c r="D49" s="149" t="s">
        <v>97</v>
      </c>
      <c r="E49"/>
      <c r="F49" s="22"/>
      <c r="Q49" s="417"/>
    </row>
    <row r="50" spans="1:17" x14ac:dyDescent="0.25">
      <c r="A50"/>
      <c r="B50" s="149">
        <v>43021</v>
      </c>
      <c r="C50" s="140">
        <v>0</v>
      </c>
      <c r="D50" s="149"/>
      <c r="E50"/>
      <c r="F50" s="22"/>
      <c r="Q50" s="417"/>
    </row>
    <row r="51" spans="1:17" x14ac:dyDescent="0.25">
      <c r="A51"/>
      <c r="B51" s="149">
        <v>43022</v>
      </c>
      <c r="C51" s="140">
        <v>511</v>
      </c>
      <c r="D51" s="149" t="s">
        <v>97</v>
      </c>
      <c r="E51"/>
      <c r="F51" s="22"/>
      <c r="Q51" s="417"/>
    </row>
    <row r="52" spans="1:17" ht="15.75" customHeight="1" x14ac:dyDescent="0.25">
      <c r="A52"/>
      <c r="B52" s="149">
        <v>43023</v>
      </c>
      <c r="C52" s="140">
        <v>0</v>
      </c>
      <c r="D52" s="149"/>
      <c r="E52"/>
      <c r="F52" s="22"/>
      <c r="Q52" s="417"/>
    </row>
    <row r="53" spans="1:17" ht="15.75" customHeight="1" x14ac:dyDescent="0.25">
      <c r="A53"/>
      <c r="B53" s="149">
        <v>43024</v>
      </c>
      <c r="C53" s="140">
        <v>513.5</v>
      </c>
      <c r="D53" s="149" t="s">
        <v>97</v>
      </c>
      <c r="E53"/>
      <c r="F53" s="22"/>
      <c r="Q53" s="417"/>
    </row>
    <row r="54" spans="1:17" ht="15.75" customHeight="1" x14ac:dyDescent="0.25">
      <c r="A54"/>
      <c r="B54" s="149">
        <v>43025</v>
      </c>
      <c r="C54" s="140">
        <v>301</v>
      </c>
      <c r="D54" s="149" t="s">
        <v>104</v>
      </c>
      <c r="E54"/>
      <c r="F54" s="22"/>
      <c r="Q54" s="417"/>
    </row>
    <row r="55" spans="1:17" x14ac:dyDescent="0.25">
      <c r="B55" s="149">
        <v>43026</v>
      </c>
      <c r="C55" s="140">
        <v>1273</v>
      </c>
      <c r="D55" s="149" t="s">
        <v>278</v>
      </c>
      <c r="E55"/>
      <c r="Q55" s="22"/>
    </row>
    <row r="56" spans="1:17" x14ac:dyDescent="0.25">
      <c r="B56" s="149">
        <v>43027</v>
      </c>
      <c r="C56" s="140">
        <v>0</v>
      </c>
      <c r="D56" s="149"/>
      <c r="E56"/>
    </row>
    <row r="57" spans="1:17" x14ac:dyDescent="0.25">
      <c r="B57" s="149">
        <v>43028</v>
      </c>
      <c r="C57" s="140">
        <v>548</v>
      </c>
      <c r="D57" s="149" t="s">
        <v>99</v>
      </c>
      <c r="E57"/>
    </row>
    <row r="58" spans="1:17" x14ac:dyDescent="0.25">
      <c r="B58" s="149">
        <v>43029</v>
      </c>
      <c r="C58" s="140">
        <v>833.8</v>
      </c>
      <c r="D58" s="149" t="s">
        <v>888</v>
      </c>
      <c r="E58"/>
    </row>
    <row r="59" spans="1:17" x14ac:dyDescent="0.25">
      <c r="B59" s="149">
        <v>43030</v>
      </c>
      <c r="C59" s="140">
        <v>0</v>
      </c>
      <c r="D59" s="149"/>
      <c r="E59"/>
    </row>
    <row r="60" spans="1:17" x14ac:dyDescent="0.25">
      <c r="B60" s="149">
        <v>43031</v>
      </c>
      <c r="C60" s="140">
        <v>534</v>
      </c>
      <c r="D60" s="149" t="s">
        <v>99</v>
      </c>
      <c r="E60"/>
    </row>
    <row r="61" spans="1:17" x14ac:dyDescent="0.25">
      <c r="B61" s="149">
        <v>43032</v>
      </c>
      <c r="C61" s="140">
        <v>0</v>
      </c>
      <c r="D61" s="149"/>
      <c r="E61"/>
    </row>
    <row r="62" spans="1:17" x14ac:dyDescent="0.25">
      <c r="B62" s="149">
        <v>43033</v>
      </c>
      <c r="C62" s="140">
        <v>1030</v>
      </c>
      <c r="D62" s="149" t="s">
        <v>278</v>
      </c>
      <c r="E62"/>
    </row>
    <row r="63" spans="1:17" x14ac:dyDescent="0.25">
      <c r="B63" s="149">
        <v>43034</v>
      </c>
      <c r="C63" s="164">
        <v>615.5</v>
      </c>
      <c r="D63" s="149" t="s">
        <v>104</v>
      </c>
      <c r="E63"/>
    </row>
    <row r="64" spans="1:17" x14ac:dyDescent="0.25">
      <c r="B64" s="149">
        <v>43035</v>
      </c>
      <c r="C64" s="140">
        <v>647</v>
      </c>
      <c r="D64" s="149" t="s">
        <v>97</v>
      </c>
    </row>
    <row r="65" spans="2:4" x14ac:dyDescent="0.25">
      <c r="B65" s="149">
        <v>43036</v>
      </c>
      <c r="C65" s="140">
        <v>55</v>
      </c>
      <c r="D65" s="149" t="s">
        <v>908</v>
      </c>
    </row>
    <row r="66" spans="2:4" x14ac:dyDescent="0.25">
      <c r="B66" s="149">
        <v>43037</v>
      </c>
      <c r="C66" s="140">
        <v>649</v>
      </c>
      <c r="D66" s="149" t="s">
        <v>97</v>
      </c>
    </row>
    <row r="67" spans="2:4" x14ac:dyDescent="0.25">
      <c r="B67" s="149">
        <v>43038</v>
      </c>
    </row>
    <row r="68" spans="2:4" x14ac:dyDescent="0.25">
      <c r="B68" s="149">
        <v>43039</v>
      </c>
    </row>
    <row r="69" spans="2:4" x14ac:dyDescent="0.25">
      <c r="B69" s="149"/>
    </row>
    <row r="70" spans="2:4" ht="18.75" x14ac:dyDescent="0.3">
      <c r="C70" s="215">
        <f>SUM(C41:C69)</f>
        <v>10234.33</v>
      </c>
    </row>
  </sheetData>
  <sortState ref="A9:E30">
    <sortCondition ref="B9:B30"/>
  </sortState>
  <mergeCells count="3">
    <mergeCell ref="J18:M19"/>
    <mergeCell ref="K43:M44"/>
    <mergeCell ref="U18:W1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Q76"/>
  <sheetViews>
    <sheetView tabSelected="1" workbookViewId="0">
      <selection activeCell="C4" sqref="C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34" t="s">
        <v>901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8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208523.32</v>
      </c>
      <c r="D4" s="13"/>
      <c r="E4" s="435" t="s">
        <v>4</v>
      </c>
      <c r="F4" s="436"/>
      <c r="I4" s="437" t="s">
        <v>64</v>
      </c>
      <c r="J4" s="438"/>
      <c r="K4" s="438"/>
      <c r="L4" s="438"/>
      <c r="M4" s="14" t="s">
        <v>6</v>
      </c>
      <c r="N4" s="15" t="s">
        <v>7</v>
      </c>
    </row>
    <row r="5" spans="1:17" ht="16.5" thickTop="1" thickBot="1" x14ac:dyDescent="0.3">
      <c r="A5" s="16"/>
      <c r="B5" s="285"/>
      <c r="C5" s="286"/>
      <c r="D5" s="238"/>
      <c r="E5" s="279"/>
      <c r="F5" s="280"/>
      <c r="G5" s="22"/>
      <c r="H5" s="23"/>
      <c r="I5" s="291"/>
      <c r="J5" s="195"/>
      <c r="K5" s="26"/>
      <c r="L5" s="27"/>
      <c r="M5" s="196"/>
      <c r="N5" s="29"/>
      <c r="O5" s="22"/>
      <c r="P5" s="335"/>
    </row>
    <row r="6" spans="1:17" ht="15.75" thickBot="1" x14ac:dyDescent="0.3">
      <c r="A6" s="16"/>
      <c r="B6" s="287"/>
      <c r="C6" s="288"/>
      <c r="D6" s="239"/>
      <c r="E6" s="281"/>
      <c r="F6" s="282"/>
      <c r="G6" s="33"/>
      <c r="H6" s="23"/>
      <c r="I6" s="292"/>
      <c r="J6" s="36"/>
      <c r="K6" s="37" t="s">
        <v>9</v>
      </c>
      <c r="L6" s="38">
        <v>0</v>
      </c>
      <c r="M6" s="39"/>
      <c r="N6" s="35"/>
      <c r="O6" s="22"/>
      <c r="P6" s="335"/>
    </row>
    <row r="7" spans="1:17" ht="15.75" thickBot="1" x14ac:dyDescent="0.3">
      <c r="A7" s="16"/>
      <c r="B7" s="287"/>
      <c r="C7" s="288"/>
      <c r="D7" s="238"/>
      <c r="E7" s="281"/>
      <c r="F7" s="282"/>
      <c r="G7" s="22"/>
      <c r="H7" s="23"/>
      <c r="I7" s="292"/>
      <c r="J7" s="36"/>
      <c r="K7" s="40" t="s">
        <v>131</v>
      </c>
      <c r="L7" s="38">
        <v>0</v>
      </c>
      <c r="M7" s="39"/>
      <c r="N7" s="35"/>
      <c r="O7" s="22"/>
      <c r="P7" s="335"/>
    </row>
    <row r="8" spans="1:17" ht="15.75" thickBot="1" x14ac:dyDescent="0.3">
      <c r="A8" s="16"/>
      <c r="B8" s="287"/>
      <c r="C8" s="288"/>
      <c r="D8" s="238"/>
      <c r="E8" s="281"/>
      <c r="F8" s="282"/>
      <c r="G8" s="22"/>
      <c r="H8" s="23"/>
      <c r="I8" s="292"/>
      <c r="J8" s="36"/>
      <c r="K8" s="37" t="s">
        <v>14</v>
      </c>
      <c r="L8" s="38">
        <v>28750</v>
      </c>
      <c r="M8" s="39"/>
      <c r="N8" s="35"/>
      <c r="O8" s="44"/>
      <c r="P8" s="371"/>
      <c r="Q8" s="22"/>
    </row>
    <row r="9" spans="1:17" ht="15.75" thickBot="1" x14ac:dyDescent="0.3">
      <c r="A9" s="16"/>
      <c r="B9" s="287"/>
      <c r="C9" s="288"/>
      <c r="D9" s="238"/>
      <c r="E9" s="281"/>
      <c r="F9" s="282"/>
      <c r="G9" s="22"/>
      <c r="H9" s="23"/>
      <c r="I9" s="292"/>
      <c r="J9" s="42" t="s">
        <v>839</v>
      </c>
      <c r="K9" s="37" t="s">
        <v>834</v>
      </c>
      <c r="L9" s="32">
        <v>0</v>
      </c>
      <c r="M9" s="39"/>
      <c r="N9" s="35"/>
      <c r="O9" s="44"/>
      <c r="P9" s="335"/>
    </row>
    <row r="10" spans="1:17" ht="15.75" thickBot="1" x14ac:dyDescent="0.3">
      <c r="A10" s="16"/>
      <c r="B10" s="287"/>
      <c r="C10" s="288"/>
      <c r="D10" s="239"/>
      <c r="E10" s="281"/>
      <c r="F10" s="282"/>
      <c r="G10" s="22"/>
      <c r="H10" s="23"/>
      <c r="I10" s="292"/>
      <c r="J10" s="42" t="s">
        <v>840</v>
      </c>
      <c r="K10" s="37" t="s">
        <v>836</v>
      </c>
      <c r="L10" s="32">
        <v>0</v>
      </c>
      <c r="M10" s="39"/>
      <c r="N10" s="35"/>
      <c r="O10" s="36"/>
      <c r="P10" s="335"/>
    </row>
    <row r="11" spans="1:17" ht="15.75" thickBot="1" x14ac:dyDescent="0.3">
      <c r="A11" s="16"/>
      <c r="B11" s="287"/>
      <c r="C11" s="288"/>
      <c r="D11" s="240"/>
      <c r="E11" s="281"/>
      <c r="F11" s="282"/>
      <c r="G11" s="22"/>
      <c r="H11" s="23"/>
      <c r="I11" s="292"/>
      <c r="J11" s="42" t="s">
        <v>885</v>
      </c>
      <c r="K11" s="37" t="s">
        <v>835</v>
      </c>
      <c r="L11" s="32">
        <v>0</v>
      </c>
      <c r="M11" s="39"/>
      <c r="N11" s="35"/>
      <c r="O11" s="36"/>
      <c r="P11" s="335"/>
    </row>
    <row r="12" spans="1:17" ht="15.75" thickBot="1" x14ac:dyDescent="0.3">
      <c r="A12" s="16"/>
      <c r="B12" s="287"/>
      <c r="C12" s="288"/>
      <c r="D12" s="238"/>
      <c r="E12" s="281"/>
      <c r="F12" s="282"/>
      <c r="G12" s="22"/>
      <c r="H12" s="23"/>
      <c r="I12" s="292"/>
      <c r="J12" s="42" t="s">
        <v>896</v>
      </c>
      <c r="K12" s="37" t="s">
        <v>837</v>
      </c>
      <c r="L12" s="32">
        <v>0</v>
      </c>
      <c r="M12" s="39"/>
      <c r="N12" s="35"/>
      <c r="O12" s="44" t="s">
        <v>64</v>
      </c>
      <c r="P12" s="336"/>
    </row>
    <row r="13" spans="1:17" ht="15.75" thickBot="1" x14ac:dyDescent="0.3">
      <c r="A13" s="16"/>
      <c r="B13" s="287"/>
      <c r="C13" s="288"/>
      <c r="D13" s="239"/>
      <c r="E13" s="281"/>
      <c r="F13" s="282"/>
      <c r="G13" s="22"/>
      <c r="H13" s="23"/>
      <c r="I13" s="292"/>
      <c r="J13" s="42"/>
      <c r="K13" s="37" t="s">
        <v>838</v>
      </c>
      <c r="L13" s="32">
        <v>0</v>
      </c>
      <c r="M13" s="39"/>
      <c r="N13" s="35"/>
      <c r="O13" s="22"/>
      <c r="P13" s="335"/>
    </row>
    <row r="14" spans="1:17" ht="15.75" thickBot="1" x14ac:dyDescent="0.3">
      <c r="A14" s="16"/>
      <c r="B14" s="287"/>
      <c r="C14" s="288"/>
      <c r="D14" s="238"/>
      <c r="E14" s="281"/>
      <c r="F14" s="282"/>
      <c r="G14" s="22"/>
      <c r="H14" s="23"/>
      <c r="I14" s="292"/>
      <c r="J14" s="42"/>
      <c r="K14" s="178" t="s">
        <v>29</v>
      </c>
      <c r="L14" s="32">
        <v>0</v>
      </c>
      <c r="M14" s="39"/>
      <c r="N14" s="35"/>
      <c r="O14" s="22"/>
      <c r="P14" s="335"/>
    </row>
    <row r="15" spans="1:17" ht="15.75" thickBot="1" x14ac:dyDescent="0.3">
      <c r="A15" s="16"/>
      <c r="B15" s="287"/>
      <c r="C15" s="288"/>
      <c r="D15" s="238"/>
      <c r="E15" s="281"/>
      <c r="F15" s="282"/>
      <c r="G15" s="22"/>
      <c r="H15" s="23"/>
      <c r="I15" s="292"/>
      <c r="J15" s="265"/>
      <c r="K15" s="49"/>
      <c r="L15" s="32">
        <v>0</v>
      </c>
      <c r="M15" s="39"/>
      <c r="N15" s="35"/>
      <c r="O15" s="22"/>
      <c r="P15" s="335"/>
    </row>
    <row r="16" spans="1:17" ht="15.75" thickBot="1" x14ac:dyDescent="0.3">
      <c r="A16" s="16"/>
      <c r="B16" s="287"/>
      <c r="C16" s="288"/>
      <c r="D16" s="238"/>
      <c r="E16" s="281"/>
      <c r="F16" s="282"/>
      <c r="G16" s="22"/>
      <c r="H16" s="23"/>
      <c r="I16" s="292"/>
      <c r="J16" s="42"/>
      <c r="K16" s="49" t="s">
        <v>31</v>
      </c>
      <c r="L16" s="51">
        <v>0</v>
      </c>
      <c r="M16" s="39"/>
      <c r="N16" s="35"/>
      <c r="O16" s="22"/>
      <c r="P16" s="335"/>
    </row>
    <row r="17" spans="1:16" ht="15.75" thickBot="1" x14ac:dyDescent="0.3">
      <c r="A17" s="16"/>
      <c r="B17" s="287"/>
      <c r="C17" s="288"/>
      <c r="D17" s="238"/>
      <c r="E17" s="281"/>
      <c r="F17" s="282"/>
      <c r="G17" s="22"/>
      <c r="H17" s="23"/>
      <c r="I17" s="292"/>
      <c r="J17" s="42"/>
      <c r="K17" s="52"/>
      <c r="L17" s="32">
        <v>0</v>
      </c>
      <c r="M17" s="39"/>
      <c r="N17" s="35"/>
      <c r="O17" s="44"/>
      <c r="P17" s="335"/>
    </row>
    <row r="18" spans="1:16" ht="15.75" thickBot="1" x14ac:dyDescent="0.3">
      <c r="A18" s="16"/>
      <c r="B18" s="287"/>
      <c r="C18" s="288"/>
      <c r="D18" s="238"/>
      <c r="E18" s="281"/>
      <c r="F18" s="282"/>
      <c r="G18" s="22"/>
      <c r="H18" s="23"/>
      <c r="I18" s="292"/>
      <c r="J18" s="42"/>
      <c r="K18" s="53"/>
      <c r="L18" s="32"/>
      <c r="M18" s="39"/>
      <c r="N18" s="35"/>
      <c r="O18" s="44"/>
      <c r="P18" s="335"/>
    </row>
    <row r="19" spans="1:16" ht="15.75" thickBot="1" x14ac:dyDescent="0.3">
      <c r="A19" s="16"/>
      <c r="B19" s="287"/>
      <c r="C19" s="288"/>
      <c r="D19" s="238"/>
      <c r="E19" s="281"/>
      <c r="F19" s="282"/>
      <c r="G19" s="22"/>
      <c r="H19" s="23"/>
      <c r="I19" s="292"/>
      <c r="J19" s="42"/>
      <c r="K19" s="53"/>
      <c r="L19" s="54"/>
      <c r="M19" s="39"/>
      <c r="N19" s="35"/>
      <c r="O19" s="22"/>
      <c r="P19" s="335"/>
    </row>
    <row r="20" spans="1:16" ht="15.75" thickBot="1" x14ac:dyDescent="0.3">
      <c r="A20" s="16"/>
      <c r="B20" s="287"/>
      <c r="C20" s="288"/>
      <c r="D20" s="239"/>
      <c r="E20" s="281"/>
      <c r="F20" s="282"/>
      <c r="G20" s="22"/>
      <c r="H20" s="23"/>
      <c r="I20" s="292"/>
      <c r="J20" s="42"/>
      <c r="K20" s="56" t="s">
        <v>38</v>
      </c>
      <c r="L20" s="51">
        <v>0</v>
      </c>
      <c r="M20" s="39"/>
      <c r="N20" s="35"/>
      <c r="O20" s="44"/>
      <c r="P20" s="22"/>
    </row>
    <row r="21" spans="1:16" ht="15.75" thickBot="1" x14ac:dyDescent="0.3">
      <c r="A21" s="16"/>
      <c r="B21" s="287"/>
      <c r="C21" s="288"/>
      <c r="D21" s="238"/>
      <c r="E21" s="281"/>
      <c r="F21" s="282"/>
      <c r="G21" s="22"/>
      <c r="H21" s="23"/>
      <c r="I21" s="292"/>
      <c r="J21" s="42"/>
      <c r="K21" s="57" t="s">
        <v>418</v>
      </c>
      <c r="L21" s="51">
        <v>0</v>
      </c>
      <c r="M21" s="39"/>
      <c r="N21" s="35"/>
      <c r="O21" s="44"/>
      <c r="P21" s="44"/>
    </row>
    <row r="22" spans="1:16" ht="15.75" thickBot="1" x14ac:dyDescent="0.3">
      <c r="A22" s="16"/>
      <c r="B22" s="287"/>
      <c r="C22" s="288"/>
      <c r="D22" s="238"/>
      <c r="E22" s="281"/>
      <c r="F22" s="282"/>
      <c r="G22" s="22"/>
      <c r="H22" s="23"/>
      <c r="I22" s="292"/>
      <c r="J22" s="58"/>
      <c r="K22" s="266" t="s">
        <v>42</v>
      </c>
      <c r="L22" s="51">
        <v>0</v>
      </c>
      <c r="M22" s="39"/>
      <c r="N22" s="35"/>
      <c r="O22" s="22"/>
      <c r="P22" s="22"/>
    </row>
    <row r="23" spans="1:16" ht="15.75" thickBot="1" x14ac:dyDescent="0.3">
      <c r="A23" s="16"/>
      <c r="B23" s="287"/>
      <c r="C23" s="288"/>
      <c r="D23" s="241"/>
      <c r="E23" s="281"/>
      <c r="F23" s="282"/>
      <c r="G23" s="22"/>
      <c r="H23" s="23"/>
      <c r="I23" s="292"/>
      <c r="J23" s="36"/>
      <c r="K23" s="61"/>
      <c r="L23" s="426" t="s">
        <v>882</v>
      </c>
      <c r="M23" s="39"/>
      <c r="N23" s="35"/>
      <c r="P23" s="22"/>
    </row>
    <row r="24" spans="1:16" ht="15.75" thickBot="1" x14ac:dyDescent="0.3">
      <c r="A24" s="16"/>
      <c r="B24" s="287"/>
      <c r="C24" s="288"/>
      <c r="D24" s="238"/>
      <c r="E24" s="281"/>
      <c r="F24" s="282"/>
      <c r="G24" s="22"/>
      <c r="H24" s="23"/>
      <c r="I24" s="292"/>
      <c r="J24" s="42"/>
      <c r="K24" s="263"/>
      <c r="L24" s="51">
        <v>0</v>
      </c>
      <c r="M24" s="39"/>
      <c r="N24" s="35"/>
      <c r="P24" s="22"/>
    </row>
    <row r="25" spans="1:16" ht="15.75" thickBot="1" x14ac:dyDescent="0.3">
      <c r="A25" s="16"/>
      <c r="B25" s="287"/>
      <c r="C25" s="288"/>
      <c r="D25" s="241"/>
      <c r="E25" s="281"/>
      <c r="F25" s="282"/>
      <c r="G25" s="22"/>
      <c r="H25" s="23"/>
      <c r="I25" s="292"/>
      <c r="J25" s="36"/>
      <c r="K25" s="61"/>
      <c r="L25" s="51">
        <v>0</v>
      </c>
      <c r="M25" s="39"/>
      <c r="N25" s="35"/>
      <c r="O25" s="22"/>
      <c r="P25" s="22"/>
    </row>
    <row r="26" spans="1:16" ht="15.75" thickBot="1" x14ac:dyDescent="0.3">
      <c r="A26" s="16"/>
      <c r="B26" s="287"/>
      <c r="C26" s="288"/>
      <c r="D26" s="238"/>
      <c r="E26" s="281"/>
      <c r="F26" s="282"/>
      <c r="G26" s="22"/>
      <c r="H26" s="23"/>
      <c r="I26" s="292"/>
      <c r="J26" s="63"/>
      <c r="K26" s="61"/>
      <c r="L26" s="51">
        <v>0</v>
      </c>
      <c r="M26" s="39"/>
      <c r="N26" s="35"/>
      <c r="O26" s="44"/>
      <c r="P26" s="47"/>
    </row>
    <row r="27" spans="1:16" ht="15.75" thickBot="1" x14ac:dyDescent="0.3">
      <c r="A27" s="16"/>
      <c r="B27" s="287"/>
      <c r="C27" s="288"/>
      <c r="D27" s="238"/>
      <c r="E27" s="281"/>
      <c r="F27" s="282"/>
      <c r="G27" s="22"/>
      <c r="H27" s="23"/>
      <c r="I27" s="292"/>
      <c r="J27" s="36"/>
      <c r="K27" s="64" t="s">
        <v>902</v>
      </c>
      <c r="L27" s="51"/>
      <c r="M27" s="39"/>
      <c r="N27" s="35"/>
      <c r="O27" s="22"/>
      <c r="P27" s="22"/>
    </row>
    <row r="28" spans="1:16" ht="15.75" thickBot="1" x14ac:dyDescent="0.3">
      <c r="A28" s="16"/>
      <c r="B28" s="287"/>
      <c r="C28" s="288"/>
      <c r="D28" s="238"/>
      <c r="E28" s="281"/>
      <c r="F28" s="282"/>
      <c r="G28" s="22"/>
      <c r="H28" s="23"/>
      <c r="I28" s="292"/>
      <c r="J28" s="36"/>
      <c r="K28" s="64" t="s">
        <v>54</v>
      </c>
      <c r="L28" s="51"/>
      <c r="M28" s="39"/>
      <c r="N28" s="35"/>
      <c r="O28" s="44"/>
      <c r="P28" s="22"/>
    </row>
    <row r="29" spans="1:16" ht="15.75" thickBot="1" x14ac:dyDescent="0.3">
      <c r="A29" s="16"/>
      <c r="B29" s="287"/>
      <c r="C29" s="288"/>
      <c r="D29" s="238"/>
      <c r="E29" s="281"/>
      <c r="F29" s="282"/>
      <c r="G29" s="22"/>
      <c r="H29" s="23"/>
      <c r="I29" s="292"/>
      <c r="J29" s="36"/>
      <c r="K29" s="64" t="s">
        <v>54</v>
      </c>
      <c r="L29" s="51"/>
      <c r="M29" s="39"/>
      <c r="N29" s="35"/>
      <c r="O29" s="44"/>
      <c r="P29" s="44"/>
    </row>
    <row r="30" spans="1:16" ht="15.75" thickBot="1" x14ac:dyDescent="0.3">
      <c r="A30" s="16"/>
      <c r="B30" s="287"/>
      <c r="C30" s="288"/>
      <c r="D30" s="238"/>
      <c r="E30" s="281"/>
      <c r="F30" s="282"/>
      <c r="G30" s="22"/>
      <c r="H30" s="23"/>
      <c r="I30" s="292"/>
      <c r="J30" s="63"/>
      <c r="K30" s="64" t="s">
        <v>902</v>
      </c>
      <c r="L30" s="51"/>
      <c r="M30" s="39"/>
      <c r="N30" s="35"/>
      <c r="O30" s="22"/>
      <c r="P30" s="22"/>
    </row>
    <row r="31" spans="1:16" ht="15.75" thickBot="1" x14ac:dyDescent="0.3">
      <c r="A31" s="16"/>
      <c r="B31" s="287"/>
      <c r="C31" s="288"/>
      <c r="D31" s="238"/>
      <c r="E31" s="281"/>
      <c r="F31" s="282"/>
      <c r="G31" s="22"/>
      <c r="H31" s="23"/>
      <c r="I31" s="292"/>
      <c r="J31" s="42"/>
      <c r="K31" s="64" t="s">
        <v>903</v>
      </c>
      <c r="L31" s="362"/>
      <c r="M31" s="39"/>
      <c r="N31" s="35"/>
      <c r="O31" s="44"/>
      <c r="P31" s="44"/>
    </row>
    <row r="32" spans="1:16" ht="15.75" thickBot="1" x14ac:dyDescent="0.3">
      <c r="A32" s="16"/>
      <c r="B32" s="287"/>
      <c r="C32" s="288"/>
      <c r="D32" s="238"/>
      <c r="E32" s="281"/>
      <c r="F32" s="282"/>
      <c r="G32" s="22"/>
      <c r="H32" s="23"/>
      <c r="I32" s="292"/>
      <c r="J32" s="36"/>
      <c r="K32" s="64" t="s">
        <v>628</v>
      </c>
      <c r="L32" s="363"/>
      <c r="M32" s="39"/>
      <c r="N32" s="35"/>
      <c r="O32" s="22"/>
      <c r="P32" s="22"/>
    </row>
    <row r="33" spans="1:16" ht="16.5" thickBot="1" x14ac:dyDescent="0.3">
      <c r="A33" s="16"/>
      <c r="B33" s="287"/>
      <c r="C33" s="288"/>
      <c r="D33" s="240"/>
      <c r="E33" s="281"/>
      <c r="F33" s="282"/>
      <c r="G33" s="22"/>
      <c r="H33" s="23"/>
      <c r="I33" s="292"/>
      <c r="J33" s="36"/>
      <c r="K33" s="384"/>
      <c r="L33" s="232">
        <v>0</v>
      </c>
      <c r="M33" s="39">
        <v>0</v>
      </c>
      <c r="N33" s="35">
        <v>0</v>
      </c>
      <c r="O33" s="22"/>
      <c r="P33" s="22"/>
    </row>
    <row r="34" spans="1:16" ht="16.5" thickBot="1" x14ac:dyDescent="0.3">
      <c r="A34" s="16"/>
      <c r="B34" s="287"/>
      <c r="C34" s="289"/>
      <c r="D34" s="238"/>
      <c r="E34" s="281"/>
      <c r="F34" s="282"/>
      <c r="G34" s="22"/>
      <c r="H34" s="23"/>
      <c r="I34" s="292"/>
      <c r="J34" s="36"/>
      <c r="K34" s="384"/>
      <c r="L34" s="233"/>
      <c r="M34" s="39">
        <v>0</v>
      </c>
      <c r="N34" s="35">
        <v>0</v>
      </c>
      <c r="O34" s="22"/>
    </row>
    <row r="35" spans="1:16" ht="15.7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475"/>
      <c r="L35" s="38">
        <v>0</v>
      </c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75"/>
      <c r="L36" s="41"/>
      <c r="M36" s="78">
        <v>0</v>
      </c>
      <c r="N36" s="79">
        <f>SUM(N5:N35)</f>
        <v>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6" x14ac:dyDescent="0.25">
      <c r="B38" s="91" t="s">
        <v>60</v>
      </c>
      <c r="C38" s="92">
        <f>SUM(C5:C37)</f>
        <v>0</v>
      </c>
      <c r="E38" s="427" t="s">
        <v>60</v>
      </c>
      <c r="F38" s="94">
        <f>SUM(F5:F37)</f>
        <v>0</v>
      </c>
      <c r="H38" s="6" t="s">
        <v>60</v>
      </c>
      <c r="I38" s="4">
        <f>SUM(I5:I37)</f>
        <v>0</v>
      </c>
      <c r="J38" s="4"/>
      <c r="K38" s="95" t="s">
        <v>60</v>
      </c>
      <c r="L38" s="96">
        <f>SUM(L5:L37)</f>
        <v>28750</v>
      </c>
    </row>
    <row r="40" spans="1:16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429"/>
      <c r="K40" s="432">
        <f>I38+L38</f>
        <v>28750</v>
      </c>
      <c r="L40" s="433"/>
    </row>
    <row r="41" spans="1:16" ht="15.75" x14ac:dyDescent="0.25">
      <c r="B41" s="102"/>
      <c r="C41" s="77"/>
      <c r="D41" s="448" t="s">
        <v>62</v>
      </c>
      <c r="E41" s="448"/>
      <c r="F41" s="103">
        <f>F38-K40</f>
        <v>-28750</v>
      </c>
      <c r="I41" s="104"/>
      <c r="J41" s="104"/>
    </row>
    <row r="42" spans="1:16" ht="15.75" x14ac:dyDescent="0.25">
      <c r="D42" s="449" t="s">
        <v>63</v>
      </c>
      <c r="E42" s="449"/>
      <c r="F42" s="103"/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-28750</v>
      </c>
      <c r="I44" s="450" t="s">
        <v>66</v>
      </c>
      <c r="J44" s="451"/>
      <c r="K44" s="454">
        <f>F48+L46</f>
        <v>-28750</v>
      </c>
      <c r="L44" s="455"/>
    </row>
    <row r="45" spans="1:16" ht="15.75" thickBot="1" x14ac:dyDescent="0.3">
      <c r="D45" s="108" t="s">
        <v>67</v>
      </c>
      <c r="E45" s="97" t="s">
        <v>68</v>
      </c>
      <c r="F45" s="4"/>
      <c r="I45" s="452"/>
      <c r="J45" s="453"/>
      <c r="K45" s="456"/>
      <c r="L45" s="457"/>
    </row>
    <row r="46" spans="1:16" ht="17.25" thickTop="1" thickBot="1" x14ac:dyDescent="0.3">
      <c r="C46" s="94"/>
      <c r="D46" s="458" t="s">
        <v>69</v>
      </c>
      <c r="E46" s="458"/>
      <c r="F46" s="109"/>
      <c r="I46" s="459"/>
      <c r="J46" s="459"/>
      <c r="K46" s="460"/>
      <c r="L46" s="110"/>
    </row>
    <row r="47" spans="1:16" ht="19.5" thickBot="1" x14ac:dyDescent="0.35">
      <c r="C47" s="94"/>
      <c r="D47" s="427"/>
      <c r="E47" s="427"/>
      <c r="F47" s="111"/>
      <c r="H47" s="112"/>
      <c r="I47" s="428" t="s">
        <v>275</v>
      </c>
      <c r="J47" s="428"/>
      <c r="K47" s="442">
        <f>-C4</f>
        <v>-208523.32</v>
      </c>
      <c r="L47" s="442"/>
      <c r="M47" s="114"/>
    </row>
    <row r="48" spans="1:16" ht="17.25" thickTop="1" thickBot="1" x14ac:dyDescent="0.3">
      <c r="E48" s="115" t="s">
        <v>71</v>
      </c>
      <c r="F48" s="116">
        <f>F44+F45+F46</f>
        <v>-28750</v>
      </c>
    </row>
    <row r="49" spans="2:14" ht="19.5" thickBot="1" x14ac:dyDescent="0.35">
      <c r="B49"/>
      <c r="C49"/>
      <c r="D49" s="443"/>
      <c r="E49" s="443"/>
      <c r="F49" s="77"/>
      <c r="I49" s="444"/>
      <c r="J49" s="445"/>
      <c r="K49" s="446">
        <f>K44+K47</f>
        <v>-237273.32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K35:K36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70"/>
  <sheetViews>
    <sheetView topLeftCell="D1" workbookViewId="0">
      <selection activeCell="P25" sqref="P2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2" max="12" width="12.5703125" bestFit="1" customWidth="1"/>
    <col min="14" max="14" width="16" customWidth="1"/>
    <col min="16" max="16" width="11.140625" bestFit="1" customWidth="1"/>
    <col min="17" max="17" width="20.140625" bestFit="1" customWidth="1"/>
    <col min="18" max="18" width="12.42578125" bestFit="1" customWidth="1"/>
  </cols>
  <sheetData>
    <row r="1" spans="1:18" ht="19.5" thickBot="1" x14ac:dyDescent="0.35">
      <c r="B1" s="118" t="s">
        <v>904</v>
      </c>
      <c r="C1" s="119"/>
      <c r="D1" s="120"/>
      <c r="E1" s="119"/>
      <c r="F1" s="121"/>
      <c r="L1" s="151"/>
      <c r="M1" t="s">
        <v>64</v>
      </c>
      <c r="N1" s="154" t="s">
        <v>105</v>
      </c>
      <c r="O1" s="155"/>
      <c r="P1" s="156"/>
      <c r="Q1" s="182">
        <v>43047</v>
      </c>
      <c r="R1" s="158"/>
    </row>
    <row r="2" spans="1:18" ht="16.5" thickBot="1" x14ac:dyDescent="0.3">
      <c r="A2" s="122"/>
      <c r="B2" s="123"/>
      <c r="C2" s="124"/>
      <c r="D2" s="123"/>
      <c r="E2" s="124"/>
      <c r="F2" s="124"/>
      <c r="L2" s="151"/>
      <c r="M2" s="159"/>
      <c r="N2" s="160"/>
      <c r="O2" s="159"/>
      <c r="P2" s="161"/>
      <c r="Q2" s="160"/>
      <c r="R2" s="162"/>
    </row>
    <row r="3" spans="1:18" ht="15.75" x14ac:dyDescent="0.25">
      <c r="A3" s="125"/>
      <c r="B3" s="132"/>
      <c r="C3" s="36"/>
      <c r="D3" s="127"/>
      <c r="E3" s="36"/>
      <c r="F3" s="128">
        <f t="shared" ref="F3:F35" si="0">C3-E3</f>
        <v>0</v>
      </c>
      <c r="K3">
        <v>7669</v>
      </c>
      <c r="L3" s="151">
        <v>5959.42</v>
      </c>
      <c r="M3" s="163" t="s">
        <v>106</v>
      </c>
      <c r="N3" s="160" t="s">
        <v>107</v>
      </c>
      <c r="O3" s="159"/>
      <c r="P3" s="161" t="s">
        <v>108</v>
      </c>
      <c r="Q3" s="160" t="s">
        <v>109</v>
      </c>
      <c r="R3" s="162"/>
    </row>
    <row r="4" spans="1:18" ht="15.75" x14ac:dyDescent="0.25">
      <c r="A4" s="129"/>
      <c r="B4" s="126"/>
      <c r="C4" s="36"/>
      <c r="D4" s="127"/>
      <c r="E4" s="36"/>
      <c r="F4" s="128">
        <f t="shared" si="0"/>
        <v>0</v>
      </c>
      <c r="L4" s="164">
        <v>34824.400000000001</v>
      </c>
      <c r="M4" s="126" t="s">
        <v>872</v>
      </c>
      <c r="N4" s="130">
        <v>16647.52</v>
      </c>
      <c r="O4" s="165" t="s">
        <v>111</v>
      </c>
      <c r="P4" s="166" t="s">
        <v>113</v>
      </c>
      <c r="Q4" s="167">
        <v>4148</v>
      </c>
      <c r="R4" s="168">
        <v>43033</v>
      </c>
    </row>
    <row r="5" spans="1:18" ht="15.75" x14ac:dyDescent="0.25">
      <c r="A5" s="129"/>
      <c r="B5" s="126"/>
      <c r="C5" s="130"/>
      <c r="D5" s="127"/>
      <c r="E5" s="130"/>
      <c r="F5" s="128">
        <f t="shared" si="0"/>
        <v>0</v>
      </c>
      <c r="L5" s="164">
        <v>17140.52</v>
      </c>
      <c r="M5" s="205" t="s">
        <v>873</v>
      </c>
      <c r="N5" s="130">
        <v>17140.52</v>
      </c>
      <c r="O5" s="165"/>
      <c r="P5" s="166" t="s">
        <v>113</v>
      </c>
      <c r="Q5" s="167">
        <v>15974</v>
      </c>
      <c r="R5" s="168">
        <v>43033</v>
      </c>
    </row>
    <row r="6" spans="1:18" ht="15.75" x14ac:dyDescent="0.25">
      <c r="A6" s="129"/>
      <c r="B6" s="126"/>
      <c r="C6" s="36"/>
      <c r="D6" s="127"/>
      <c r="E6" s="36"/>
      <c r="F6" s="128">
        <f t="shared" si="0"/>
        <v>0</v>
      </c>
      <c r="L6" s="140">
        <f>37619.89+47731.57</f>
        <v>85351.459999999992</v>
      </c>
      <c r="M6" s="205" t="s">
        <v>874</v>
      </c>
      <c r="N6" s="130">
        <v>85351.46</v>
      </c>
      <c r="O6" s="165"/>
      <c r="P6" s="166">
        <v>3534715</v>
      </c>
      <c r="Q6" s="167">
        <v>38530</v>
      </c>
      <c r="R6" s="168">
        <v>43033</v>
      </c>
    </row>
    <row r="7" spans="1:18" ht="15.75" x14ac:dyDescent="0.25">
      <c r="A7" s="129"/>
      <c r="B7" s="126"/>
      <c r="C7" s="130"/>
      <c r="D7" s="127"/>
      <c r="E7" s="130"/>
      <c r="F7" s="128">
        <f t="shared" si="0"/>
        <v>0</v>
      </c>
      <c r="L7" s="140">
        <v>588.79999999999995</v>
      </c>
      <c r="M7" s="205" t="s">
        <v>875</v>
      </c>
      <c r="N7" s="130">
        <v>588.79999999999995</v>
      </c>
      <c r="O7" s="165"/>
      <c r="P7" s="166" t="s">
        <v>113</v>
      </c>
      <c r="Q7" s="167">
        <v>37620</v>
      </c>
      <c r="R7" s="168">
        <v>43034</v>
      </c>
    </row>
    <row r="8" spans="1:18" ht="15.75" x14ac:dyDescent="0.25">
      <c r="A8" s="129"/>
      <c r="B8" s="126"/>
      <c r="C8" s="130"/>
      <c r="D8" s="133"/>
      <c r="E8" s="130"/>
      <c r="F8" s="128">
        <f t="shared" si="0"/>
        <v>0</v>
      </c>
      <c r="L8" s="140">
        <f>25920+425.38+32045.72</f>
        <v>58391.100000000006</v>
      </c>
      <c r="M8" s="205" t="s">
        <v>877</v>
      </c>
      <c r="N8" s="130">
        <v>32471.1</v>
      </c>
      <c r="O8" s="165"/>
      <c r="P8" s="166" t="s">
        <v>113</v>
      </c>
      <c r="Q8" s="167">
        <v>74666</v>
      </c>
      <c r="R8" s="168">
        <v>43035</v>
      </c>
    </row>
    <row r="9" spans="1:18" ht="15.75" x14ac:dyDescent="0.25">
      <c r="A9" s="129"/>
      <c r="B9" s="126"/>
      <c r="C9" s="130"/>
      <c r="D9" s="127"/>
      <c r="E9" s="130"/>
      <c r="F9" s="128">
        <f t="shared" si="0"/>
        <v>0</v>
      </c>
      <c r="L9" s="164">
        <f>43357.55+50883.4+22600</f>
        <v>116840.95000000001</v>
      </c>
      <c r="M9" s="205" t="s">
        <v>878</v>
      </c>
      <c r="N9" s="130">
        <v>127509.7</v>
      </c>
      <c r="O9" s="165"/>
      <c r="P9" s="166">
        <v>3534716</v>
      </c>
      <c r="Q9" s="167">
        <v>75403.27</v>
      </c>
      <c r="R9" s="168">
        <v>43036</v>
      </c>
    </row>
    <row r="10" spans="1:18" ht="15.75" x14ac:dyDescent="0.25">
      <c r="A10" s="129"/>
      <c r="B10" s="126"/>
      <c r="C10" s="130"/>
      <c r="D10" s="127"/>
      <c r="E10" s="130"/>
      <c r="F10" s="128">
        <f t="shared" si="0"/>
        <v>0</v>
      </c>
      <c r="L10" s="140"/>
      <c r="M10" s="205" t="s">
        <v>879</v>
      </c>
      <c r="N10" s="130">
        <v>9170.16</v>
      </c>
      <c r="O10" s="165"/>
      <c r="P10" s="166">
        <v>3534718</v>
      </c>
      <c r="Q10" s="167">
        <v>50883.5</v>
      </c>
      <c r="R10" s="168">
        <v>43037</v>
      </c>
    </row>
    <row r="11" spans="1:18" ht="15.75" x14ac:dyDescent="0.25">
      <c r="A11" s="236"/>
      <c r="B11" s="126"/>
      <c r="C11" s="130"/>
      <c r="D11" s="127"/>
      <c r="E11" s="130"/>
      <c r="F11" s="128">
        <f t="shared" si="0"/>
        <v>0</v>
      </c>
      <c r="L11" s="140"/>
      <c r="M11" s="489" t="s">
        <v>898</v>
      </c>
      <c r="N11" s="130">
        <v>23217.1</v>
      </c>
      <c r="O11" s="165"/>
      <c r="P11" s="166" t="s">
        <v>113</v>
      </c>
      <c r="Q11" s="167">
        <v>54209</v>
      </c>
      <c r="R11" s="168">
        <v>43039</v>
      </c>
    </row>
    <row r="12" spans="1:18" ht="15.75" x14ac:dyDescent="0.25">
      <c r="A12" s="129"/>
      <c r="B12" s="126"/>
      <c r="C12" s="130"/>
      <c r="D12" s="127"/>
      <c r="E12" s="130"/>
      <c r="F12" s="128">
        <f t="shared" si="0"/>
        <v>0</v>
      </c>
      <c r="L12" s="140"/>
      <c r="M12" s="489" t="s">
        <v>899</v>
      </c>
      <c r="N12" s="130">
        <v>45488.4</v>
      </c>
      <c r="O12" s="183"/>
      <c r="P12" s="166" t="s">
        <v>113</v>
      </c>
      <c r="Q12" s="167"/>
      <c r="R12" s="168"/>
    </row>
    <row r="13" spans="1:18" ht="15.75" x14ac:dyDescent="0.25">
      <c r="A13" s="129"/>
      <c r="B13" s="126"/>
      <c r="C13" s="130"/>
      <c r="D13" s="127"/>
      <c r="E13" s="130"/>
      <c r="F13" s="128">
        <f t="shared" si="0"/>
        <v>0</v>
      </c>
      <c r="L13" s="164"/>
      <c r="M13" s="489" t="s">
        <v>900</v>
      </c>
      <c r="N13" s="130">
        <v>6684.6</v>
      </c>
      <c r="O13" s="235"/>
      <c r="P13" s="184">
        <v>3534723</v>
      </c>
      <c r="Q13" s="185"/>
      <c r="R13" s="186"/>
    </row>
    <row r="14" spans="1:18" ht="15.75" x14ac:dyDescent="0.25">
      <c r="A14" s="129"/>
      <c r="B14" s="126"/>
      <c r="C14" s="130"/>
      <c r="D14" s="127"/>
      <c r="E14" s="130"/>
      <c r="F14" s="128">
        <f t="shared" si="0"/>
        <v>0</v>
      </c>
      <c r="L14" s="164"/>
      <c r="M14" s="126"/>
      <c r="N14" s="36"/>
      <c r="O14" s="187"/>
      <c r="P14" s="184">
        <v>3534725</v>
      </c>
      <c r="Q14" s="301"/>
      <c r="R14" s="186"/>
    </row>
    <row r="15" spans="1:18" ht="15.75" x14ac:dyDescent="0.25">
      <c r="A15" s="129"/>
      <c r="B15" s="126"/>
      <c r="C15" s="130"/>
      <c r="D15" s="127"/>
      <c r="E15" s="130"/>
      <c r="F15" s="128">
        <f t="shared" si="0"/>
        <v>0</v>
      </c>
      <c r="L15" s="164"/>
      <c r="M15" s="126"/>
      <c r="N15" s="130"/>
      <c r="O15" s="187"/>
      <c r="P15" s="184">
        <v>3534724</v>
      </c>
      <c r="Q15" s="302"/>
      <c r="R15" s="186"/>
    </row>
    <row r="16" spans="1:18" ht="15.75" x14ac:dyDescent="0.25">
      <c r="A16" s="129"/>
      <c r="B16" s="126"/>
      <c r="C16" s="130"/>
      <c r="D16" s="127"/>
      <c r="E16" s="130"/>
      <c r="F16" s="128">
        <f t="shared" si="0"/>
        <v>0</v>
      </c>
      <c r="L16" s="151"/>
      <c r="M16" s="126"/>
      <c r="N16" s="130"/>
      <c r="O16" s="235"/>
      <c r="P16" s="369" t="s">
        <v>113</v>
      </c>
      <c r="Q16" s="301"/>
      <c r="R16" s="186"/>
    </row>
    <row r="17" spans="1:18" ht="15.75" x14ac:dyDescent="0.25">
      <c r="A17" s="129"/>
      <c r="B17" s="126"/>
      <c r="C17" s="130"/>
      <c r="D17" s="127"/>
      <c r="E17" s="130"/>
      <c r="F17" s="128">
        <f t="shared" si="0"/>
        <v>0</v>
      </c>
      <c r="L17" s="389"/>
      <c r="M17" s="126"/>
      <c r="N17" s="332"/>
      <c r="O17" s="227"/>
      <c r="P17" s="166" t="s">
        <v>113</v>
      </c>
      <c r="Q17" s="339"/>
      <c r="R17" s="186"/>
    </row>
    <row r="18" spans="1:18" ht="15.75" x14ac:dyDescent="0.25">
      <c r="A18" s="129"/>
      <c r="B18" s="126"/>
      <c r="C18" s="130"/>
      <c r="D18" s="133"/>
      <c r="E18" s="130"/>
      <c r="F18" s="128">
        <f t="shared" si="0"/>
        <v>0</v>
      </c>
      <c r="L18" s="476" t="s">
        <v>856</v>
      </c>
      <c r="M18" s="477"/>
      <c r="N18" s="477"/>
      <c r="O18" s="478"/>
      <c r="P18" s="184" t="s">
        <v>113</v>
      </c>
      <c r="Q18" s="347"/>
      <c r="R18" s="186"/>
    </row>
    <row r="19" spans="1:18" ht="15.75" x14ac:dyDescent="0.25">
      <c r="A19" s="129"/>
      <c r="B19" s="126"/>
      <c r="C19" s="130"/>
      <c r="D19" s="127"/>
      <c r="E19" s="130"/>
      <c r="F19" s="128">
        <f t="shared" si="0"/>
        <v>0</v>
      </c>
      <c r="L19" s="479"/>
      <c r="M19" s="480"/>
      <c r="N19" s="480"/>
      <c r="O19" s="481"/>
      <c r="P19" s="184" t="s">
        <v>113</v>
      </c>
      <c r="Q19" s="347"/>
      <c r="R19" s="186"/>
    </row>
    <row r="20" spans="1:18" ht="15.75" x14ac:dyDescent="0.25">
      <c r="A20" s="129"/>
      <c r="B20" s="493"/>
      <c r="C20" s="130"/>
      <c r="D20" s="127"/>
      <c r="E20" s="130"/>
      <c r="F20" s="494">
        <f t="shared" si="0"/>
        <v>0</v>
      </c>
      <c r="L20" s="402"/>
      <c r="M20" s="205"/>
      <c r="N20" s="403"/>
      <c r="O20" s="235"/>
      <c r="P20" s="184"/>
      <c r="Q20" s="347"/>
      <c r="R20" s="186"/>
    </row>
    <row r="21" spans="1:18" ht="16.5" thickBot="1" x14ac:dyDescent="0.3">
      <c r="A21" s="129"/>
      <c r="B21" s="493"/>
      <c r="C21" s="130"/>
      <c r="D21" s="127"/>
      <c r="E21" s="130"/>
      <c r="F21" s="494">
        <f t="shared" si="0"/>
        <v>0</v>
      </c>
      <c r="L21" s="270">
        <v>0</v>
      </c>
      <c r="M21" s="207"/>
      <c r="N21" s="270">
        <v>0</v>
      </c>
      <c r="O21" s="207"/>
      <c r="P21" s="343"/>
      <c r="Q21" s="344">
        <v>0</v>
      </c>
      <c r="R21" s="222"/>
    </row>
    <row r="22" spans="1:18" ht="16.5" thickTop="1" x14ac:dyDescent="0.25">
      <c r="A22" s="129"/>
      <c r="B22" s="493"/>
      <c r="C22" s="130"/>
      <c r="D22" s="127"/>
      <c r="E22" s="130"/>
      <c r="F22" s="494">
        <f t="shared" si="0"/>
        <v>0</v>
      </c>
      <c r="L22" s="390">
        <f>SUM(L2:L21)</f>
        <v>319096.65000000002</v>
      </c>
      <c r="M22" s="100"/>
      <c r="N22" s="352">
        <f>SUM(N4:N21)</f>
        <v>364269.35999999993</v>
      </c>
      <c r="O22" s="100"/>
      <c r="P22" s="100"/>
      <c r="Q22" s="307">
        <f>SUM(Q4:Q21)</f>
        <v>351433.77</v>
      </c>
      <c r="R22" s="245"/>
    </row>
    <row r="23" spans="1:18" x14ac:dyDescent="0.25">
      <c r="A23" s="129"/>
      <c r="B23" s="493"/>
      <c r="C23" s="130"/>
      <c r="D23" s="127"/>
      <c r="E23" s="130"/>
      <c r="F23" s="494">
        <f t="shared" si="0"/>
        <v>0</v>
      </c>
    </row>
    <row r="24" spans="1:18" x14ac:dyDescent="0.25">
      <c r="A24" s="236"/>
      <c r="B24" s="493"/>
      <c r="C24" s="130"/>
      <c r="D24" s="127"/>
      <c r="E24" s="130"/>
      <c r="F24" s="494">
        <f t="shared" si="0"/>
        <v>0</v>
      </c>
    </row>
    <row r="25" spans="1:18" x14ac:dyDescent="0.25">
      <c r="A25" s="424"/>
      <c r="B25" s="495"/>
      <c r="C25" s="130"/>
      <c r="D25" s="127"/>
      <c r="E25" s="130"/>
      <c r="F25" s="494">
        <f t="shared" si="0"/>
        <v>0</v>
      </c>
    </row>
    <row r="26" spans="1:18" x14ac:dyDescent="0.25">
      <c r="A26" s="424"/>
      <c r="B26" s="495"/>
      <c r="C26" s="130"/>
      <c r="D26" s="127"/>
      <c r="E26" s="130"/>
      <c r="F26" s="494">
        <f t="shared" si="0"/>
        <v>0</v>
      </c>
    </row>
    <row r="27" spans="1:18" x14ac:dyDescent="0.25">
      <c r="A27" s="424"/>
      <c r="B27" s="495"/>
      <c r="C27" s="130"/>
      <c r="D27" s="127"/>
      <c r="E27" s="130"/>
      <c r="F27" s="494">
        <f t="shared" si="0"/>
        <v>0</v>
      </c>
    </row>
    <row r="28" spans="1:18" x14ac:dyDescent="0.25">
      <c r="A28" s="424"/>
      <c r="B28" s="495"/>
      <c r="C28" s="130"/>
      <c r="D28" s="127"/>
      <c r="E28" s="130"/>
      <c r="F28" s="494">
        <f t="shared" si="0"/>
        <v>0</v>
      </c>
    </row>
    <row r="29" spans="1:18" x14ac:dyDescent="0.25">
      <c r="A29" s="424"/>
      <c r="B29" s="495"/>
      <c r="C29" s="130"/>
      <c r="D29" s="127"/>
      <c r="E29" s="130"/>
      <c r="F29" s="494">
        <f t="shared" si="0"/>
        <v>0</v>
      </c>
    </row>
    <row r="30" spans="1:18" x14ac:dyDescent="0.25">
      <c r="A30" s="424"/>
      <c r="B30" s="495"/>
      <c r="C30" s="130"/>
      <c r="D30" s="127"/>
      <c r="E30" s="130"/>
      <c r="F30" s="494">
        <f t="shared" si="0"/>
        <v>0</v>
      </c>
    </row>
    <row r="31" spans="1:18" x14ac:dyDescent="0.25">
      <c r="A31" s="424"/>
      <c r="B31" s="495"/>
      <c r="C31" s="130"/>
      <c r="D31" s="127"/>
      <c r="E31" s="130"/>
      <c r="F31" s="494">
        <f t="shared" si="0"/>
        <v>0</v>
      </c>
    </row>
    <row r="32" spans="1:18" x14ac:dyDescent="0.25">
      <c r="A32" s="424"/>
      <c r="B32" s="495"/>
      <c r="C32" s="130"/>
      <c r="D32" s="127"/>
      <c r="E32" s="130"/>
      <c r="F32" s="494">
        <f t="shared" si="0"/>
        <v>0</v>
      </c>
    </row>
    <row r="33" spans="1:6" x14ac:dyDescent="0.25">
      <c r="A33" s="424"/>
      <c r="B33" s="495"/>
      <c r="C33" s="130"/>
      <c r="D33" s="127"/>
      <c r="E33" s="130"/>
      <c r="F33" s="494">
        <f t="shared" si="0"/>
        <v>0</v>
      </c>
    </row>
    <row r="34" spans="1:6" x14ac:dyDescent="0.25">
      <c r="A34" s="424"/>
      <c r="B34" s="495"/>
      <c r="C34" s="130"/>
      <c r="D34" s="127"/>
      <c r="E34" s="130"/>
      <c r="F34" s="494">
        <f t="shared" si="0"/>
        <v>0</v>
      </c>
    </row>
    <row r="35" spans="1:6" ht="15.75" thickBot="1" x14ac:dyDescent="0.3">
      <c r="A35" s="308"/>
      <c r="B35" s="496"/>
      <c r="C35" s="144"/>
      <c r="D35" s="145"/>
      <c r="E35" s="144"/>
      <c r="F35" s="494">
        <f t="shared" si="0"/>
        <v>0</v>
      </c>
    </row>
    <row r="36" spans="1:6" ht="15.75" thickTop="1" x14ac:dyDescent="0.25">
      <c r="B36" s="44"/>
      <c r="C36" s="130">
        <f>SUM(C3:C35)</f>
        <v>0</v>
      </c>
      <c r="D36" s="497"/>
      <c r="E36" s="164">
        <f>SUM(E3:E35)</f>
        <v>0</v>
      </c>
      <c r="F36" s="130">
        <f>SUM(F3:F35)</f>
        <v>0</v>
      </c>
    </row>
    <row r="37" spans="1:6" x14ac:dyDescent="0.25">
      <c r="A37"/>
      <c r="B37" s="149"/>
      <c r="D37" s="149"/>
    </row>
    <row r="38" spans="1:6" x14ac:dyDescent="0.25">
      <c r="A38"/>
      <c r="B38" s="149">
        <v>43040</v>
      </c>
      <c r="C38" s="140">
        <v>0</v>
      </c>
      <c r="D38" s="149"/>
    </row>
    <row r="39" spans="1:6" x14ac:dyDescent="0.25">
      <c r="A39"/>
      <c r="B39" s="149">
        <v>43041</v>
      </c>
      <c r="D39" s="149"/>
    </row>
    <row r="40" spans="1:6" x14ac:dyDescent="0.25">
      <c r="A40"/>
      <c r="B40" s="149">
        <v>43042</v>
      </c>
      <c r="D40" s="149"/>
      <c r="F40" s="22"/>
    </row>
    <row r="41" spans="1:6" x14ac:dyDescent="0.25">
      <c r="A41"/>
      <c r="B41" s="149">
        <v>43043</v>
      </c>
      <c r="D41" s="149"/>
      <c r="F41" s="22"/>
    </row>
    <row r="42" spans="1:6" x14ac:dyDescent="0.25">
      <c r="A42"/>
      <c r="B42" s="149">
        <v>43044</v>
      </c>
      <c r="D42" s="149"/>
      <c r="F42" s="22"/>
    </row>
    <row r="43" spans="1:6" x14ac:dyDescent="0.25">
      <c r="A43"/>
      <c r="B43" s="149">
        <v>43045</v>
      </c>
      <c r="D43" s="149"/>
      <c r="F43" s="22"/>
    </row>
    <row r="44" spans="1:6" x14ac:dyDescent="0.25">
      <c r="A44"/>
      <c r="B44" s="149">
        <v>43046</v>
      </c>
      <c r="D44" s="149"/>
      <c r="F44" s="22"/>
    </row>
    <row r="45" spans="1:6" x14ac:dyDescent="0.25">
      <c r="A45"/>
      <c r="B45" s="149">
        <v>43047</v>
      </c>
      <c r="D45" s="149"/>
      <c r="F45" s="22"/>
    </row>
    <row r="46" spans="1:6" x14ac:dyDescent="0.25">
      <c r="A46"/>
      <c r="B46" s="149">
        <v>43048</v>
      </c>
      <c r="D46" s="149"/>
      <c r="F46" s="22"/>
    </row>
    <row r="47" spans="1:6" x14ac:dyDescent="0.25">
      <c r="A47"/>
      <c r="B47" s="149">
        <v>43049</v>
      </c>
      <c r="D47" s="149"/>
      <c r="F47" s="22"/>
    </row>
    <row r="48" spans="1:6" x14ac:dyDescent="0.25">
      <c r="A48"/>
      <c r="B48" s="149">
        <v>43050</v>
      </c>
      <c r="D48" s="149"/>
      <c r="F48" s="22"/>
    </row>
    <row r="49" spans="1:6" x14ac:dyDescent="0.25">
      <c r="A49"/>
      <c r="B49" s="149">
        <v>43051</v>
      </c>
      <c r="D49" s="149"/>
      <c r="E49"/>
      <c r="F49" s="22"/>
    </row>
    <row r="50" spans="1:6" x14ac:dyDescent="0.25">
      <c r="A50"/>
      <c r="B50" s="149">
        <v>43052</v>
      </c>
      <c r="D50" s="149"/>
      <c r="E50"/>
      <c r="F50" s="22"/>
    </row>
    <row r="51" spans="1:6" x14ac:dyDescent="0.25">
      <c r="A51"/>
      <c r="B51" s="149">
        <v>43053</v>
      </c>
      <c r="D51" s="149"/>
      <c r="E51"/>
      <c r="F51" s="22"/>
    </row>
    <row r="52" spans="1:6" x14ac:dyDescent="0.25">
      <c r="A52"/>
      <c r="B52" s="149">
        <v>43054</v>
      </c>
      <c r="D52" s="149"/>
      <c r="E52"/>
      <c r="F52" s="22"/>
    </row>
    <row r="53" spans="1:6" x14ac:dyDescent="0.25">
      <c r="A53"/>
      <c r="B53" s="149">
        <v>43055</v>
      </c>
      <c r="D53" s="149"/>
      <c r="E53"/>
      <c r="F53" s="22"/>
    </row>
    <row r="54" spans="1:6" x14ac:dyDescent="0.25">
      <c r="A54"/>
      <c r="B54" s="149">
        <v>43056</v>
      </c>
      <c r="D54" s="149"/>
      <c r="E54"/>
      <c r="F54" s="22"/>
    </row>
    <row r="55" spans="1:6" x14ac:dyDescent="0.25">
      <c r="B55" s="149">
        <v>43057</v>
      </c>
      <c r="D55" s="149"/>
      <c r="E55"/>
    </row>
    <row r="56" spans="1:6" x14ac:dyDescent="0.25">
      <c r="B56" s="149">
        <v>43058</v>
      </c>
      <c r="D56" s="149"/>
      <c r="E56"/>
    </row>
    <row r="57" spans="1:6" x14ac:dyDescent="0.25">
      <c r="B57" s="149">
        <v>43059</v>
      </c>
      <c r="D57" s="149"/>
      <c r="E57"/>
    </row>
    <row r="58" spans="1:6" x14ac:dyDescent="0.25">
      <c r="B58" s="149">
        <v>43060</v>
      </c>
      <c r="D58" s="149"/>
      <c r="E58"/>
    </row>
    <row r="59" spans="1:6" x14ac:dyDescent="0.25">
      <c r="B59" s="149">
        <v>43061</v>
      </c>
      <c r="D59" s="149"/>
      <c r="E59"/>
    </row>
    <row r="60" spans="1:6" x14ac:dyDescent="0.25">
      <c r="B60" s="149">
        <v>43062</v>
      </c>
      <c r="D60" s="149"/>
      <c r="E60"/>
    </row>
    <row r="61" spans="1:6" x14ac:dyDescent="0.25">
      <c r="B61" s="149">
        <v>43063</v>
      </c>
      <c r="D61" s="149"/>
      <c r="E61"/>
    </row>
    <row r="62" spans="1:6" x14ac:dyDescent="0.25">
      <c r="B62" s="149">
        <v>43064</v>
      </c>
      <c r="D62" s="149"/>
      <c r="E62"/>
    </row>
    <row r="63" spans="1:6" x14ac:dyDescent="0.25">
      <c r="B63" s="149">
        <v>43065</v>
      </c>
      <c r="C63" s="164"/>
      <c r="D63" s="149"/>
      <c r="E63"/>
    </row>
    <row r="64" spans="1:6" x14ac:dyDescent="0.25">
      <c r="B64" s="149">
        <v>43066</v>
      </c>
    </row>
    <row r="65" spans="2:3" x14ac:dyDescent="0.25">
      <c r="B65" s="149">
        <v>43067</v>
      </c>
    </row>
    <row r="66" spans="2:3" x14ac:dyDescent="0.25">
      <c r="B66" s="149">
        <v>43068</v>
      </c>
    </row>
    <row r="67" spans="2:3" x14ac:dyDescent="0.25">
      <c r="B67" s="149">
        <v>43069</v>
      </c>
    </row>
    <row r="68" spans="2:3" x14ac:dyDescent="0.25">
      <c r="B68" s="149"/>
    </row>
    <row r="69" spans="2:3" x14ac:dyDescent="0.25">
      <c r="B69" s="149"/>
    </row>
    <row r="70" spans="2:3" ht="18.75" x14ac:dyDescent="0.3">
      <c r="C70" s="215">
        <f>SUM(C41:C69)</f>
        <v>0</v>
      </c>
    </row>
  </sheetData>
  <mergeCells count="1">
    <mergeCell ref="L18:O1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F26"/>
  <sheetViews>
    <sheetView workbookViewId="0">
      <selection activeCell="H26" sqref="H26"/>
    </sheetView>
  </sheetViews>
  <sheetFormatPr baseColWidth="10" defaultRowHeight="15" x14ac:dyDescent="0.25"/>
  <cols>
    <col min="3" max="3" width="15.85546875" bestFit="1" customWidth="1"/>
    <col min="6" max="6" width="15.85546875" bestFit="1" customWidth="1"/>
  </cols>
  <sheetData>
    <row r="3" spans="2:6" x14ac:dyDescent="0.25">
      <c r="B3" s="64" t="s">
        <v>49</v>
      </c>
      <c r="C3" s="51">
        <v>3000</v>
      </c>
      <c r="E3" s="64" t="s">
        <v>450</v>
      </c>
      <c r="F3" s="51">
        <v>3500</v>
      </c>
    </row>
    <row r="4" spans="2:6" x14ac:dyDescent="0.25">
      <c r="B4" s="64" t="s">
        <v>51</v>
      </c>
      <c r="C4" s="51">
        <v>4000</v>
      </c>
      <c r="E4" s="64" t="s">
        <v>457</v>
      </c>
      <c r="F4" s="51">
        <v>5000</v>
      </c>
    </row>
    <row r="5" spans="2:6" ht="15.75" x14ac:dyDescent="0.25">
      <c r="B5" s="64" t="s">
        <v>52</v>
      </c>
      <c r="C5" s="65">
        <v>3500</v>
      </c>
      <c r="E5" s="294" t="s">
        <v>458</v>
      </c>
      <c r="F5" s="51">
        <v>3000</v>
      </c>
    </row>
    <row r="6" spans="2:6" ht="15.75" thickBot="1" x14ac:dyDescent="0.3">
      <c r="B6" s="64" t="s">
        <v>54</v>
      </c>
      <c r="C6" s="65">
        <v>0</v>
      </c>
      <c r="E6" s="64" t="s">
        <v>465</v>
      </c>
      <c r="F6" s="65">
        <v>3000</v>
      </c>
    </row>
    <row r="7" spans="2:6" x14ac:dyDescent="0.25">
      <c r="B7" s="199" t="s">
        <v>147</v>
      </c>
      <c r="C7" s="51">
        <v>3500</v>
      </c>
      <c r="E7" s="66" t="s">
        <v>485</v>
      </c>
      <c r="F7" s="67">
        <v>3500</v>
      </c>
    </row>
    <row r="8" spans="2:6" ht="15.75" thickBot="1" x14ac:dyDescent="0.3">
      <c r="B8" s="64" t="s">
        <v>148</v>
      </c>
      <c r="C8" s="51">
        <v>3500</v>
      </c>
      <c r="E8" s="64" t="s">
        <v>529</v>
      </c>
      <c r="F8" s="68">
        <v>3500</v>
      </c>
    </row>
    <row r="9" spans="2:6" ht="15.75" x14ac:dyDescent="0.25">
      <c r="B9" s="64" t="s">
        <v>184</v>
      </c>
      <c r="C9" s="51">
        <v>3500</v>
      </c>
      <c r="E9" s="69" t="s">
        <v>530</v>
      </c>
      <c r="F9" s="232">
        <v>3600</v>
      </c>
    </row>
    <row r="10" spans="2:6" x14ac:dyDescent="0.25">
      <c r="B10" s="64" t="s">
        <v>193</v>
      </c>
      <c r="C10" s="65">
        <v>3000</v>
      </c>
      <c r="E10" s="64" t="s">
        <v>557</v>
      </c>
      <c r="F10" s="51">
        <v>3500</v>
      </c>
    </row>
    <row r="11" spans="2:6" x14ac:dyDescent="0.25">
      <c r="B11" s="199" t="s">
        <v>215</v>
      </c>
      <c r="C11" s="51">
        <v>3500</v>
      </c>
      <c r="E11" s="64" t="s">
        <v>577</v>
      </c>
      <c r="F11" s="51">
        <v>3500</v>
      </c>
    </row>
    <row r="12" spans="2:6" ht="15.75" x14ac:dyDescent="0.25">
      <c r="B12" s="64" t="s">
        <v>241</v>
      </c>
      <c r="C12" s="51">
        <v>3500</v>
      </c>
      <c r="E12" s="350" t="s">
        <v>594</v>
      </c>
      <c r="F12" s="51">
        <v>3500</v>
      </c>
    </row>
    <row r="13" spans="2:6" ht="15.75" thickBot="1" x14ac:dyDescent="0.3">
      <c r="B13" s="64" t="s">
        <v>240</v>
      </c>
      <c r="C13" s="51">
        <v>3500</v>
      </c>
      <c r="E13" s="64" t="s">
        <v>610</v>
      </c>
      <c r="F13" s="51">
        <v>3500</v>
      </c>
    </row>
    <row r="14" spans="2:6" x14ac:dyDescent="0.25">
      <c r="B14" s="64" t="s">
        <v>255</v>
      </c>
      <c r="C14" s="65">
        <v>3500</v>
      </c>
      <c r="E14" s="66" t="s">
        <v>612</v>
      </c>
      <c r="F14" s="362">
        <v>500</v>
      </c>
    </row>
    <row r="15" spans="2:6" ht="15.75" thickBot="1" x14ac:dyDescent="0.3">
      <c r="B15" s="64" t="s">
        <v>287</v>
      </c>
      <c r="C15" s="51">
        <v>3500</v>
      </c>
      <c r="E15" s="64" t="s">
        <v>625</v>
      </c>
      <c r="F15" s="68">
        <v>3500</v>
      </c>
    </row>
    <row r="16" spans="2:6" x14ac:dyDescent="0.25">
      <c r="B16" s="64" t="s">
        <v>325</v>
      </c>
      <c r="C16" s="51">
        <v>4000</v>
      </c>
      <c r="E16" s="64" t="s">
        <v>678</v>
      </c>
      <c r="F16" s="51">
        <v>3500</v>
      </c>
    </row>
    <row r="17" spans="2:6" x14ac:dyDescent="0.25">
      <c r="B17" s="64" t="s">
        <v>326</v>
      </c>
      <c r="C17" s="51">
        <v>3500</v>
      </c>
      <c r="E17" s="64" t="s">
        <v>680</v>
      </c>
      <c r="F17" s="51">
        <v>1000</v>
      </c>
    </row>
    <row r="18" spans="2:6" ht="16.5" thickBot="1" x14ac:dyDescent="0.3">
      <c r="B18" s="64" t="s">
        <v>334</v>
      </c>
      <c r="C18" s="65">
        <v>3500</v>
      </c>
      <c r="E18" s="350" t="s">
        <v>704</v>
      </c>
      <c r="F18" s="51">
        <v>3500</v>
      </c>
    </row>
    <row r="19" spans="2:6" x14ac:dyDescent="0.25">
      <c r="B19" s="66" t="s">
        <v>363</v>
      </c>
      <c r="C19" s="67">
        <v>3500</v>
      </c>
      <c r="E19" s="64" t="s">
        <v>705</v>
      </c>
      <c r="F19" s="51">
        <v>500</v>
      </c>
    </row>
    <row r="20" spans="2:6" x14ac:dyDescent="0.25">
      <c r="B20" s="64" t="s">
        <v>395</v>
      </c>
      <c r="C20" s="51">
        <v>3500</v>
      </c>
      <c r="E20" s="64" t="s">
        <v>735</v>
      </c>
      <c r="F20" s="51">
        <v>16500</v>
      </c>
    </row>
    <row r="21" spans="2:6" x14ac:dyDescent="0.25">
      <c r="B21" s="64" t="s">
        <v>396</v>
      </c>
      <c r="C21" s="51">
        <v>3500</v>
      </c>
      <c r="E21" s="64" t="s">
        <v>745</v>
      </c>
      <c r="F21" s="51">
        <v>4000</v>
      </c>
    </row>
    <row r="22" spans="2:6" ht="15.75" thickBot="1" x14ac:dyDescent="0.3">
      <c r="B22" s="64" t="s">
        <v>406</v>
      </c>
      <c r="C22" s="51">
        <v>3500</v>
      </c>
      <c r="F22" s="51">
        <v>0</v>
      </c>
    </row>
    <row r="23" spans="2:6" ht="19.5" thickBot="1" x14ac:dyDescent="0.35">
      <c r="B23" s="64" t="s">
        <v>435</v>
      </c>
      <c r="C23" s="65">
        <v>3500</v>
      </c>
      <c r="F23" s="386">
        <f>SUM(F3:F22)</f>
        <v>72100</v>
      </c>
    </row>
    <row r="24" spans="2:6" x14ac:dyDescent="0.25">
      <c r="B24" s="199" t="s">
        <v>436</v>
      </c>
      <c r="C24" s="67">
        <v>500</v>
      </c>
    </row>
    <row r="25" spans="2:6" ht="15.75" thickBot="1" x14ac:dyDescent="0.3">
      <c r="C25" s="54">
        <v>0</v>
      </c>
    </row>
    <row r="26" spans="2:6" ht="19.5" thickBot="1" x14ac:dyDescent="0.35">
      <c r="C26" s="386">
        <f>SUM(C3:C25)</f>
        <v>70500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34" t="s">
        <v>126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439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440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441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41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191"/>
      <c r="K40" s="432">
        <f>I38+L38</f>
        <v>108856.45000000001</v>
      </c>
      <c r="L40" s="433"/>
    </row>
    <row r="41" spans="1:17" ht="15.75" x14ac:dyDescent="0.25">
      <c r="B41" s="102"/>
      <c r="C41" s="77"/>
      <c r="D41" s="448" t="s">
        <v>62</v>
      </c>
      <c r="E41" s="448"/>
      <c r="F41" s="103">
        <f>F38-K40</f>
        <v>1098170.8900000001</v>
      </c>
      <c r="I41" s="104"/>
      <c r="J41" s="104"/>
    </row>
    <row r="42" spans="1:17" ht="15.75" x14ac:dyDescent="0.25">
      <c r="D42" s="449" t="s">
        <v>63</v>
      </c>
      <c r="E42" s="449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450" t="s">
        <v>66</v>
      </c>
      <c r="J44" s="451"/>
      <c r="K44" s="454">
        <f>F48+L46</f>
        <v>200580.19000000003</v>
      </c>
      <c r="L44" s="455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452"/>
      <c r="J45" s="453"/>
      <c r="K45" s="456"/>
      <c r="L45" s="457"/>
    </row>
    <row r="46" spans="1:17" ht="17.25" thickTop="1" thickBot="1" x14ac:dyDescent="0.3">
      <c r="C46" s="94"/>
      <c r="D46" s="458" t="s">
        <v>69</v>
      </c>
      <c r="E46" s="458"/>
      <c r="F46" s="109">
        <v>229801.74</v>
      </c>
      <c r="I46" s="459"/>
      <c r="J46" s="459"/>
      <c r="K46" s="460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442">
        <f>-C4</f>
        <v>-263182.99</v>
      </c>
      <c r="L47" s="442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443"/>
      <c r="E49" s="443"/>
      <c r="F49" s="77"/>
      <c r="I49" s="444" t="s">
        <v>274</v>
      </c>
      <c r="J49" s="445"/>
      <c r="K49" s="446">
        <f>K44+K47</f>
        <v>-62602.799999999959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0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34" t="s">
        <v>263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441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41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216"/>
      <c r="K40" s="432">
        <f>I38+L38</f>
        <v>124117.51</v>
      </c>
      <c r="L40" s="433"/>
    </row>
    <row r="41" spans="1:17" ht="15.75" x14ac:dyDescent="0.25">
      <c r="B41" s="102"/>
      <c r="C41" s="77"/>
      <c r="D41" s="448" t="s">
        <v>62</v>
      </c>
      <c r="E41" s="448"/>
      <c r="F41" s="103">
        <f>F38-K40</f>
        <v>1030122.0600000003</v>
      </c>
      <c r="I41" s="104"/>
      <c r="J41" s="104"/>
    </row>
    <row r="42" spans="1:17" ht="15.75" x14ac:dyDescent="0.25">
      <c r="D42" s="449" t="s">
        <v>63</v>
      </c>
      <c r="E42" s="449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450" t="s">
        <v>66</v>
      </c>
      <c r="J44" s="451"/>
      <c r="K44" s="454">
        <f>F48+L46</f>
        <v>179821.11000000036</v>
      </c>
      <c r="L44" s="455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452"/>
      <c r="J45" s="453"/>
      <c r="K45" s="456"/>
      <c r="L45" s="457"/>
    </row>
    <row r="46" spans="1:17" ht="17.25" thickTop="1" thickBot="1" x14ac:dyDescent="0.3">
      <c r="C46" s="94"/>
      <c r="D46" s="458" t="s">
        <v>69</v>
      </c>
      <c r="E46" s="458"/>
      <c r="F46" s="109">
        <v>255743.74</v>
      </c>
      <c r="I46" s="459"/>
      <c r="J46" s="459"/>
      <c r="K46" s="460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442">
        <f>-C4</f>
        <v>-229801.74</v>
      </c>
      <c r="L47" s="442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443"/>
      <c r="E49" s="443"/>
      <c r="F49" s="77"/>
      <c r="I49" s="444" t="s">
        <v>274</v>
      </c>
      <c r="J49" s="445"/>
      <c r="K49" s="446">
        <f>K44+K47</f>
        <v>-49980.629999999626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H40:I40"/>
    <mergeCell ref="K40:L40"/>
    <mergeCell ref="C1:K1"/>
    <mergeCell ref="E4:F4"/>
    <mergeCell ref="I4:L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10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34" t="s">
        <v>264</v>
      </c>
      <c r="D1" s="434"/>
      <c r="E1" s="434"/>
      <c r="F1" s="434"/>
      <c r="G1" s="434"/>
      <c r="H1" s="434"/>
      <c r="I1" s="434"/>
      <c r="J1" s="434"/>
      <c r="K1" s="43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435" t="s">
        <v>4</v>
      </c>
      <c r="F4" s="436"/>
      <c r="I4" s="437" t="s">
        <v>5</v>
      </c>
      <c r="J4" s="438"/>
      <c r="K4" s="438"/>
      <c r="L4" s="438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439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440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441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41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430" t="s">
        <v>61</v>
      </c>
      <c r="I40" s="431"/>
      <c r="J40" s="228"/>
      <c r="K40" s="432">
        <f>I38+L38</f>
        <v>126959.65</v>
      </c>
      <c r="L40" s="433"/>
    </row>
    <row r="41" spans="1:17" ht="15.75" x14ac:dyDescent="0.25">
      <c r="B41" s="102"/>
      <c r="C41" s="77"/>
      <c r="D41" s="448" t="s">
        <v>62</v>
      </c>
      <c r="E41" s="448"/>
      <c r="F41" s="103">
        <f>F38-K40</f>
        <v>1172474.46</v>
      </c>
      <c r="I41" s="104"/>
      <c r="J41" s="104"/>
    </row>
    <row r="42" spans="1:17" ht="15.75" x14ac:dyDescent="0.25">
      <c r="D42" s="449" t="s">
        <v>63</v>
      </c>
      <c r="E42" s="449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450" t="s">
        <v>66</v>
      </c>
      <c r="J44" s="451"/>
      <c r="K44" s="454">
        <f>F48+L46</f>
        <v>199961.28999999986</v>
      </c>
      <c r="L44" s="455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452"/>
      <c r="J45" s="453"/>
      <c r="K45" s="456"/>
      <c r="L45" s="457"/>
    </row>
    <row r="46" spans="1:17" ht="17.25" thickTop="1" thickBot="1" x14ac:dyDescent="0.3">
      <c r="C46" s="94"/>
      <c r="D46" s="458" t="s">
        <v>69</v>
      </c>
      <c r="E46" s="458"/>
      <c r="F46" s="109">
        <v>190939.59</v>
      </c>
      <c r="I46" s="459"/>
      <c r="J46" s="459"/>
      <c r="K46" s="460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442">
        <f>-C4</f>
        <v>-255743.74</v>
      </c>
      <c r="L47" s="442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443"/>
      <c r="E49" s="443"/>
      <c r="F49" s="77"/>
      <c r="I49" s="444" t="s">
        <v>274</v>
      </c>
      <c r="J49" s="445"/>
      <c r="K49" s="446">
        <f>K44+K47</f>
        <v>-55782.450000000128</v>
      </c>
      <c r="L49" s="44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2 0 1 7     </vt:lpstr>
      <vt:lpstr>Hoja1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A G O S T O     2 0 1 7    </vt:lpstr>
      <vt:lpstr>REMISIONES Ago 2 0 1 7    </vt:lpstr>
      <vt:lpstr>SEPTIEMBRE   2017   </vt:lpstr>
      <vt:lpstr>REMISIONES Septiembre 2017</vt:lpstr>
      <vt:lpstr>OCTUBRE    2017         </vt:lpstr>
      <vt:lpstr>REMISIONES OCTUBRRE   2017   </vt:lpstr>
      <vt:lpstr>NOVIEMBRE    2017     </vt:lpstr>
      <vt:lpstr>REMISIONES  NOVIEMBRE  2017</vt:lpstr>
      <vt:lpstr>Hoja6</vt:lpstr>
      <vt:lpstr>Hoja7</vt:lpstr>
      <vt:lpstr>Hoja8</vt:lpstr>
      <vt:lpstr>ELIAS Y PEPE    2 0 1 7 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2017-10-30T17:33:20Z</cp:lastPrinted>
  <dcterms:created xsi:type="dcterms:W3CDTF">2017-02-21T16:04:10Z</dcterms:created>
  <dcterms:modified xsi:type="dcterms:W3CDTF">2017-11-08T15:04:42Z</dcterms:modified>
</cp:coreProperties>
</file>