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tavio cortes\Documents\RES\Documents\NC Julio 21\"/>
    </mc:Choice>
  </mc:AlternateContent>
  <xr:revisionPtr revIDLastSave="0" documentId="13_ncr:1_{62742E48-18BA-4822-94B9-7AB3DBB6C89F}" xr6:coauthVersionLast="47" xr6:coauthVersionMax="47" xr10:uidLastSave="{00000000-0000-0000-0000-000000000000}"/>
  <bookViews>
    <workbookView xWindow="-120" yWindow="-120" windowWidth="29040" windowHeight="15840" xr2:uid="{0CACD4EA-070B-42E2-A3F1-3C8021E646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9" i="1" l="1"/>
  <c r="Y69" i="1" s="1"/>
  <c r="Z69" i="1" s="1"/>
  <c r="H69" i="1"/>
  <c r="Y68" i="1"/>
  <c r="Z68" i="1" s="1"/>
  <c r="X68" i="1"/>
  <c r="T68" i="1" s="1"/>
  <c r="H68" i="1"/>
  <c r="Y67" i="1"/>
  <c r="Z67" i="1" s="1"/>
  <c r="X67" i="1"/>
  <c r="T67" i="1"/>
  <c r="H67" i="1"/>
  <c r="U66" i="1"/>
  <c r="S66" i="1"/>
  <c r="R66" i="1"/>
  <c r="H66" i="1"/>
  <c r="X65" i="1"/>
  <c r="T65" i="1"/>
  <c r="Y65" i="1" s="1"/>
  <c r="Z65" i="1" s="1"/>
  <c r="H65" i="1"/>
  <c r="Y64" i="1"/>
  <c r="Z64" i="1" s="1"/>
  <c r="X64" i="1"/>
  <c r="H64" i="1"/>
  <c r="X63" i="1"/>
  <c r="T63" i="1"/>
  <c r="Y63" i="1" s="1"/>
  <c r="Z63" i="1" s="1"/>
  <c r="H63" i="1"/>
  <c r="U62" i="1"/>
  <c r="S62" i="1"/>
  <c r="R62" i="1"/>
  <c r="X62" i="1" s="1"/>
  <c r="T62" i="1" s="1"/>
  <c r="H62" i="1"/>
  <c r="X61" i="1"/>
  <c r="T61" i="1" s="1"/>
  <c r="Y61" i="1" s="1"/>
  <c r="Z61" i="1" s="1"/>
  <c r="H61" i="1"/>
  <c r="Y60" i="1"/>
  <c r="Z60" i="1" s="1"/>
  <c r="X60" i="1"/>
  <c r="T60" i="1"/>
  <c r="H60" i="1"/>
  <c r="Z59" i="1"/>
  <c r="Y59" i="1"/>
  <c r="X59" i="1"/>
  <c r="H59" i="1"/>
  <c r="U58" i="1"/>
  <c r="S58" i="1"/>
  <c r="R58" i="1"/>
  <c r="H58" i="1"/>
  <c r="U55" i="1"/>
  <c r="H55" i="1"/>
  <c r="X54" i="1"/>
  <c r="T54" i="1"/>
  <c r="Y54" i="1" s="1"/>
  <c r="Z54" i="1" s="1"/>
  <c r="H54" i="1"/>
  <c r="X53" i="1"/>
  <c r="T53" i="1" s="1"/>
  <c r="Y53" i="1" s="1"/>
  <c r="Z53" i="1" s="1"/>
  <c r="H53" i="1"/>
  <c r="U52" i="1"/>
  <c r="T52" i="1"/>
  <c r="Y52" i="1" s="1"/>
  <c r="Z52" i="1" s="1"/>
  <c r="S52" i="1"/>
  <c r="R52" i="1"/>
  <c r="X52" i="1" s="1"/>
  <c r="H52" i="1"/>
  <c r="Z51" i="1"/>
  <c r="Y51" i="1"/>
  <c r="X51" i="1"/>
  <c r="T51" i="1"/>
  <c r="H51" i="1"/>
  <c r="Z50" i="1"/>
  <c r="Y50" i="1"/>
  <c r="X50" i="1"/>
  <c r="H50" i="1"/>
  <c r="X49" i="1"/>
  <c r="T49" i="1"/>
  <c r="Y49" i="1" s="1"/>
  <c r="Z49" i="1" s="1"/>
  <c r="H49" i="1"/>
  <c r="U48" i="1"/>
  <c r="S48" i="1"/>
  <c r="R48" i="1"/>
  <c r="H48" i="1"/>
  <c r="X47" i="1"/>
  <c r="T47" i="1"/>
  <c r="Y47" i="1" s="1"/>
  <c r="Z47" i="1" s="1"/>
  <c r="H47" i="1"/>
  <c r="X46" i="1"/>
  <c r="T46" i="1" s="1"/>
  <c r="Y46" i="1" s="1"/>
  <c r="Z46" i="1" s="1"/>
  <c r="P46" i="1"/>
  <c r="H46" i="1"/>
  <c r="Z45" i="1"/>
  <c r="Y45" i="1"/>
  <c r="X45" i="1"/>
  <c r="H45" i="1"/>
  <c r="U44" i="1"/>
  <c r="S44" i="1"/>
  <c r="R44" i="1"/>
  <c r="H44" i="1"/>
  <c r="Z42" i="1"/>
  <c r="Y42" i="1"/>
  <c r="H42" i="1"/>
  <c r="Y41" i="1"/>
  <c r="Z41" i="1" s="1"/>
  <c r="U41" i="1"/>
  <c r="X41" i="1" s="1"/>
  <c r="H41" i="1"/>
  <c r="P40" i="1"/>
  <c r="F40" i="1"/>
  <c r="H40" i="1" s="1"/>
  <c r="P39" i="1"/>
  <c r="X39" i="1" s="1"/>
  <c r="T39" i="1" s="1"/>
  <c r="H39" i="1"/>
  <c r="F39" i="1"/>
  <c r="X38" i="1"/>
  <c r="T38" i="1" s="1"/>
  <c r="U38" i="1"/>
  <c r="S38" i="1"/>
  <c r="R38" i="1"/>
  <c r="Y38" i="1" s="1"/>
  <c r="Z38" i="1" s="1"/>
  <c r="H38" i="1"/>
  <c r="AB37" i="1"/>
  <c r="P37" i="1"/>
  <c r="X37" i="1" s="1"/>
  <c r="T37" i="1" s="1"/>
  <c r="H37" i="1"/>
  <c r="F37" i="1"/>
  <c r="Y36" i="1"/>
  <c r="Z36" i="1" s="1"/>
  <c r="X36" i="1"/>
  <c r="H36" i="1"/>
  <c r="X35" i="1"/>
  <c r="T35" i="1" s="1"/>
  <c r="Y35" i="1" s="1"/>
  <c r="Z35" i="1" s="1"/>
  <c r="P35" i="1"/>
  <c r="F35" i="1"/>
  <c r="H35" i="1" s="1"/>
  <c r="Z34" i="1"/>
  <c r="H34" i="1"/>
  <c r="U33" i="1"/>
  <c r="T33" i="1"/>
  <c r="Y33" i="1" s="1"/>
  <c r="Z33" i="1" s="1"/>
  <c r="S33" i="1"/>
  <c r="R33" i="1"/>
  <c r="X33" i="1" s="1"/>
  <c r="H33" i="1"/>
  <c r="P32" i="1"/>
  <c r="X32" i="1" s="1"/>
  <c r="T32" i="1" s="1"/>
  <c r="H32" i="1"/>
  <c r="F32" i="1"/>
  <c r="X31" i="1"/>
  <c r="T31" i="1" s="1"/>
  <c r="Y31" i="1" s="1"/>
  <c r="Z31" i="1" s="1"/>
  <c r="P31" i="1"/>
  <c r="H31" i="1"/>
  <c r="F31" i="1"/>
  <c r="Y30" i="1"/>
  <c r="Z30" i="1" s="1"/>
  <c r="X30" i="1"/>
  <c r="H30" i="1"/>
  <c r="U29" i="1"/>
  <c r="S29" i="1"/>
  <c r="R29" i="1"/>
  <c r="H29" i="1"/>
  <c r="F29" i="1"/>
  <c r="Y27" i="1"/>
  <c r="Z27" i="1" s="1"/>
  <c r="H27" i="1"/>
  <c r="U26" i="1"/>
  <c r="R26" i="1"/>
  <c r="H26" i="1"/>
  <c r="F26" i="1"/>
  <c r="E26" i="1"/>
  <c r="S26" i="1" s="1"/>
  <c r="Y25" i="1"/>
  <c r="Z25" i="1" s="1"/>
  <c r="X25" i="1"/>
  <c r="H25" i="1"/>
  <c r="Y24" i="1"/>
  <c r="Z24" i="1" s="1"/>
  <c r="X24" i="1"/>
  <c r="F24" i="1"/>
  <c r="T24" i="1" s="1"/>
  <c r="AB23" i="1"/>
  <c r="X23" i="1"/>
  <c r="T23" i="1" s="1"/>
  <c r="Y23" i="1" s="1"/>
  <c r="Z23" i="1" s="1"/>
  <c r="P23" i="1"/>
  <c r="H23" i="1"/>
  <c r="F23" i="1"/>
  <c r="X22" i="1"/>
  <c r="T22" i="1"/>
  <c r="Y22" i="1" s="1"/>
  <c r="Z22" i="1" s="1"/>
  <c r="P22" i="1"/>
  <c r="F22" i="1"/>
  <c r="H22" i="1" s="1"/>
  <c r="Z21" i="1"/>
  <c r="Y21" i="1"/>
  <c r="X21" i="1"/>
  <c r="H21" i="1"/>
  <c r="U20" i="1"/>
  <c r="S20" i="1"/>
  <c r="R20" i="1"/>
  <c r="H20" i="1"/>
  <c r="P19" i="1"/>
  <c r="F19" i="1"/>
  <c r="H19" i="1" s="1"/>
  <c r="P18" i="1"/>
  <c r="X18" i="1" s="1"/>
  <c r="T18" i="1" s="1"/>
  <c r="H18" i="1"/>
  <c r="F18" i="1"/>
  <c r="U17" i="1"/>
  <c r="S17" i="1"/>
  <c r="X17" i="1" s="1"/>
  <c r="T17" i="1" s="1"/>
  <c r="R17" i="1"/>
  <c r="Y17" i="1" s="1"/>
  <c r="Z17" i="1" s="1"/>
  <c r="H17" i="1"/>
  <c r="Y16" i="1"/>
  <c r="Z16" i="1" s="1"/>
  <c r="X16" i="1"/>
  <c r="H16" i="1"/>
  <c r="Y15" i="1"/>
  <c r="Z15" i="1" s="1"/>
  <c r="X15" i="1"/>
  <c r="H15" i="1"/>
  <c r="Y14" i="1"/>
  <c r="Z14" i="1" s="1"/>
  <c r="X14" i="1"/>
  <c r="H14" i="1"/>
  <c r="U13" i="1"/>
  <c r="S13" i="1"/>
  <c r="R13" i="1"/>
  <c r="H13" i="1"/>
  <c r="Y11" i="1"/>
  <c r="Z11" i="1" s="1"/>
  <c r="X11" i="1"/>
  <c r="H11" i="1"/>
  <c r="X10" i="1"/>
  <c r="T10" i="1" s="1"/>
  <c r="Y10" i="1" s="1"/>
  <c r="Z10" i="1" s="1"/>
  <c r="P10" i="1"/>
  <c r="F10" i="1"/>
  <c r="H10" i="1" s="1"/>
  <c r="Y9" i="1"/>
  <c r="Z9" i="1" s="1"/>
  <c r="X9" i="1"/>
  <c r="T9" i="1"/>
  <c r="P9" i="1"/>
  <c r="H9" i="1"/>
  <c r="F9" i="1"/>
  <c r="U8" i="1"/>
  <c r="R8" i="1"/>
  <c r="F8" i="1"/>
  <c r="E8" i="1"/>
  <c r="S8" i="1" s="1"/>
  <c r="X7" i="1"/>
  <c r="T7" i="1" s="1"/>
  <c r="Y7" i="1" s="1"/>
  <c r="Z7" i="1" s="1"/>
  <c r="P7" i="1"/>
  <c r="F7" i="1"/>
  <c r="H7" i="1" s="1"/>
  <c r="Y6" i="1"/>
  <c r="Z6" i="1" s="1"/>
  <c r="X6" i="1"/>
  <c r="T6" i="1"/>
  <c r="P6" i="1"/>
  <c r="H6" i="1"/>
  <c r="F6" i="1"/>
  <c r="Z5" i="1"/>
  <c r="Y5" i="1"/>
  <c r="X5" i="1"/>
  <c r="H5" i="1"/>
  <c r="U4" i="1"/>
  <c r="S4" i="1"/>
  <c r="R4" i="1"/>
  <c r="H4" i="1"/>
  <c r="P3" i="1"/>
  <c r="F3" i="1"/>
  <c r="H3" i="1" s="1"/>
  <c r="Y13" i="1" l="1"/>
  <c r="Z13" i="1" s="1"/>
  <c r="Y8" i="1"/>
  <c r="Z8" i="1" s="1"/>
  <c r="X13" i="1"/>
  <c r="T13" i="1" s="1"/>
  <c r="Y29" i="1"/>
  <c r="Z29" i="1" s="1"/>
  <c r="X40" i="1"/>
  <c r="T40" i="1" s="1"/>
  <c r="Y40" i="1" s="1"/>
  <c r="Z40" i="1" s="1"/>
  <c r="Y62" i="1"/>
  <c r="Z62" i="1" s="1"/>
  <c r="X4" i="1"/>
  <c r="T4" i="1" s="1"/>
  <c r="Y4" i="1" s="1"/>
  <c r="Z4" i="1" s="1"/>
  <c r="H8" i="1"/>
  <c r="X8" i="1"/>
  <c r="T8" i="1" s="1"/>
  <c r="Y37" i="1"/>
  <c r="Z37" i="1" s="1"/>
  <c r="Y39" i="1"/>
  <c r="Z39" i="1" s="1"/>
  <c r="X3" i="1"/>
  <c r="T3" i="1" s="1"/>
  <c r="Y3" i="1" s="1"/>
  <c r="Z3" i="1" s="1"/>
  <c r="X19" i="1"/>
  <c r="T19" i="1" s="1"/>
  <c r="Y19" i="1" s="1"/>
  <c r="Z19" i="1" s="1"/>
  <c r="H24" i="1"/>
  <c r="Y18" i="1"/>
  <c r="Z18" i="1" s="1"/>
  <c r="X26" i="1"/>
  <c r="T26" i="1" s="1"/>
  <c r="Y26" i="1" s="1"/>
  <c r="Z26" i="1" s="1"/>
  <c r="X29" i="1"/>
  <c r="T29" i="1" s="1"/>
  <c r="Y32" i="1"/>
  <c r="Z32" i="1" s="1"/>
  <c r="Y44" i="1"/>
  <c r="Z44" i="1" s="1"/>
  <c r="X48" i="1"/>
  <c r="T48" i="1" s="1"/>
  <c r="Y48" i="1" s="1"/>
  <c r="Z48" i="1" s="1"/>
  <c r="Y55" i="1"/>
  <c r="Z55" i="1" s="1"/>
  <c r="X55" i="1"/>
  <c r="X69" i="1"/>
  <c r="X20" i="1"/>
  <c r="T20" i="1" s="1"/>
  <c r="Y20" i="1" s="1"/>
  <c r="Z20" i="1" s="1"/>
  <c r="X44" i="1"/>
  <c r="T44" i="1" s="1"/>
  <c r="X58" i="1"/>
  <c r="T58" i="1" s="1"/>
  <c r="Y58" i="1" s="1"/>
  <c r="Z58" i="1" s="1"/>
  <c r="X66" i="1"/>
  <c r="T66" i="1" s="1"/>
  <c r="Y66" i="1" s="1"/>
  <c r="Z6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octavio-cic</author>
  </authors>
  <commentList>
    <comment ref="F4" authorId="0" shapeId="0" xr:uid="{4A2039C7-5BC9-41CA-AF39-CD8974CA2B8B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4" authorId="0" shapeId="0" xr:uid="{78594C53-C619-49AB-9A95-48E34EB6A9C7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4" authorId="0" shapeId="0" xr:uid="{DD54698B-B6FF-4541-999F-18E56EB92F96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4" authorId="0" shapeId="0" xr:uid="{7DAC3F87-BC4C-46DF-9461-EFDDF8233BA4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4" authorId="0" shapeId="0" xr:uid="{70D964F5-39B9-438A-B69F-3356F22A6775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4" authorId="1" shapeId="0" xr:uid="{B48C0761-F460-453A-9855-4F4DB1A87AAA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8" authorId="0" shapeId="0" xr:uid="{8C309526-19DB-4D1F-8B4C-2C4E42E79BB9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8" authorId="0" shapeId="0" xr:uid="{9EBA50FF-9F34-42FB-B461-C8C08370805F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8" authorId="0" shapeId="0" xr:uid="{CD7CA859-9278-4445-B97C-3110BCD39EF3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8" authorId="0" shapeId="0" xr:uid="{A8555EC4-A037-4CA8-A63B-B7AEDFAEA3DA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8" authorId="0" shapeId="0" xr:uid="{DD734BAB-303C-4D94-A4D4-9FF395951B26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8" authorId="1" shapeId="0" xr:uid="{AA2084A6-45F0-4FBE-8D52-6AACAC0FE8B5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13" authorId="0" shapeId="0" xr:uid="{30C8DCFA-66AA-41C6-A4C2-CEA0ED4AF7F1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3" authorId="0" shapeId="0" xr:uid="{170A90F8-436F-44DF-B840-1DFEFA3F9013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13" authorId="0" shapeId="0" xr:uid="{DD7CD11C-464B-4557-A0C5-571B4F0F6AC1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3" authorId="0" shapeId="0" xr:uid="{302B29D2-8032-46D2-9879-0D84DFB7531D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13" authorId="0" shapeId="0" xr:uid="{1ACBD0CD-F65E-43AC-B1D9-48CD7546521C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13" authorId="1" shapeId="0" xr:uid="{F391CF85-C1A1-489B-BC16-CA6B9732E3B3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17" authorId="0" shapeId="0" xr:uid="{5D674D41-0BBA-4B8A-9BB1-4D46A91F94A0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7" authorId="0" shapeId="0" xr:uid="{BACC441A-FEBE-4C6E-B604-AF9982A177BC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17" authorId="0" shapeId="0" xr:uid="{D924F662-02E6-4588-9A64-5A63794DF16D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7" authorId="0" shapeId="0" xr:uid="{8BFDFDE5-D409-4FB7-B051-9DEF149599AE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17" authorId="0" shapeId="0" xr:uid="{5FDCF565-6446-4C8B-9DEA-33B6C3DAD1B6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17" authorId="1" shapeId="0" xr:uid="{B4DA276A-E67D-4B65-890D-81316B5A5C0C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20" authorId="0" shapeId="0" xr:uid="{9FEE6E36-03FB-4793-A715-47E8936704B5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" authorId="0" shapeId="0" xr:uid="{0CCE686C-E14D-476A-9D8A-14C8F8D0D7EF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20" authorId="0" shapeId="0" xr:uid="{FA6F2207-E30E-435E-A90B-63591181BE5A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20" authorId="0" shapeId="0" xr:uid="{4A8B680F-9D64-43BD-98D2-45A8569FDC35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20" authorId="0" shapeId="0" xr:uid="{D114E298-E481-40D5-9C60-156298D48598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20" authorId="1" shapeId="0" xr:uid="{DF76A242-495D-4462-BF41-6B06E457E09A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26" authorId="0" shapeId="0" xr:uid="{D580B157-929F-4100-895B-79916E066BDE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6" authorId="0" shapeId="0" xr:uid="{CEEFC531-950D-4454-8CE2-C39F73303C1E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26" authorId="0" shapeId="0" xr:uid="{EBC5A610-7730-4553-95D0-86127EC8E72A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26" authorId="0" shapeId="0" xr:uid="{EE1B5EBC-043D-43DB-B6F5-08AF21C3D514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26" authorId="0" shapeId="0" xr:uid="{E3DDA440-368D-4466-9A04-8AE8AE9A09BD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26" authorId="1" shapeId="0" xr:uid="{55FBAB7C-6448-4580-89D9-BE40BB4537C5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29" authorId="0" shapeId="0" xr:uid="{AF8C80FC-20B4-4968-AEE9-7E8793AAD0D2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9" authorId="0" shapeId="0" xr:uid="{5EF84BE6-CCAF-452F-B2D0-CD3DE399DCAF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29" authorId="0" shapeId="0" xr:uid="{7A05AEE5-6C26-4DE1-BBDF-EE0420967B76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29" authorId="0" shapeId="0" xr:uid="{AC4D824A-0461-41F0-A7E0-515983824EAC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29" authorId="0" shapeId="0" xr:uid="{5B4B9BEC-9F9B-4841-A5A5-B44FC7759DAD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29" authorId="1" shapeId="0" xr:uid="{C1A3966B-DFC0-40E7-B850-48AC79CBF6A3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O30" authorId="0" shapeId="0" xr:uid="{094B3655-B27E-4C2C-9BC5-8E297C5BBB46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3" authorId="0" shapeId="0" xr:uid="{CAC88649-FB21-4816-946E-2EAD19ADB0A7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33" authorId="0" shapeId="0" xr:uid="{9FF911C9-450D-4814-821C-5D74FF97894F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33" authorId="0" shapeId="0" xr:uid="{DC266BB2-1F65-4913-ACAC-5623144E8033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3" authorId="0" shapeId="0" xr:uid="{D6B52EB7-FD26-4F49-8F6E-FA50F5CA8C4F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33" authorId="0" shapeId="0" xr:uid="{B9C30BB4-51F3-49F8-966A-1B65422625D3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33" authorId="1" shapeId="0" xr:uid="{18A93E4C-BD98-4599-AD4A-1FCB3CE9C1B3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36" authorId="0" shapeId="0" xr:uid="{1AF86662-FEC0-4D31-8974-34EDCE4684E4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36" authorId="0" shapeId="0" xr:uid="{FBAE6116-926C-4443-8B49-BE05589A957D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36" authorId="0" shapeId="0" xr:uid="{3F4FF2C8-8EE6-4335-9CC5-E4EB0F1DDC82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6" authorId="0" shapeId="0" xr:uid="{0F4708BF-7859-4F30-80C9-CE0DDD11968F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U36" authorId="1" shapeId="0" xr:uid="{77A79485-8930-4FA4-BBF6-7D73639D6179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38" authorId="0" shapeId="0" xr:uid="{1B0B3791-7DAC-4C73-8DA1-F8CA2F9E9730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38" authorId="0" shapeId="0" xr:uid="{4F96FD5E-8B79-41F4-9FD2-B61D67AA218D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38" authorId="0" shapeId="0" xr:uid="{90DEE154-F93E-4C96-9582-CA54E72BE8E6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8" authorId="0" shapeId="0" xr:uid="{ECC4953B-33EF-4B11-8E6B-4DFDFD866EEA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38" authorId="0" shapeId="0" xr:uid="{9FAA37AB-8382-473D-BDE2-E0015D1D8471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38" authorId="1" shapeId="0" xr:uid="{59D85DD7-01DB-4594-98A1-4721D4711EC0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41" authorId="0" shapeId="0" xr:uid="{B231171F-7EFF-4BCC-95DD-3050B8430217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41" authorId="0" shapeId="0" xr:uid="{733C78F3-0653-4804-B1DD-1D8EB68F1A93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41" authorId="0" shapeId="0" xr:uid="{CB671DD2-7AD6-403D-A616-A61A20464472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41" authorId="0" shapeId="0" xr:uid="{D8416129-4306-495B-9B38-421EC707D58E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41" authorId="0" shapeId="0" xr:uid="{105E5E5B-87E4-4F3B-ADD5-B88DDB667AB9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41" authorId="1" shapeId="0" xr:uid="{942A2196-9860-494B-B128-C5B040C2B3CB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44" authorId="0" shapeId="0" xr:uid="{0AD85F72-2206-44E6-A0DC-4E35678C9021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44" authorId="0" shapeId="0" xr:uid="{B282664B-2569-477B-B615-3353CA7159EA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44" authorId="0" shapeId="0" xr:uid="{22FDB419-F406-402A-9C5A-FFA27514C4C5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44" authorId="0" shapeId="0" xr:uid="{5E8CDC7C-4A55-44E3-901A-AD31700BCB80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44" authorId="0" shapeId="0" xr:uid="{425015B0-CA8B-4644-8AA0-530423931ABF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44" authorId="1" shapeId="0" xr:uid="{60E723A1-E530-43A2-B856-45C850201B4E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O45" authorId="0" shapeId="0" xr:uid="{F8C82139-B208-4E0E-A666-3D0E88835BA6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48" authorId="0" shapeId="0" xr:uid="{4C474E5C-ED3D-41B4-856E-0BC21AD0E31B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48" authorId="0" shapeId="0" xr:uid="{6CA1DC28-683E-420C-990A-1EA7366BA7D0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48" authorId="0" shapeId="0" xr:uid="{A89E2FEA-4733-4139-82BF-8614B7BB9817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48" authorId="0" shapeId="0" xr:uid="{E0A08D24-0A4A-4B01-812B-79B6FE170A30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48" authorId="0" shapeId="0" xr:uid="{C3E12722-12B7-4038-B425-A9BDAA997EC8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48" authorId="1" shapeId="0" xr:uid="{3B86C9E9-6E40-426C-B7DE-2CF226A41B88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50" authorId="0" shapeId="0" xr:uid="{FF41906F-B4F2-4AED-818F-49338F3446F6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50" authorId="0" shapeId="0" xr:uid="{4C2312C6-B28A-4EFD-B735-0F340A0B8612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50" authorId="0" shapeId="0" xr:uid="{05AF95E4-2E1F-452F-948D-CECF5DEE096A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50" authorId="0" shapeId="0" xr:uid="{3BBC0E20-EB88-41E1-AC1C-F9D3AEBA2BF6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U50" authorId="1" shapeId="0" xr:uid="{91CE7D94-997D-4148-92B7-1FDEFD8930FE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52" authorId="0" shapeId="0" xr:uid="{B8201EC0-065D-4211-A56E-115563E21EEB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52" authorId="0" shapeId="0" xr:uid="{0A1B3534-C988-4D52-8AC5-827DB5737C18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52" authorId="0" shapeId="0" xr:uid="{540BDA61-058B-4061-9D5B-8D627FD8F238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52" authorId="0" shapeId="0" xr:uid="{A4506246-3B1D-4296-9FED-87D5C4E82857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52" authorId="0" shapeId="0" xr:uid="{F18D4F9E-9B5E-461C-9120-00BCE366E40B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52" authorId="1" shapeId="0" xr:uid="{AD1D3404-0FDD-4EF4-9A2B-59B6B08F8A20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55" authorId="0" shapeId="0" xr:uid="{3200DAF6-A059-4F25-9C97-AD4A01B136E7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55" authorId="0" shapeId="0" xr:uid="{87886339-AF94-472E-AB01-43B7192EDE8B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55" authorId="0" shapeId="0" xr:uid="{FC4A959B-D5D5-4201-B7C4-AFDEEDB9ED28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55" authorId="0" shapeId="0" xr:uid="{D8DA226D-F14E-479F-937A-1DE258A35085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55" authorId="0" shapeId="0" xr:uid="{A8C93096-54FE-40D3-A49F-D3E4400E6840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55" authorId="1" shapeId="0" xr:uid="{ACDBDCC7-F3BC-4247-BBC9-0524308C5E6A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58" authorId="0" shapeId="0" xr:uid="{DCA1AE89-501C-4786-B758-D8C277E1D287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58" authorId="0" shapeId="0" xr:uid="{FB5276F4-5878-449F-8132-EE4A7DD3CFB4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58" authorId="0" shapeId="0" xr:uid="{BCEE485C-4E01-44E7-ACEC-F2FC9351AF79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58" authorId="0" shapeId="0" xr:uid="{655609F6-2ABC-43D1-AE2C-86ABAF86F19C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58" authorId="0" shapeId="0" xr:uid="{36F7C56E-BBFC-4B67-982D-83A5B504D463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58" authorId="1" shapeId="0" xr:uid="{DD62C5D1-E658-427C-9B53-CA4E321A4086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O59" authorId="0" shapeId="0" xr:uid="{A5A48094-90A7-4358-979D-14A81FFD0806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62" authorId="0" shapeId="0" xr:uid="{056FD729-6DEE-43CD-99FA-8E055AB6111D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62" authorId="0" shapeId="0" xr:uid="{4EAE83E4-2945-47A9-9047-F52F5CB40339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62" authorId="0" shapeId="0" xr:uid="{E9C26F15-FFFA-45C4-BCC4-8E2976EF26B2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62" authorId="0" shapeId="0" xr:uid="{6B679410-79F9-48C4-B074-801223698FAC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62" authorId="0" shapeId="0" xr:uid="{8703A5E8-BB6D-4205-AEB5-A37C0C509B2E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62" authorId="1" shapeId="0" xr:uid="{E235B6DE-26DB-4C76-B69F-7D02EA2BD179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64" authorId="0" shapeId="0" xr:uid="{20322610-8268-4221-9781-EF0541F10D66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64" authorId="0" shapeId="0" xr:uid="{DC55A146-DC6E-4DAE-B5B3-6D3AD3EC5D91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64" authorId="0" shapeId="0" xr:uid="{90164033-E999-41EC-85DA-24ABFA77B73A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64" authorId="0" shapeId="0" xr:uid="{D4854630-EB04-49A4-ADD8-B2A6A147781A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U64" authorId="1" shapeId="0" xr:uid="{C14CFD52-E2FD-4312-A791-4F0D1439DB97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66" authorId="0" shapeId="0" xr:uid="{98F813E4-7119-498E-A715-9E3C05A9945E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66" authorId="0" shapeId="0" xr:uid="{759F3007-9B6E-4925-A95A-9D077AC838E0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66" authorId="0" shapeId="0" xr:uid="{2B0AB525-3395-4202-BCF5-6F41D8F0ECBA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66" authorId="0" shapeId="0" xr:uid="{C3739141-BB63-41CF-B622-3B0E3C8AC74D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66" authorId="0" shapeId="0" xr:uid="{D87E7532-2885-4219-B16F-7BBC3B5A06B3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66" authorId="1" shapeId="0" xr:uid="{E022440D-6786-44B3-B626-D8C04B4B1107}">
      <text>
        <r>
          <rPr>
            <b/>
            <sz val="9"/>
            <color indexed="81"/>
            <rFont val="Tahoma"/>
            <family val="2"/>
          </rPr>
          <t>descargada</t>
        </r>
      </text>
    </comment>
    <comment ref="F69" authorId="0" shapeId="0" xr:uid="{9344200A-F55F-47AF-A3A3-D794D7715849}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69" authorId="0" shapeId="0" xr:uid="{4F9E59C1-366F-4C34-A10E-11B1F8805E50}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69" authorId="0" shapeId="0" xr:uid="{E1416CDA-591C-4ACC-8D08-BC318DE8C4D1}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69" authorId="0" shapeId="0" xr:uid="{222166FF-4F58-42C5-9C65-32B36ABDB397}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69" authorId="0" shapeId="0" xr:uid="{2E10A393-E35E-433F-AD42-4A155E732B51}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U69" authorId="1" shapeId="0" xr:uid="{D12E3CE2-4FC4-4BF4-9B12-F24ABB5AD6F1}">
      <text>
        <r>
          <rPr>
            <b/>
            <sz val="9"/>
            <color indexed="81"/>
            <rFont val="Tahoma"/>
            <family val="2"/>
          </rPr>
          <t>descargada</t>
        </r>
      </text>
    </comment>
  </commentList>
</comments>
</file>

<file path=xl/sharedStrings.xml><?xml version="1.0" encoding="utf-8"?>
<sst xmlns="http://schemas.openxmlformats.org/spreadsheetml/2006/main" count="390" uniqueCount="126">
  <si>
    <t>Julio 2021</t>
  </si>
  <si>
    <t>Producto</t>
  </si>
  <si>
    <t>Marca</t>
  </si>
  <si>
    <t>Proveedor</t>
  </si>
  <si>
    <t>unidades</t>
  </si>
  <si>
    <t>Peso total factura</t>
  </si>
  <si>
    <t>Peso recib real</t>
  </si>
  <si>
    <t>dif recepcion</t>
  </si>
  <si>
    <t>referencia</t>
  </si>
  <si>
    <t>transporte</t>
  </si>
  <si>
    <t>fecha frontera</t>
  </si>
  <si>
    <t>fecha arribo</t>
  </si>
  <si>
    <t>dia</t>
  </si>
  <si>
    <t>formula</t>
  </si>
  <si>
    <t>$ Puebla</t>
  </si>
  <si>
    <t>$ frontera</t>
  </si>
  <si>
    <t>flete</t>
  </si>
  <si>
    <t>$ aduanal / matanzas</t>
  </si>
  <si>
    <t>tipo cambio / visceras</t>
  </si>
  <si>
    <t>seguro carga</t>
  </si>
  <si>
    <t>cargada</t>
  </si>
  <si>
    <t>com/custodia canales</t>
  </si>
  <si>
    <t>costo logistica</t>
  </si>
  <si>
    <t>costo integrado</t>
  </si>
  <si>
    <t>costo real</t>
  </si>
  <si>
    <t>$ carga total</t>
  </si>
  <si>
    <t>Pernil con piel</t>
  </si>
  <si>
    <t>Tyson</t>
  </si>
  <si>
    <t>20 combos</t>
  </si>
  <si>
    <t>P8201</t>
  </si>
  <si>
    <t>Sanchez</t>
  </si>
  <si>
    <t>ju</t>
  </si>
  <si>
    <t>hoja + 10 vi 25 jun</t>
  </si>
  <si>
    <t>Canal de cerdo</t>
  </si>
  <si>
    <t>Nu3</t>
  </si>
  <si>
    <t>Agrop El Topete</t>
  </si>
  <si>
    <t>fact 9656</t>
  </si>
  <si>
    <t>Cuero belly fco</t>
  </si>
  <si>
    <t>Indiana</t>
  </si>
  <si>
    <t>Adams</t>
  </si>
  <si>
    <t>2 combos</t>
  </si>
  <si>
    <t>fact 92203</t>
  </si>
  <si>
    <t>Seaboard</t>
  </si>
  <si>
    <t>21 combos</t>
  </si>
  <si>
    <t>nlse21-102</t>
  </si>
  <si>
    <t>Tamez</t>
  </si>
  <si>
    <t>vi</t>
  </si>
  <si>
    <t>hoja + 11 lu 28 jun</t>
  </si>
  <si>
    <t>nlse21-103</t>
  </si>
  <si>
    <t>Topete y San Bernardo</t>
  </si>
  <si>
    <t>fact 9663,4365</t>
  </si>
  <si>
    <t>nlse21-104</t>
  </si>
  <si>
    <t>sa</t>
  </si>
  <si>
    <t>hoja + 11 ma 29 jun</t>
  </si>
  <si>
    <t>nlse21-105</t>
  </si>
  <si>
    <t>fact 92294</t>
  </si>
  <si>
    <t>fact 9668</t>
  </si>
  <si>
    <t>do</t>
  </si>
  <si>
    <t>Canales en combo</t>
  </si>
  <si>
    <t>Canadiense</t>
  </si>
  <si>
    <t>Roel</t>
  </si>
  <si>
    <t>??</t>
  </si>
  <si>
    <t>lu</t>
  </si>
  <si>
    <t>Espaldilla carnero</t>
  </si>
  <si>
    <t>Baby Lamb</t>
  </si>
  <si>
    <t>97 cajas</t>
  </si>
  <si>
    <t>fact HC07619</t>
  </si>
  <si>
    <t>Pierna Carnero</t>
  </si>
  <si>
    <t>44 cajas</t>
  </si>
  <si>
    <t xml:space="preserve">   "   "   "</t>
  </si>
  <si>
    <t>fact 9673</t>
  </si>
  <si>
    <t>ma</t>
  </si>
  <si>
    <t>A9352</t>
  </si>
  <si>
    <t>mi</t>
  </si>
  <si>
    <t>hoja + 11.5 ju 01 jul</t>
  </si>
  <si>
    <t>A9354</t>
  </si>
  <si>
    <t>hoja + 11.5 vi 02 jul</t>
  </si>
  <si>
    <t>fact 9709</t>
  </si>
  <si>
    <t xml:space="preserve">Filete Tilapia </t>
  </si>
  <si>
    <t>3/5 Pielago</t>
  </si>
  <si>
    <t>Marimex</t>
  </si>
  <si>
    <t>11 cajas</t>
  </si>
  <si>
    <t>fact PUE8846</t>
  </si>
  <si>
    <t>nlse1-106</t>
  </si>
  <si>
    <t>hoja + 11 lu 05 jul</t>
  </si>
  <si>
    <t>nlse1-107</t>
  </si>
  <si>
    <t>Prom</t>
  </si>
  <si>
    <t>Vectra</t>
  </si>
  <si>
    <t>25 combos</t>
  </si>
  <si>
    <t>Hatfield</t>
  </si>
  <si>
    <t>fact 92418</t>
  </si>
  <si>
    <t>fact 9692,4375</t>
  </si>
  <si>
    <t>nlse1-108</t>
  </si>
  <si>
    <t>hoja + 11 ju 08 jul</t>
  </si>
  <si>
    <t>nlse1-109</t>
  </si>
  <si>
    <t>A9389</t>
  </si>
  <si>
    <t>hoja + 11.5 ju 08 jul</t>
  </si>
  <si>
    <t>A9391</t>
  </si>
  <si>
    <t>hoja + 11.5 vi 09 jul</t>
  </si>
  <si>
    <t>nlse1-110</t>
  </si>
  <si>
    <t>hoja + 11 lu 12 jul</t>
  </si>
  <si>
    <t>nlse1-111</t>
  </si>
  <si>
    <t>nlse21-112</t>
  </si>
  <si>
    <t>hoja + 11 ju 15 jul</t>
  </si>
  <si>
    <t>nlse21-113</t>
  </si>
  <si>
    <t>A9392</t>
  </si>
  <si>
    <t>hoja + 11.5 ju 15 jul</t>
  </si>
  <si>
    <t>A9393</t>
  </si>
  <si>
    <t>hoja + 11.5 vi 16 jul</t>
  </si>
  <si>
    <t>nlse21-114</t>
  </si>
  <si>
    <t>hoja + 11 lu 19 jul</t>
  </si>
  <si>
    <t>nlse21-115</t>
  </si>
  <si>
    <t>hoja + 11 ju 24 jun</t>
  </si>
  <si>
    <t>Arrachera</t>
  </si>
  <si>
    <t>GF</t>
  </si>
  <si>
    <t>Granjero Feliz</t>
  </si>
  <si>
    <t>50 cajas</t>
  </si>
  <si>
    <t>A 14 21166</t>
  </si>
  <si>
    <t xml:space="preserve">Agrop El Topete </t>
  </si>
  <si>
    <t>fact 9698,9700</t>
  </si>
  <si>
    <t>fact 9715</t>
  </si>
  <si>
    <t>Contra</t>
  </si>
  <si>
    <t>Excel 86R</t>
  </si>
  <si>
    <t>Carbenzes</t>
  </si>
  <si>
    <t>20 cajas</t>
  </si>
  <si>
    <t>fact 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</si>
</sst>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0"/>
    <numFmt numFmtId="166" formatCode="&quot;$&quot;#,##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17" fontId="0" fillId="0" borderId="0" xfId="0" quotePrefix="1" applyNumberFormat="1"/>
    <xf numFmtId="164" fontId="0" fillId="0" borderId="0" xfId="0" applyNumberFormat="1"/>
    <xf numFmtId="44" fontId="0" fillId="0" borderId="0" xfId="1" applyFont="1"/>
    <xf numFmtId="0" fontId="0" fillId="0" borderId="1" xfId="0" applyBorder="1"/>
    <xf numFmtId="4" fontId="0" fillId="0" borderId="1" xfId="0" applyNumberForma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3" fontId="0" fillId="0" borderId="1" xfId="0" applyNumberFormat="1" applyBorder="1"/>
    <xf numFmtId="15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4" fontId="2" fillId="0" borderId="1" xfId="0" applyNumberFormat="1" applyFont="1" applyBorder="1" applyAlignment="1">
      <alignment wrapText="1"/>
    </xf>
    <xf numFmtId="164" fontId="0" fillId="0" borderId="1" xfId="0" applyNumberFormat="1" applyBorder="1" applyAlignment="1">
      <alignment wrapText="1"/>
    </xf>
    <xf numFmtId="44" fontId="0" fillId="0" borderId="1" xfId="1" applyFont="1" applyBorder="1"/>
    <xf numFmtId="14" fontId="0" fillId="0" borderId="2" xfId="0" applyNumberFormat="1" applyBorder="1"/>
    <xf numFmtId="0" fontId="3" fillId="2" borderId="3" xfId="0" applyFont="1" applyFill="1" applyBorder="1" applyAlignment="1">
      <alignment textRotation="255"/>
    </xf>
    <xf numFmtId="0" fontId="0" fillId="0" borderId="4" xfId="0" applyBorder="1"/>
    <xf numFmtId="4" fontId="4" fillId="0" borderId="0" xfId="0" applyNumberFormat="1" applyFont="1"/>
    <xf numFmtId="4" fontId="0" fillId="0" borderId="0" xfId="0" applyNumberFormat="1"/>
    <xf numFmtId="0" fontId="0" fillId="3" borderId="0" xfId="0" applyFill="1"/>
    <xf numFmtId="15" fontId="0" fillId="0" borderId="0" xfId="0" applyNumberFormat="1"/>
    <xf numFmtId="0" fontId="4" fillId="0" borderId="0" xfId="0" applyFont="1"/>
    <xf numFmtId="166" fontId="0" fillId="0" borderId="0" xfId="0" applyNumberFormat="1"/>
    <xf numFmtId="164" fontId="0" fillId="4" borderId="0" xfId="0" applyNumberFormat="1" applyFill="1"/>
    <xf numFmtId="164" fontId="4" fillId="0" borderId="0" xfId="0" applyNumberFormat="1" applyFont="1"/>
    <xf numFmtId="165" fontId="4" fillId="0" borderId="0" xfId="0" applyNumberFormat="1" applyFont="1"/>
    <xf numFmtId="44" fontId="0" fillId="0" borderId="0" xfId="1" applyFont="1" applyFill="1"/>
    <xf numFmtId="14" fontId="0" fillId="0" borderId="5" xfId="0" applyNumberFormat="1" applyBorder="1"/>
    <xf numFmtId="164" fontId="0" fillId="5" borderId="0" xfId="0" applyNumberFormat="1" applyFill="1"/>
    <xf numFmtId="0" fontId="3" fillId="2" borderId="4" xfId="0" applyFont="1" applyFill="1" applyBorder="1" applyAlignment="1">
      <alignment textRotation="255"/>
    </xf>
    <xf numFmtId="0" fontId="0" fillId="2" borderId="6" xfId="0" applyFill="1" applyBorder="1"/>
    <xf numFmtId="0" fontId="0" fillId="0" borderId="6" xfId="0" applyBorder="1"/>
    <xf numFmtId="4" fontId="0" fillId="0" borderId="1" xfId="0" applyNumberFormat="1" applyBorder="1"/>
    <xf numFmtId="0" fontId="3" fillId="6" borderId="3" xfId="0" applyFont="1" applyFill="1" applyBorder="1" applyAlignment="1">
      <alignment textRotation="255"/>
    </xf>
    <xf numFmtId="9" fontId="4" fillId="7" borderId="0" xfId="0" applyNumberFormat="1" applyFont="1" applyFill="1"/>
    <xf numFmtId="165" fontId="0" fillId="0" borderId="0" xfId="0" applyNumberFormat="1"/>
    <xf numFmtId="9" fontId="4" fillId="0" borderId="0" xfId="0" applyNumberFormat="1" applyFont="1"/>
    <xf numFmtId="2" fontId="0" fillId="6" borderId="0" xfId="0" applyNumberFormat="1" applyFill="1"/>
    <xf numFmtId="0" fontId="0" fillId="6" borderId="6" xfId="0" applyFill="1" applyBorder="1"/>
    <xf numFmtId="0" fontId="3" fillId="8" borderId="3" xfId="0" applyFont="1" applyFill="1" applyBorder="1" applyAlignment="1">
      <alignment textRotation="255"/>
    </xf>
    <xf numFmtId="4" fontId="0" fillId="7" borderId="0" xfId="0" applyNumberFormat="1" applyFill="1"/>
    <xf numFmtId="0" fontId="0" fillId="7" borderId="0" xfId="0" applyFill="1"/>
    <xf numFmtId="165" fontId="4" fillId="7" borderId="0" xfId="0" applyNumberFormat="1" applyFont="1" applyFill="1"/>
    <xf numFmtId="164" fontId="4" fillId="7" borderId="0" xfId="0" applyNumberFormat="1" applyFont="1" applyFill="1"/>
    <xf numFmtId="0" fontId="0" fillId="8" borderId="6" xfId="0" applyFill="1" applyBorder="1"/>
    <xf numFmtId="0" fontId="3" fillId="9" borderId="3" xfId="0" applyFont="1" applyFill="1" applyBorder="1" applyAlignment="1">
      <alignment textRotation="255"/>
    </xf>
    <xf numFmtId="0" fontId="0" fillId="9" borderId="6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E702-6C23-4094-9607-A3B6A4D67D72}">
  <dimension ref="A1:AC71"/>
  <sheetViews>
    <sheetView tabSelected="1" zoomScale="80" zoomScaleNormal="80" workbookViewId="0">
      <selection activeCell="K34" sqref="K34"/>
    </sheetView>
  </sheetViews>
  <sheetFormatPr baseColWidth="10" defaultRowHeight="15" x14ac:dyDescent="0.25"/>
  <cols>
    <col min="1" max="1" width="3.5703125" customWidth="1"/>
    <col min="2" max="2" width="19.140625" customWidth="1"/>
    <col min="3" max="3" width="12.85546875" bestFit="1" customWidth="1"/>
    <col min="4" max="4" width="23.42578125" bestFit="1" customWidth="1"/>
    <col min="13" max="13" width="4.42578125" bestFit="1" customWidth="1"/>
    <col min="14" max="14" width="9.5703125" customWidth="1"/>
    <col min="24" max="24" width="11.42578125" hidden="1" customWidth="1"/>
    <col min="26" max="26" width="16.7109375" customWidth="1"/>
  </cols>
  <sheetData>
    <row r="1" spans="1:27" x14ac:dyDescent="0.25">
      <c r="A1" s="1" t="s">
        <v>0</v>
      </c>
      <c r="S1" s="2"/>
      <c r="W1" s="2"/>
      <c r="Z1" s="3"/>
    </row>
    <row r="2" spans="1:27" ht="30.75" thickBot="1" x14ac:dyDescent="0.3">
      <c r="A2" s="4"/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 t="s">
        <v>7</v>
      </c>
      <c r="I2" s="7" t="s">
        <v>8</v>
      </c>
      <c r="J2" s="4" t="s">
        <v>9</v>
      </c>
      <c r="K2" s="8" t="s">
        <v>10</v>
      </c>
      <c r="L2" s="8" t="s">
        <v>11</v>
      </c>
      <c r="M2" s="4" t="s">
        <v>12</v>
      </c>
      <c r="N2" s="4" t="s">
        <v>13</v>
      </c>
      <c r="O2" s="9" t="s">
        <v>14</v>
      </c>
      <c r="P2" s="10" t="s">
        <v>15</v>
      </c>
      <c r="Q2" s="9" t="s">
        <v>16</v>
      </c>
      <c r="R2" s="11" t="s">
        <v>17</v>
      </c>
      <c r="S2" s="11" t="s">
        <v>18</v>
      </c>
      <c r="T2" s="12" t="s">
        <v>19</v>
      </c>
      <c r="U2" s="9" t="s">
        <v>20</v>
      </c>
      <c r="V2" s="11" t="s">
        <v>21</v>
      </c>
      <c r="W2" s="12" t="s">
        <v>22</v>
      </c>
      <c r="X2" s="9" t="s">
        <v>23</v>
      </c>
      <c r="Y2" s="9" t="s">
        <v>24</v>
      </c>
      <c r="Z2" s="13" t="s">
        <v>25</v>
      </c>
      <c r="AA2" s="14"/>
    </row>
    <row r="3" spans="1:27" x14ac:dyDescent="0.25">
      <c r="A3" s="15"/>
      <c r="B3" s="16" t="s">
        <v>26</v>
      </c>
      <c r="C3" t="s">
        <v>27</v>
      </c>
      <c r="D3" t="s">
        <v>27</v>
      </c>
      <c r="E3" t="s">
        <v>28</v>
      </c>
      <c r="F3" s="17">
        <f>41240*0.4536</f>
        <v>18706.464</v>
      </c>
      <c r="G3" s="18">
        <v>18638.27</v>
      </c>
      <c r="H3" s="18">
        <f t="shared" ref="H3:H11" si="0">G3-F3</f>
        <v>-68.193999999999505</v>
      </c>
      <c r="I3" t="s">
        <v>29</v>
      </c>
      <c r="J3" s="19" t="s">
        <v>30</v>
      </c>
      <c r="K3" s="20">
        <v>44377</v>
      </c>
      <c r="L3" s="20">
        <v>44378</v>
      </c>
      <c r="M3" s="21" t="s">
        <v>31</v>
      </c>
      <c r="N3" s="21" t="s">
        <v>32</v>
      </c>
      <c r="O3" s="2"/>
      <c r="P3" s="22">
        <f>0.7067+0.1</f>
        <v>0.80669999999999997</v>
      </c>
      <c r="Q3" s="23">
        <v>26000</v>
      </c>
      <c r="R3" s="24">
        <v>9663</v>
      </c>
      <c r="S3" s="25">
        <v>19.864999999999998</v>
      </c>
      <c r="T3" s="24">
        <f>X3*F3*0.005</f>
        <v>3494.5876689683478</v>
      </c>
      <c r="V3" s="2">
        <v>0.12</v>
      </c>
      <c r="W3" s="2">
        <v>0.3</v>
      </c>
      <c r="X3" s="2">
        <f>IF(O3&gt;0,O3,((P3*2.2046*S3)+(Q3+R3)/G3)+V3)</f>
        <v>37.362354199792627</v>
      </c>
      <c r="Y3" s="2">
        <f>IF(O3&gt;0,O3+W3,((P3*2.2046*S3)+(Q3+R3+T3)/G3)+V3+W3)</f>
        <v>37.84984948068341</v>
      </c>
      <c r="Z3" s="26">
        <f>Y3*F3</f>
        <v>708036.84671582293</v>
      </c>
      <c r="AA3" s="27">
        <v>44377</v>
      </c>
    </row>
    <row r="4" spans="1:27" x14ac:dyDescent="0.25">
      <c r="A4" s="15"/>
      <c r="B4" s="16" t="s">
        <v>33</v>
      </c>
      <c r="C4" t="s">
        <v>34</v>
      </c>
      <c r="D4" s="21" t="s">
        <v>35</v>
      </c>
      <c r="E4">
        <v>198</v>
      </c>
      <c r="F4" s="17">
        <v>22345</v>
      </c>
      <c r="G4" s="18">
        <v>17710</v>
      </c>
      <c r="H4" s="18">
        <f t="shared" si="0"/>
        <v>-4635</v>
      </c>
      <c r="I4" t="s">
        <v>36</v>
      </c>
      <c r="J4">
        <v>197</v>
      </c>
      <c r="K4" s="20"/>
      <c r="L4" s="20">
        <v>44378</v>
      </c>
      <c r="M4" s="21" t="s">
        <v>31</v>
      </c>
      <c r="N4" s="21"/>
      <c r="O4" s="2">
        <v>42</v>
      </c>
      <c r="P4" s="22"/>
      <c r="Q4" s="28">
        <v>26000</v>
      </c>
      <c r="R4" s="2">
        <f>100.6*E4</f>
        <v>19918.8</v>
      </c>
      <c r="S4" s="24">
        <f>-40*E4</f>
        <v>-7920</v>
      </c>
      <c r="T4" s="24">
        <f>X4*F4*0.0045</f>
        <v>5549.8552815923204</v>
      </c>
      <c r="U4" s="2">
        <f>E4*5</f>
        <v>990</v>
      </c>
      <c r="V4" s="2">
        <v>3600</v>
      </c>
      <c r="W4" s="2">
        <v>0.3</v>
      </c>
      <c r="X4" s="2">
        <f>((O4*F4)+Q4+R4+S4+U4)/G4</f>
        <v>55.193608130999436</v>
      </c>
      <c r="Y4" s="2">
        <f>((O4*F4)+Q4+R4+S4+T4+U4+V4)/G4+W4</f>
        <v>56.010257215222609</v>
      </c>
      <c r="Z4" s="3">
        <f>Y4*G4</f>
        <v>991941.65528159239</v>
      </c>
      <c r="AA4" s="27">
        <v>44392</v>
      </c>
    </row>
    <row r="5" spans="1:27" x14ac:dyDescent="0.25">
      <c r="A5" s="15"/>
      <c r="B5" s="16" t="s">
        <v>37</v>
      </c>
      <c r="C5" t="s">
        <v>38</v>
      </c>
      <c r="D5" s="21" t="s">
        <v>39</v>
      </c>
      <c r="E5" t="s">
        <v>40</v>
      </c>
      <c r="F5" s="17">
        <v>1728</v>
      </c>
      <c r="G5" s="18">
        <v>1728</v>
      </c>
      <c r="H5" s="18">
        <f t="shared" si="0"/>
        <v>0</v>
      </c>
      <c r="I5" t="s">
        <v>41</v>
      </c>
      <c r="K5" s="20"/>
      <c r="L5" s="20">
        <v>44378</v>
      </c>
      <c r="M5" s="21" t="s">
        <v>31</v>
      </c>
      <c r="N5" s="21"/>
      <c r="O5" s="2">
        <v>22</v>
      </c>
      <c r="P5" s="22"/>
      <c r="Q5" s="2"/>
      <c r="R5" s="24"/>
      <c r="S5" s="25"/>
      <c r="T5" s="24"/>
      <c r="V5" s="2"/>
      <c r="W5" s="2"/>
      <c r="X5" s="2">
        <f>IF(O5&gt;0,O5,((P5*2.2046*S5)+(Q5+R5)/G5)+V5)</f>
        <v>22</v>
      </c>
      <c r="Y5" s="2">
        <f>IF(O5&gt;0,O5+W5,((P5*2.2046*S5)+(Q5+R5+T5)/G5)+V5+W5)</f>
        <v>22</v>
      </c>
      <c r="Z5" s="26">
        <f>Y5*F5</f>
        <v>38016</v>
      </c>
      <c r="AA5" s="27">
        <v>44389</v>
      </c>
    </row>
    <row r="6" spans="1:27" x14ac:dyDescent="0.25">
      <c r="A6" s="15"/>
      <c r="B6" s="16" t="s">
        <v>26</v>
      </c>
      <c r="C6" t="s">
        <v>42</v>
      </c>
      <c r="D6" s="21" t="s">
        <v>42</v>
      </c>
      <c r="E6" t="s">
        <v>43</v>
      </c>
      <c r="F6" s="17">
        <f>41353*0.4536</f>
        <v>18757.720799999999</v>
      </c>
      <c r="G6" s="18">
        <v>18636.759999999998</v>
      </c>
      <c r="H6" s="18">
        <f t="shared" si="0"/>
        <v>-120.96080000000075</v>
      </c>
      <c r="I6" t="s">
        <v>44</v>
      </c>
      <c r="J6" s="19" t="s">
        <v>45</v>
      </c>
      <c r="K6" s="20">
        <v>44378</v>
      </c>
      <c r="L6" s="20">
        <v>44379</v>
      </c>
      <c r="M6" s="21" t="s">
        <v>46</v>
      </c>
      <c r="N6" s="21" t="s">
        <v>47</v>
      </c>
      <c r="O6" s="2"/>
      <c r="P6" s="22">
        <f>0.7309+0.11</f>
        <v>0.84089999999999998</v>
      </c>
      <c r="Q6" s="23">
        <v>26000</v>
      </c>
      <c r="R6" s="24">
        <v>9663</v>
      </c>
      <c r="S6" s="25">
        <v>19.829999999999998</v>
      </c>
      <c r="T6" s="24">
        <f>X6*F6*0.005</f>
        <v>3638.5656861795756</v>
      </c>
      <c r="V6" s="2">
        <v>0.12</v>
      </c>
      <c r="W6" s="2">
        <v>0.3</v>
      </c>
      <c r="X6" s="2">
        <f>IF(O6&gt;0,O6,((P6*2.2046*S6)+(Q6+R6)/G6)+V6)</f>
        <v>38.795392307785875</v>
      </c>
      <c r="Y6" s="2">
        <f>IF(O6&gt;0,O6+W6,((P6*2.2046*S6)+(Q6+R6+T6)/G6)+V6+W6)</f>
        <v>39.290628265440503</v>
      </c>
      <c r="Z6" s="26">
        <f>Y6*F6</f>
        <v>737002.63505972119</v>
      </c>
      <c r="AA6" s="27">
        <v>44372</v>
      </c>
    </row>
    <row r="7" spans="1:27" x14ac:dyDescent="0.25">
      <c r="A7" s="15"/>
      <c r="B7" s="16" t="s">
        <v>26</v>
      </c>
      <c r="C7" t="s">
        <v>42</v>
      </c>
      <c r="D7" s="21" t="s">
        <v>42</v>
      </c>
      <c r="E7" t="s">
        <v>43</v>
      </c>
      <c r="F7" s="17">
        <f>41609*0.4536</f>
        <v>18873.842400000001</v>
      </c>
      <c r="G7" s="18">
        <v>18882.240000000002</v>
      </c>
      <c r="H7" s="18">
        <f t="shared" si="0"/>
        <v>8.3976000000002387</v>
      </c>
      <c r="I7" t="s">
        <v>48</v>
      </c>
      <c r="J7" s="19" t="s">
        <v>30</v>
      </c>
      <c r="K7" s="20">
        <v>44378</v>
      </c>
      <c r="L7" s="20">
        <v>44379</v>
      </c>
      <c r="M7" s="21" t="s">
        <v>46</v>
      </c>
      <c r="N7" s="21" t="s">
        <v>47</v>
      </c>
      <c r="O7" s="2"/>
      <c r="P7" s="22">
        <f>0.7309+0.11</f>
        <v>0.84089999999999998</v>
      </c>
      <c r="Q7" s="23">
        <v>26000</v>
      </c>
      <c r="R7" s="24">
        <v>9913</v>
      </c>
      <c r="S7" s="25">
        <v>19.829999999999998</v>
      </c>
      <c r="T7" s="24">
        <f>X7*F7*0.005</f>
        <v>3659.9923573388219</v>
      </c>
      <c r="V7" s="2">
        <v>0.12</v>
      </c>
      <c r="W7" s="2">
        <v>0.3</v>
      </c>
      <c r="X7" s="2">
        <f>IF(O7&gt;0,O7,((P7*2.2046*S7)+(Q7+R7)/G7)+V7)</f>
        <v>38.78375457176459</v>
      </c>
      <c r="Y7" s="2">
        <f>IF(O7&gt;0,O7+W7,((P7*2.2046*S7)+(Q7+R7+T7)/G7)+V7+W7)</f>
        <v>39.277587102086137</v>
      </c>
      <c r="Z7" s="26">
        <f>Y7*F7</f>
        <v>741318.98881704651</v>
      </c>
      <c r="AA7" s="27">
        <v>44372</v>
      </c>
    </row>
    <row r="8" spans="1:27" x14ac:dyDescent="0.25">
      <c r="A8" s="15"/>
      <c r="B8" t="s">
        <v>33</v>
      </c>
      <c r="C8" t="s">
        <v>34</v>
      </c>
      <c r="D8" s="21" t="s">
        <v>49</v>
      </c>
      <c r="E8">
        <f>199+50</f>
        <v>249</v>
      </c>
      <c r="F8" s="17">
        <f>21770+5945</f>
        <v>27715</v>
      </c>
      <c r="G8" s="18">
        <v>21890</v>
      </c>
      <c r="H8" s="18">
        <f t="shared" si="0"/>
        <v>-5825</v>
      </c>
      <c r="I8" t="s">
        <v>50</v>
      </c>
      <c r="K8" s="20"/>
      <c r="L8" s="20">
        <v>44379</v>
      </c>
      <c r="M8" s="21" t="s">
        <v>46</v>
      </c>
      <c r="N8" s="21"/>
      <c r="O8" s="2">
        <v>42</v>
      </c>
      <c r="P8" s="22"/>
      <c r="Q8" s="28">
        <v>26000</v>
      </c>
      <c r="R8" s="2">
        <f>100.6*E8</f>
        <v>25049.399999999998</v>
      </c>
      <c r="S8" s="24">
        <f>-40*E8</f>
        <v>-9960</v>
      </c>
      <c r="T8" s="24">
        <f>X8*F8*0.0045</f>
        <v>6873.2184585198711</v>
      </c>
      <c r="U8" s="2">
        <f>E8*5</f>
        <v>1245</v>
      </c>
      <c r="V8" s="2">
        <v>3600</v>
      </c>
      <c r="W8" s="2">
        <v>0.3</v>
      </c>
      <c r="X8" s="2">
        <f>((O8*F8)+Q8+R8+S8+U8)/G8</f>
        <v>55.110296939241657</v>
      </c>
      <c r="Y8" s="2">
        <f>((O8*F8)+Q8+R8+S8+T8+U8+V8)/G8+W8</f>
        <v>55.88874456183278</v>
      </c>
      <c r="Z8" s="3">
        <f>Y8*G8</f>
        <v>1223404.6184585195</v>
      </c>
      <c r="AA8" s="27">
        <v>44393</v>
      </c>
    </row>
    <row r="9" spans="1:27" x14ac:dyDescent="0.25">
      <c r="A9" s="15"/>
      <c r="B9" s="16" t="s">
        <v>26</v>
      </c>
      <c r="C9" t="s">
        <v>42</v>
      </c>
      <c r="D9" s="21" t="s">
        <v>42</v>
      </c>
      <c r="E9" t="s">
        <v>43</v>
      </c>
      <c r="F9" s="17">
        <f>41177*0.4536</f>
        <v>18677.887200000001</v>
      </c>
      <c r="G9" s="18">
        <v>18689.240000000002</v>
      </c>
      <c r="H9" s="18">
        <f t="shared" si="0"/>
        <v>11.35280000000057</v>
      </c>
      <c r="I9" t="s">
        <v>51</v>
      </c>
      <c r="J9" s="19" t="s">
        <v>30</v>
      </c>
      <c r="K9" s="20">
        <v>44379</v>
      </c>
      <c r="L9" s="20">
        <v>44380</v>
      </c>
      <c r="M9" s="21" t="s">
        <v>52</v>
      </c>
      <c r="N9" s="21" t="s">
        <v>53</v>
      </c>
      <c r="O9" s="2"/>
      <c r="P9" s="22">
        <f>0.7421+0.11</f>
        <v>0.85209999999999997</v>
      </c>
      <c r="Q9" s="23">
        <v>26000</v>
      </c>
      <c r="R9" s="24">
        <v>11973</v>
      </c>
      <c r="S9" s="25">
        <v>19.864999999999998</v>
      </c>
      <c r="T9" s="24">
        <f>X9*F9*0.005</f>
        <v>3685.987758119009</v>
      </c>
      <c r="V9" s="2">
        <v>0.12</v>
      </c>
      <c r="W9" s="2">
        <v>0.3</v>
      </c>
      <c r="X9" s="2">
        <f>IF(O9&gt;0,O9,((P9*2.2046*S9)+(Q9+R9)/G9)+V9)</f>
        <v>39.469001163247299</v>
      </c>
      <c r="Y9" s="2">
        <f>IF(O9&gt;0,O9+W9,((P9*2.2046*S9)+(Q9+R9+T9)/G9)+V9+W9)</f>
        <v>39.966226291616294</v>
      </c>
      <c r="Z9" s="26">
        <f>Y9*F9</f>
        <v>746484.66648448352</v>
      </c>
      <c r="AA9" s="27">
        <v>44375</v>
      </c>
    </row>
    <row r="10" spans="1:27" x14ac:dyDescent="0.25">
      <c r="A10" s="15"/>
      <c r="B10" s="16" t="s">
        <v>26</v>
      </c>
      <c r="C10" t="s">
        <v>42</v>
      </c>
      <c r="D10" s="21" t="s">
        <v>42</v>
      </c>
      <c r="E10" t="s">
        <v>43</v>
      </c>
      <c r="F10" s="17">
        <f>40087*0.4536</f>
        <v>18183.463199999998</v>
      </c>
      <c r="G10" s="18">
        <v>18327.009999999998</v>
      </c>
      <c r="H10" s="18">
        <f t="shared" si="0"/>
        <v>143.54680000000008</v>
      </c>
      <c r="I10" t="s">
        <v>54</v>
      </c>
      <c r="J10" s="19" t="s">
        <v>30</v>
      </c>
      <c r="K10" s="20">
        <v>44379</v>
      </c>
      <c r="L10" s="20">
        <v>44380</v>
      </c>
      <c r="M10" s="21" t="s">
        <v>52</v>
      </c>
      <c r="N10" s="21" t="s">
        <v>53</v>
      </c>
      <c r="O10" s="2"/>
      <c r="P10" s="22">
        <f>0.7421+0.11</f>
        <v>0.85209999999999997</v>
      </c>
      <c r="Q10" s="23">
        <v>26000</v>
      </c>
      <c r="R10" s="24">
        <v>9663</v>
      </c>
      <c r="S10" s="25">
        <v>19.864999999999998</v>
      </c>
      <c r="T10" s="24">
        <f>X10*F10*0.005</f>
        <v>3580.6072077846993</v>
      </c>
      <c r="V10" s="2">
        <v>0.12</v>
      </c>
      <c r="W10" s="2">
        <v>0.3</v>
      </c>
      <c r="X10" s="2">
        <f>IF(O10&gt;0,O10,((P10*2.2046*S10)+(Q10+R10)/G10)+V10)</f>
        <v>39.383116058823155</v>
      </c>
      <c r="Y10" s="2">
        <f>IF(O10&gt;0,O10+W10,((P10*2.2046*S10)+(Q10+R10+T10)/G10)+V10+W10)</f>
        <v>39.878489292524925</v>
      </c>
      <c r="Z10" s="26">
        <f>Y10*F10</f>
        <v>725129.04252222099</v>
      </c>
      <c r="AA10" s="27">
        <v>44375</v>
      </c>
    </row>
    <row r="11" spans="1:27" x14ac:dyDescent="0.25">
      <c r="A11" s="29"/>
      <c r="B11" s="16" t="s">
        <v>37</v>
      </c>
      <c r="C11" t="s">
        <v>42</v>
      </c>
      <c r="D11" s="21" t="s">
        <v>39</v>
      </c>
      <c r="E11" t="s">
        <v>40</v>
      </c>
      <c r="F11" s="17">
        <v>1810.7</v>
      </c>
      <c r="G11" s="18">
        <v>1810.7</v>
      </c>
      <c r="H11" s="18">
        <f t="shared" si="0"/>
        <v>0</v>
      </c>
      <c r="I11" t="s">
        <v>55</v>
      </c>
      <c r="K11" s="20"/>
      <c r="L11" s="20">
        <v>44380</v>
      </c>
      <c r="M11" s="21" t="s">
        <v>52</v>
      </c>
      <c r="N11" s="21"/>
      <c r="O11" s="2">
        <v>22</v>
      </c>
      <c r="P11" s="22"/>
      <c r="Q11" s="2"/>
      <c r="R11" s="24"/>
      <c r="S11" s="25"/>
      <c r="T11" s="24"/>
      <c r="V11" s="2"/>
      <c r="W11" s="2"/>
      <c r="X11" s="2">
        <f>IF(O11&gt;0,O11,((P11*2.2046*S11)+(Q11+R11)/G11)+V11)</f>
        <v>22</v>
      </c>
      <c r="Y11" s="2">
        <f>IF(O11&gt;0,O11+W11,((P11*2.2046*S11)+(Q11+R11+T11)/G11)+V11+W11)</f>
        <v>22</v>
      </c>
      <c r="Z11" s="26">
        <f>Y11*F11</f>
        <v>39835.4</v>
      </c>
      <c r="AA11" s="27">
        <v>44389</v>
      </c>
    </row>
    <row r="12" spans="1:27" ht="15.75" thickBot="1" x14ac:dyDescent="0.3">
      <c r="A12" s="30"/>
      <c r="B12" s="31"/>
      <c r="C12" s="4"/>
      <c r="D12" s="4"/>
      <c r="E12" s="4"/>
      <c r="F12" s="32"/>
      <c r="G12" s="32"/>
      <c r="H12" s="32"/>
      <c r="I12" s="7"/>
      <c r="J12" s="4"/>
      <c r="K12" s="8"/>
      <c r="L12" s="8"/>
      <c r="M12" s="4"/>
      <c r="N12" s="4"/>
      <c r="O12" s="9"/>
      <c r="P12" s="10"/>
      <c r="Q12" s="9"/>
      <c r="R12" s="9"/>
      <c r="S12" s="9"/>
      <c r="T12" s="9"/>
      <c r="U12" s="9"/>
      <c r="V12" s="9"/>
      <c r="W12" s="9"/>
      <c r="X12" s="9"/>
      <c r="Y12" s="9"/>
      <c r="Z12" s="13"/>
      <c r="AA12" s="14"/>
    </row>
    <row r="13" spans="1:27" x14ac:dyDescent="0.25">
      <c r="A13" s="33"/>
      <c r="B13" s="16" t="s">
        <v>33</v>
      </c>
      <c r="C13" t="s">
        <v>34</v>
      </c>
      <c r="D13" s="21" t="s">
        <v>35</v>
      </c>
      <c r="E13">
        <v>201</v>
      </c>
      <c r="F13" s="17">
        <v>22080</v>
      </c>
      <c r="G13" s="18">
        <v>17520</v>
      </c>
      <c r="H13" s="18">
        <f t="shared" ref="H13:H21" si="1">G13-F13</f>
        <v>-4560</v>
      </c>
      <c r="I13" t="s">
        <v>56</v>
      </c>
      <c r="K13" s="20"/>
      <c r="L13" s="20">
        <v>44381</v>
      </c>
      <c r="M13" s="21" t="s">
        <v>57</v>
      </c>
      <c r="N13" s="21"/>
      <c r="O13" s="2">
        <v>41.5</v>
      </c>
      <c r="P13" s="22"/>
      <c r="Q13" s="28">
        <v>26000</v>
      </c>
      <c r="R13" s="2">
        <f>100.6*E13</f>
        <v>20220.599999999999</v>
      </c>
      <c r="S13" s="24">
        <f>-40*E13</f>
        <v>-8040</v>
      </c>
      <c r="T13" s="24">
        <f>X13*F13*0.0045</f>
        <v>5418.8947726027391</v>
      </c>
      <c r="U13" s="2">
        <f>E13*5</f>
        <v>1005</v>
      </c>
      <c r="V13" s="2">
        <v>3600</v>
      </c>
      <c r="W13" s="2">
        <v>0.3</v>
      </c>
      <c r="X13" s="2">
        <f>((O13*F13)+Q13+R13+S13+U13)/G13</f>
        <v>54.537990867579907</v>
      </c>
      <c r="Y13" s="2">
        <f>((O13*F13)+Q13+R13+S13+T13+U13+V13)/G13+W13</f>
        <v>55.352767966472754</v>
      </c>
      <c r="Z13" s="3">
        <f>Y13*G13</f>
        <v>969780.49477260269</v>
      </c>
      <c r="AA13" s="27">
        <v>44396</v>
      </c>
    </row>
    <row r="14" spans="1:27" x14ac:dyDescent="0.25">
      <c r="A14" s="33"/>
      <c r="B14" s="16" t="s">
        <v>58</v>
      </c>
      <c r="C14" t="s">
        <v>59</v>
      </c>
      <c r="D14" s="21" t="s">
        <v>60</v>
      </c>
      <c r="E14" t="s">
        <v>61</v>
      </c>
      <c r="F14" s="17">
        <v>5030.5</v>
      </c>
      <c r="G14" s="18">
        <v>5030.5</v>
      </c>
      <c r="H14" s="18">
        <f t="shared" si="1"/>
        <v>0</v>
      </c>
      <c r="I14" s="34"/>
      <c r="K14" s="20"/>
      <c r="L14" s="20">
        <v>44382</v>
      </c>
      <c r="M14" s="21" t="s">
        <v>62</v>
      </c>
      <c r="N14" s="21"/>
      <c r="O14" s="35">
        <v>52.5</v>
      </c>
      <c r="P14" s="35"/>
      <c r="Q14" s="2"/>
      <c r="R14" s="2"/>
      <c r="S14" s="24"/>
      <c r="T14" s="24"/>
      <c r="U14" s="2"/>
      <c r="V14" s="2"/>
      <c r="W14" s="2"/>
      <c r="X14" s="2">
        <f>IF(O14&gt;0,O14,((P14*2.2046*S14)+(Q14+R14)/G14)+V14)</f>
        <v>52.5</v>
      </c>
      <c r="Y14" s="2">
        <f>IF(O14&gt;0,O14+W14,((P14*2.2046*S14)+(Q14+R14+T14)/G14)+V14+W14)</f>
        <v>52.5</v>
      </c>
      <c r="Z14" s="26">
        <f>Y14*F14</f>
        <v>264101.25</v>
      </c>
      <c r="AA14" s="27">
        <v>44389</v>
      </c>
    </row>
    <row r="15" spans="1:27" x14ac:dyDescent="0.25">
      <c r="A15" s="33"/>
      <c r="B15" s="16" t="s">
        <v>63</v>
      </c>
      <c r="C15" t="s">
        <v>64</v>
      </c>
      <c r="D15" s="21" t="s">
        <v>60</v>
      </c>
      <c r="E15" t="s">
        <v>65</v>
      </c>
      <c r="F15" s="17">
        <v>2037.4</v>
      </c>
      <c r="G15" s="18">
        <v>2037.4</v>
      </c>
      <c r="H15" s="18">
        <f t="shared" si="1"/>
        <v>0</v>
      </c>
      <c r="I15" s="36" t="s">
        <v>66</v>
      </c>
      <c r="K15" s="20"/>
      <c r="L15" s="20">
        <v>44382</v>
      </c>
      <c r="M15" s="21" t="s">
        <v>62</v>
      </c>
      <c r="N15" s="21"/>
      <c r="O15" s="35">
        <v>115</v>
      </c>
      <c r="P15" s="35"/>
      <c r="Q15" s="2"/>
      <c r="R15" s="2"/>
      <c r="S15" s="24"/>
      <c r="T15" s="24"/>
      <c r="U15" s="2"/>
      <c r="V15" s="2"/>
      <c r="W15" s="2"/>
      <c r="X15" s="2">
        <f>IF(O15&gt;0,O15,((P15*2.2046*S15)+(Q15+R15)/G15)+V15)</f>
        <v>115</v>
      </c>
      <c r="Y15" s="2">
        <f>IF(O15&gt;0,O15+W15,((P15*2.2046*S15)+(Q15+R15+T15)/G15)+V15+W15)</f>
        <v>115</v>
      </c>
      <c r="Z15" s="26">
        <f>Y15*F15</f>
        <v>234301</v>
      </c>
      <c r="AA15" s="27">
        <v>44389</v>
      </c>
    </row>
    <row r="16" spans="1:27" x14ac:dyDescent="0.25">
      <c r="A16" s="33"/>
      <c r="B16" s="16" t="s">
        <v>67</v>
      </c>
      <c r="C16" t="s">
        <v>64</v>
      </c>
      <c r="D16" s="21" t="s">
        <v>60</v>
      </c>
      <c r="E16" t="s">
        <v>68</v>
      </c>
      <c r="F16" s="17">
        <v>1026.55</v>
      </c>
      <c r="G16" s="18">
        <v>1026.55</v>
      </c>
      <c r="H16" s="18">
        <f t="shared" si="1"/>
        <v>0</v>
      </c>
      <c r="I16" s="36" t="s">
        <v>69</v>
      </c>
      <c r="K16" s="20"/>
      <c r="L16" s="20">
        <v>44382</v>
      </c>
      <c r="M16" s="21" t="s">
        <v>62</v>
      </c>
      <c r="N16" s="21"/>
      <c r="O16" s="35">
        <v>106</v>
      </c>
      <c r="P16" s="35"/>
      <c r="Q16" s="2"/>
      <c r="R16" s="2"/>
      <c r="S16" s="24"/>
      <c r="T16" s="24"/>
      <c r="U16" s="2"/>
      <c r="V16" s="2"/>
      <c r="W16" s="2"/>
      <c r="X16" s="2">
        <f>IF(O16&gt;0,O16,((P16*2.2046*S16)+(Q16+R16)/G16)+V16)</f>
        <v>106</v>
      </c>
      <c r="Y16" s="2">
        <f>IF(O16&gt;0,O16+W16,((P16*2.2046*S16)+(Q16+R16+T16)/G16)+V16+W16)</f>
        <v>106</v>
      </c>
      <c r="Z16" s="26">
        <f>Y16*F16</f>
        <v>108814.29999999999</v>
      </c>
      <c r="AA16" s="27">
        <v>44389</v>
      </c>
    </row>
    <row r="17" spans="1:29" x14ac:dyDescent="0.25">
      <c r="A17" s="33"/>
      <c r="B17" s="16" t="s">
        <v>33</v>
      </c>
      <c r="C17" t="s">
        <v>34</v>
      </c>
      <c r="D17" s="21" t="s">
        <v>35</v>
      </c>
      <c r="E17">
        <v>202</v>
      </c>
      <c r="F17" s="17">
        <v>22960</v>
      </c>
      <c r="G17" s="18">
        <v>18230</v>
      </c>
      <c r="H17" s="18">
        <f t="shared" si="1"/>
        <v>-4730</v>
      </c>
      <c r="I17" t="s">
        <v>70</v>
      </c>
      <c r="K17" s="20"/>
      <c r="L17" s="20">
        <v>44383</v>
      </c>
      <c r="M17" s="21" t="s">
        <v>71</v>
      </c>
      <c r="N17" s="21"/>
      <c r="O17" s="2">
        <v>41.5</v>
      </c>
      <c r="P17" s="22"/>
      <c r="Q17" s="28">
        <v>26000</v>
      </c>
      <c r="R17" s="2">
        <f>100.6*E17</f>
        <v>20321.199999999997</v>
      </c>
      <c r="S17" s="24">
        <f>-40*E17</f>
        <v>-8080</v>
      </c>
      <c r="T17" s="24">
        <f>X17*F17*0.0045</f>
        <v>5622.7571466812942</v>
      </c>
      <c r="U17" s="2">
        <f>E17*5</f>
        <v>1010</v>
      </c>
      <c r="V17" s="2">
        <v>3600</v>
      </c>
      <c r="W17" s="2">
        <v>0.3</v>
      </c>
      <c r="X17" s="2">
        <f>((O17*F17)+Q17+R17+S17+U17)/G17</f>
        <v>54.420800877674161</v>
      </c>
      <c r="Y17" s="2">
        <f>((O17*F17)+Q17+R17+S17+T17+U17+V17)/G17+W17</f>
        <v>55.226711856647348</v>
      </c>
      <c r="Z17" s="3">
        <f>Y17*G17</f>
        <v>1006782.9571466811</v>
      </c>
      <c r="AA17" s="27">
        <v>44397</v>
      </c>
      <c r="AB17" s="19">
        <v>39.97</v>
      </c>
      <c r="AC17" t="s">
        <v>42</v>
      </c>
    </row>
    <row r="18" spans="1:29" x14ac:dyDescent="0.25">
      <c r="A18" s="33"/>
      <c r="B18" s="16" t="s">
        <v>26</v>
      </c>
      <c r="C18" t="s">
        <v>27</v>
      </c>
      <c r="D18" t="s">
        <v>27</v>
      </c>
      <c r="E18" t="s">
        <v>28</v>
      </c>
      <c r="F18" s="17">
        <f>39957*0.4536</f>
        <v>18124.495200000001</v>
      </c>
      <c r="G18" s="18">
        <v>18141.189999999999</v>
      </c>
      <c r="H18" s="18">
        <f t="shared" si="1"/>
        <v>16.694799999997485</v>
      </c>
      <c r="I18" t="s">
        <v>72</v>
      </c>
      <c r="J18" s="19" t="s">
        <v>45</v>
      </c>
      <c r="K18" s="20">
        <v>44383</v>
      </c>
      <c r="L18" s="20">
        <v>44384</v>
      </c>
      <c r="M18" s="21" t="s">
        <v>73</v>
      </c>
      <c r="N18" s="21" t="s">
        <v>74</v>
      </c>
      <c r="O18" s="2"/>
      <c r="P18" s="22">
        <f>0.7321+0.115</f>
        <v>0.84709999999999996</v>
      </c>
      <c r="Q18" s="23">
        <v>26000</v>
      </c>
      <c r="R18" s="24">
        <v>10963</v>
      </c>
      <c r="S18" s="25">
        <v>20</v>
      </c>
      <c r="T18" s="24">
        <f>X18*F18*0.005</f>
        <v>3580.2992913568387</v>
      </c>
      <c r="V18" s="2">
        <v>0.12</v>
      </c>
      <c r="W18" s="2">
        <v>0.3</v>
      </c>
      <c r="X18" s="2">
        <f>IF(O18&gt;0,O18,((P18*2.2046*S18)+(Q18+R18)/G18)+V18)</f>
        <v>39.507851135703227</v>
      </c>
      <c r="Y18" s="2">
        <f>IF(O18&gt;0,O18+W18,((P18*2.2046*S18)+(Q18+R18+T18)/G18)+V18+W18)</f>
        <v>40.005208601853838</v>
      </c>
      <c r="Z18" s="3">
        <f>Y18*F18</f>
        <v>725074.21127929864</v>
      </c>
      <c r="AA18" s="27">
        <v>44384</v>
      </c>
      <c r="AB18" s="19">
        <v>39.9</v>
      </c>
      <c r="AC18" t="s">
        <v>42</v>
      </c>
    </row>
    <row r="19" spans="1:29" x14ac:dyDescent="0.25">
      <c r="A19" s="33"/>
      <c r="B19" s="16" t="s">
        <v>26</v>
      </c>
      <c r="C19" t="s">
        <v>27</v>
      </c>
      <c r="D19" t="s">
        <v>27</v>
      </c>
      <c r="E19" t="s">
        <v>28</v>
      </c>
      <c r="F19" s="17">
        <f>40152*0.4536</f>
        <v>18212.947199999999</v>
      </c>
      <c r="G19" s="18">
        <v>18202.98</v>
      </c>
      <c r="H19" s="18">
        <f t="shared" si="1"/>
        <v>-9.9671999999991385</v>
      </c>
      <c r="I19" t="s">
        <v>75</v>
      </c>
      <c r="J19" s="19" t="s">
        <v>30</v>
      </c>
      <c r="K19" s="20">
        <v>44384</v>
      </c>
      <c r="L19" s="20">
        <v>44385</v>
      </c>
      <c r="M19" s="21" t="s">
        <v>31</v>
      </c>
      <c r="N19" s="21" t="s">
        <v>76</v>
      </c>
      <c r="O19" s="2"/>
      <c r="P19" s="22">
        <f>0.802+0.115</f>
        <v>0.91700000000000004</v>
      </c>
      <c r="Q19" s="23">
        <v>26000</v>
      </c>
      <c r="R19" s="24">
        <v>11813</v>
      </c>
      <c r="S19" s="25">
        <v>19.920000000000002</v>
      </c>
      <c r="T19" s="24">
        <f>X19*F19*0.005</f>
        <v>3867.3309958067821</v>
      </c>
      <c r="V19" s="2">
        <v>0.12</v>
      </c>
      <c r="W19" s="2">
        <v>0.3</v>
      </c>
      <c r="X19" s="2">
        <f>IF(O19&gt;0,O19,((P19*2.2046*S19)+(Q19+R19)/G19)+V19)</f>
        <v>42.467931777749648</v>
      </c>
      <c r="Y19" s="2">
        <f>IF(O19&gt;0,O19+W19,((P19*2.2046*S19)+(Q19+R19+T19)/G19)+V19+W19)</f>
        <v>42.980387705065212</v>
      </c>
      <c r="Z19" s="26">
        <f>Y19*F19</f>
        <v>782799.53190788184</v>
      </c>
      <c r="AA19" s="27">
        <v>44386</v>
      </c>
      <c r="AB19" s="19">
        <v>40.01</v>
      </c>
      <c r="AC19" t="s">
        <v>27</v>
      </c>
    </row>
    <row r="20" spans="1:29" x14ac:dyDescent="0.25">
      <c r="A20" s="33"/>
      <c r="B20" s="16" t="s">
        <v>33</v>
      </c>
      <c r="C20" t="s">
        <v>34</v>
      </c>
      <c r="D20" s="21" t="s">
        <v>35</v>
      </c>
      <c r="E20">
        <v>193</v>
      </c>
      <c r="F20" s="17">
        <v>21095</v>
      </c>
      <c r="G20" s="18">
        <v>16770</v>
      </c>
      <c r="H20" s="18">
        <f t="shared" si="1"/>
        <v>-4325</v>
      </c>
      <c r="I20" t="s">
        <v>77</v>
      </c>
      <c r="K20" s="20"/>
      <c r="L20" s="20">
        <v>44385</v>
      </c>
      <c r="M20" s="21" t="s">
        <v>31</v>
      </c>
      <c r="N20" s="21"/>
      <c r="O20" s="2">
        <v>41</v>
      </c>
      <c r="P20" s="22"/>
      <c r="Q20" s="28">
        <v>26000</v>
      </c>
      <c r="R20" s="2">
        <f>100.6*E20</f>
        <v>19415.8</v>
      </c>
      <c r="S20" s="24">
        <f>-40*E20</f>
        <v>-7720</v>
      </c>
      <c r="T20" s="24">
        <f>X20*F20*0.0045</f>
        <v>5114.6269054561717</v>
      </c>
      <c r="U20" s="2">
        <f>E20*5</f>
        <v>965</v>
      </c>
      <c r="V20" s="2">
        <v>3600</v>
      </c>
      <c r="W20" s="2">
        <v>0.3</v>
      </c>
      <c r="X20" s="2">
        <f>((O20*F20)+Q20+R20+S20+U20)/G20</f>
        <v>53.879296362552182</v>
      </c>
      <c r="Y20" s="2">
        <f>((O20*F20)+Q20+R20+S20+T20+U20+V20)/G20+W20</f>
        <v>54.698952111237695</v>
      </c>
      <c r="Z20" s="3">
        <f>Y20*G20</f>
        <v>917301.42690545612</v>
      </c>
      <c r="AA20" s="27">
        <v>44399</v>
      </c>
      <c r="AB20" s="19">
        <v>42.98</v>
      </c>
      <c r="AC20" t="s">
        <v>27</v>
      </c>
    </row>
    <row r="21" spans="1:29" x14ac:dyDescent="0.25">
      <c r="A21" s="33"/>
      <c r="B21" s="16" t="s">
        <v>78</v>
      </c>
      <c r="C21" t="s">
        <v>79</v>
      </c>
      <c r="D21" s="21" t="s">
        <v>80</v>
      </c>
      <c r="E21" t="s">
        <v>81</v>
      </c>
      <c r="F21" s="17">
        <v>503.94</v>
      </c>
      <c r="G21" s="18">
        <v>503.94</v>
      </c>
      <c r="H21" s="18">
        <f t="shared" si="1"/>
        <v>0</v>
      </c>
      <c r="I21" t="s">
        <v>82</v>
      </c>
      <c r="K21" s="20"/>
      <c r="L21" s="20">
        <v>44385</v>
      </c>
      <c r="M21" s="21" t="s">
        <v>31</v>
      </c>
      <c r="N21" s="21"/>
      <c r="O21" s="2">
        <v>50</v>
      </c>
      <c r="P21" s="22"/>
      <c r="Q21" s="2"/>
      <c r="R21" s="24"/>
      <c r="S21" s="25"/>
      <c r="T21" s="24"/>
      <c r="V21" s="2"/>
      <c r="W21" s="2"/>
      <c r="X21" s="2">
        <f>IF(O21&gt;0,O21,((P21*2.2046*S21)+(Q21+R21)/G21)+V21)</f>
        <v>50</v>
      </c>
      <c r="Y21" s="2">
        <f>IF(O21&gt;0,O21+W21,((P21*2.2046*S21)+(Q21+R21+T21)/G21)+V21+W21)</f>
        <v>50</v>
      </c>
      <c r="Z21" s="26">
        <f>Y21*F21</f>
        <v>25197</v>
      </c>
      <c r="AA21" s="27">
        <v>44386</v>
      </c>
      <c r="AB21" s="19">
        <v>42.63</v>
      </c>
      <c r="AC21" t="s">
        <v>42</v>
      </c>
    </row>
    <row r="22" spans="1:29" x14ac:dyDescent="0.25">
      <c r="A22" s="33"/>
      <c r="B22" s="16" t="s">
        <v>26</v>
      </c>
      <c r="C22" t="s">
        <v>42</v>
      </c>
      <c r="D22" s="21" t="s">
        <v>42</v>
      </c>
      <c r="E22" t="s">
        <v>43</v>
      </c>
      <c r="F22" s="17">
        <f>40625*0.4536</f>
        <v>18427.5</v>
      </c>
      <c r="G22" s="18">
        <v>18402.41</v>
      </c>
      <c r="H22" s="18">
        <f>G22-F22</f>
        <v>-25.090000000000146</v>
      </c>
      <c r="I22" t="s">
        <v>83</v>
      </c>
      <c r="J22" s="19" t="s">
        <v>30</v>
      </c>
      <c r="K22" s="20">
        <v>44385</v>
      </c>
      <c r="L22" s="20">
        <v>44386</v>
      </c>
      <c r="M22" s="21" t="s">
        <v>46</v>
      </c>
      <c r="N22" s="21" t="s">
        <v>84</v>
      </c>
      <c r="O22" s="2"/>
      <c r="P22" s="22">
        <f>0.802+0.11</f>
        <v>0.91200000000000003</v>
      </c>
      <c r="Q22" s="23">
        <v>26000</v>
      </c>
      <c r="R22" s="24">
        <v>11963</v>
      </c>
      <c r="S22" s="25">
        <v>19.864999999999998</v>
      </c>
      <c r="T22" s="24">
        <f>X22*F22*0.005</f>
        <v>3881.1456861041852</v>
      </c>
      <c r="V22" s="2">
        <v>0.12</v>
      </c>
      <c r="W22" s="2">
        <v>0.3</v>
      </c>
      <c r="X22" s="2">
        <f>IF(O22&gt;0,O22,((P22*2.2046*S22)+(Q22+R22)/G22)+V22)</f>
        <v>42.123409969927394</v>
      </c>
      <c r="Y22" s="2">
        <f>IF(O22&gt;0,O22+W22,((P22*2.2046*S22)+(Q22+R22+T22)/G22)+V22+W22)</f>
        <v>42.634314176827694</v>
      </c>
      <c r="Z22" s="26">
        <f>Y22*F22</f>
        <v>785643.82449349237</v>
      </c>
      <c r="AA22" s="27">
        <v>44379</v>
      </c>
      <c r="AB22" s="19">
        <v>42.53</v>
      </c>
      <c r="AC22" t="s">
        <v>42</v>
      </c>
    </row>
    <row r="23" spans="1:29" x14ac:dyDescent="0.25">
      <c r="A23" s="33"/>
      <c r="B23" s="16" t="s">
        <v>26</v>
      </c>
      <c r="C23" t="s">
        <v>42</v>
      </c>
      <c r="D23" s="21" t="s">
        <v>42</v>
      </c>
      <c r="E23" t="s">
        <v>43</v>
      </c>
      <c r="F23" s="17">
        <f>40487*0.4536</f>
        <v>18364.903200000001</v>
      </c>
      <c r="G23" s="18">
        <v>18357.259999999998</v>
      </c>
      <c r="H23" s="18">
        <f>G23-F23</f>
        <v>-7.6432000000022526</v>
      </c>
      <c r="I23" t="s">
        <v>85</v>
      </c>
      <c r="J23" s="19" t="s">
        <v>30</v>
      </c>
      <c r="K23" s="20">
        <v>44385</v>
      </c>
      <c r="L23" s="20">
        <v>44386</v>
      </c>
      <c r="M23" s="21" t="s">
        <v>46</v>
      </c>
      <c r="N23" s="21" t="s">
        <v>84</v>
      </c>
      <c r="O23" s="2"/>
      <c r="P23" s="22">
        <f>0.802+0.11</f>
        <v>0.91200000000000003</v>
      </c>
      <c r="Q23" s="23">
        <v>26000</v>
      </c>
      <c r="R23" s="24">
        <v>9913</v>
      </c>
      <c r="S23" s="25">
        <v>19.864999999999998</v>
      </c>
      <c r="T23" s="24">
        <f>X23*F23*0.005</f>
        <v>3858.1733668602997</v>
      </c>
      <c r="V23" s="2">
        <v>0.12</v>
      </c>
      <c r="W23" s="2">
        <v>0.3</v>
      </c>
      <c r="X23" s="2">
        <f>IF(O23&gt;0,O23,((P23*2.2046*S23)+(Q23+R23)/G23)+V23)</f>
        <v>42.016811358529779</v>
      </c>
      <c r="Y23" s="2">
        <f>IF(O23&gt;0,O23+W23,((P23*2.2046*S23)+(Q23+R23+T23)/G23)+V23+W23)</f>
        <v>42.526982885591018</v>
      </c>
      <c r="Z23" s="26">
        <f>Y23*F23</f>
        <v>781003.92408193578</v>
      </c>
      <c r="AA23" s="27">
        <v>44379</v>
      </c>
      <c r="AB23" s="37">
        <f>SUM(AB17:AB22)/6</f>
        <v>41.336666666666666</v>
      </c>
      <c r="AC23" t="s">
        <v>86</v>
      </c>
    </row>
    <row r="24" spans="1:29" x14ac:dyDescent="0.25">
      <c r="A24" s="33"/>
      <c r="B24" s="16" t="s">
        <v>58</v>
      </c>
      <c r="C24" t="s">
        <v>59</v>
      </c>
      <c r="D24" s="21" t="s">
        <v>87</v>
      </c>
      <c r="E24" t="s">
        <v>88</v>
      </c>
      <c r="F24" s="17">
        <f>40856.75*0.4536</f>
        <v>18532.621800000001</v>
      </c>
      <c r="G24" s="18">
        <v>18469.82</v>
      </c>
      <c r="H24" s="18">
        <f t="shared" ref="H24:H26" si="2">G24-F24</f>
        <v>-62.801800000001094</v>
      </c>
      <c r="I24">
        <v>15541</v>
      </c>
      <c r="J24" s="19" t="s">
        <v>45</v>
      </c>
      <c r="K24" s="20">
        <v>44385</v>
      </c>
      <c r="L24" s="20">
        <v>44386</v>
      </c>
      <c r="M24" s="21" t="s">
        <v>46</v>
      </c>
      <c r="N24" s="21"/>
      <c r="O24" s="2"/>
      <c r="P24" s="22">
        <v>1.1399999999999999</v>
      </c>
      <c r="Q24" s="23">
        <v>26000</v>
      </c>
      <c r="R24" s="24">
        <v>12355</v>
      </c>
      <c r="S24" s="25">
        <v>20</v>
      </c>
      <c r="T24" s="24">
        <f>X24*F24*0.005</f>
        <v>4861.2467082023986</v>
      </c>
      <c r="V24" s="2">
        <v>0.12</v>
      </c>
      <c r="W24" s="2">
        <v>0.3</v>
      </c>
      <c r="X24" s="2">
        <f>IF(O24&gt;0,O24,((P24*2.2046*S24)+(Q24+R24)/G24)+V24)</f>
        <v>52.461510957962766</v>
      </c>
      <c r="Y24" s="2">
        <f>IF(O24&gt;0,O24+W24,((P24*2.2046*S24)+(Q24+R24+T24)/G24)+V24+W24)</f>
        <v>53.024710421097893</v>
      </c>
      <c r="Z24" s="26">
        <f>Y24*F24</f>
        <v>982686.90428872604</v>
      </c>
      <c r="AA24" s="27">
        <v>44385</v>
      </c>
    </row>
    <row r="25" spans="1:29" x14ac:dyDescent="0.25">
      <c r="A25" s="33"/>
      <c r="B25" s="16" t="s">
        <v>37</v>
      </c>
      <c r="C25" t="s">
        <v>89</v>
      </c>
      <c r="D25" s="21" t="s">
        <v>39</v>
      </c>
      <c r="E25" t="s">
        <v>40</v>
      </c>
      <c r="F25" s="17">
        <v>1386.65</v>
      </c>
      <c r="G25" s="18">
        <v>1386.65</v>
      </c>
      <c r="H25" s="18">
        <f t="shared" si="2"/>
        <v>0</v>
      </c>
      <c r="I25" t="s">
        <v>90</v>
      </c>
      <c r="K25" s="20"/>
      <c r="L25" s="20">
        <v>44386</v>
      </c>
      <c r="M25" s="21" t="s">
        <v>46</v>
      </c>
      <c r="N25" s="21"/>
      <c r="O25" s="2">
        <v>22</v>
      </c>
      <c r="P25" s="22"/>
      <c r="Q25" s="2"/>
      <c r="R25" s="24"/>
      <c r="S25" s="25"/>
      <c r="T25" s="24"/>
      <c r="V25" s="2"/>
      <c r="W25" s="2"/>
      <c r="X25" s="2">
        <f>IF(O25&gt;0,O25,((P25*2.2046*S25)+(Q25+R25)/G25)+V25)</f>
        <v>22</v>
      </c>
      <c r="Y25" s="2">
        <f>IF(O25&gt;0,O25+W25,((P25*2.2046*S25)+(Q25+R25+T25)/G25)+V25+W25)</f>
        <v>22</v>
      </c>
      <c r="Z25" s="26">
        <f>Y25*F25</f>
        <v>30506.300000000003</v>
      </c>
      <c r="AA25" s="27">
        <v>44393</v>
      </c>
    </row>
    <row r="26" spans="1:29" x14ac:dyDescent="0.25">
      <c r="A26" s="33"/>
      <c r="B26" t="s">
        <v>33</v>
      </c>
      <c r="C26" t="s">
        <v>34</v>
      </c>
      <c r="D26" s="21" t="s">
        <v>49</v>
      </c>
      <c r="E26">
        <f>200+50</f>
        <v>250</v>
      </c>
      <c r="F26" s="17">
        <f>21425+5180</f>
        <v>26605</v>
      </c>
      <c r="G26" s="18">
        <v>20660</v>
      </c>
      <c r="H26" s="18">
        <f t="shared" si="2"/>
        <v>-5945</v>
      </c>
      <c r="I26" t="s">
        <v>91</v>
      </c>
      <c r="K26" s="20"/>
      <c r="L26" s="20">
        <v>44386</v>
      </c>
      <c r="M26" s="21" t="s">
        <v>46</v>
      </c>
      <c r="N26" s="21"/>
      <c r="O26" s="2">
        <v>41</v>
      </c>
      <c r="P26" s="22"/>
      <c r="Q26" s="28">
        <v>26000</v>
      </c>
      <c r="R26" s="2">
        <f>100.6*E26</f>
        <v>25150</v>
      </c>
      <c r="S26" s="24">
        <f>-40*E26</f>
        <v>-10000</v>
      </c>
      <c r="T26" s="24">
        <f>X26*F26*0.0045</f>
        <v>6566.8023045740547</v>
      </c>
      <c r="U26" s="2">
        <f>E26*5</f>
        <v>1250</v>
      </c>
      <c r="V26" s="2">
        <v>3600</v>
      </c>
      <c r="W26" s="2">
        <v>0.3</v>
      </c>
      <c r="X26" s="2">
        <f>((O26*F26)+Q26+R26+S26+U26)/G26</f>
        <v>54.850193610842204</v>
      </c>
      <c r="Y26" s="2">
        <f>((O26*F26)+Q26+R26+S26+T26+U26+V26)/G26+W26</f>
        <v>55.642294400027779</v>
      </c>
      <c r="Z26" s="3">
        <f>Y26*G26</f>
        <v>1149569.8023045738</v>
      </c>
      <c r="AA26" s="27">
        <v>44400</v>
      </c>
    </row>
    <row r="27" spans="1:29" x14ac:dyDescent="0.25">
      <c r="A27" s="33"/>
      <c r="B27" s="16" t="s">
        <v>113</v>
      </c>
      <c r="C27" t="s">
        <v>114</v>
      </c>
      <c r="D27" s="21" t="s">
        <v>115</v>
      </c>
      <c r="E27" t="s">
        <v>116</v>
      </c>
      <c r="F27" s="17">
        <v>630.30999999999995</v>
      </c>
      <c r="G27" s="18">
        <v>630.30999999999995</v>
      </c>
      <c r="H27" s="18">
        <f>G27-F27</f>
        <v>0</v>
      </c>
      <c r="I27" s="21" t="s">
        <v>117</v>
      </c>
      <c r="K27" s="20"/>
      <c r="L27" s="20">
        <v>44394</v>
      </c>
      <c r="M27" s="21" t="s">
        <v>52</v>
      </c>
      <c r="O27" s="2">
        <v>87</v>
      </c>
      <c r="P27" s="22"/>
      <c r="Q27" s="2"/>
      <c r="R27" s="2"/>
      <c r="S27" s="24"/>
      <c r="T27" s="24"/>
      <c r="U27" s="2"/>
      <c r="V27" s="2"/>
      <c r="W27" s="2"/>
      <c r="X27" s="2"/>
      <c r="Y27" s="2">
        <f>((O27*F27)+Q27+R27+S27+T27+U27+V27)/G27+W27</f>
        <v>87</v>
      </c>
      <c r="Z27" s="3">
        <f>Y27*G27</f>
        <v>54836.969999999994</v>
      </c>
      <c r="AA27" s="27"/>
    </row>
    <row r="28" spans="1:29" ht="15.75" thickBot="1" x14ac:dyDescent="0.3">
      <c r="A28" s="38"/>
      <c r="B28" s="31"/>
      <c r="C28" s="4"/>
      <c r="D28" s="4"/>
      <c r="E28" s="4"/>
      <c r="F28" s="32"/>
      <c r="G28" s="32"/>
      <c r="H28" s="32"/>
      <c r="I28" s="7"/>
      <c r="J28" s="4"/>
      <c r="K28" s="8"/>
      <c r="L28" s="8"/>
      <c r="M28" s="4"/>
      <c r="N28" s="4"/>
      <c r="O28" s="9"/>
      <c r="P28" s="10"/>
      <c r="Q28" s="9"/>
      <c r="R28" s="9"/>
      <c r="S28" s="9"/>
      <c r="T28" s="9"/>
      <c r="U28" s="9"/>
      <c r="V28" s="9"/>
      <c r="W28" s="9"/>
      <c r="X28" s="9"/>
      <c r="Y28" s="9"/>
      <c r="Z28" s="13"/>
      <c r="AA28" s="14"/>
    </row>
    <row r="29" spans="1:29" x14ac:dyDescent="0.25">
      <c r="A29" s="39"/>
      <c r="B29" s="16" t="s">
        <v>33</v>
      </c>
      <c r="C29" t="s">
        <v>34</v>
      </c>
      <c r="D29" s="21" t="s">
        <v>118</v>
      </c>
      <c r="E29">
        <v>250</v>
      </c>
      <c r="F29" s="17">
        <f>21910+5360</f>
        <v>27270</v>
      </c>
      <c r="G29" s="18">
        <v>21600</v>
      </c>
      <c r="H29" s="18">
        <f t="shared" ref="H29:H38" si="3">G29-F29</f>
        <v>-5670</v>
      </c>
      <c r="I29" t="s">
        <v>119</v>
      </c>
      <c r="K29" s="20"/>
      <c r="L29" s="20">
        <v>44388</v>
      </c>
      <c r="M29" s="21" t="s">
        <v>57</v>
      </c>
      <c r="N29" s="21"/>
      <c r="O29" s="2">
        <v>41</v>
      </c>
      <c r="P29" s="22"/>
      <c r="Q29" s="28">
        <v>26000</v>
      </c>
      <c r="R29" s="2">
        <f>100.6*E29</f>
        <v>25150</v>
      </c>
      <c r="S29" s="24">
        <f>-40*E29</f>
        <v>-10000</v>
      </c>
      <c r="T29" s="24">
        <f>X29*F29*0.0045</f>
        <v>6592.9201874999999</v>
      </c>
      <c r="U29" s="2">
        <f>E29*5</f>
        <v>1250</v>
      </c>
      <c r="V29" s="2">
        <v>3600</v>
      </c>
      <c r="W29" s="2">
        <v>0.3</v>
      </c>
      <c r="X29" s="2">
        <f>((O29*F29)+Q29+R29+S29+U29)/G29</f>
        <v>53.725462962962965</v>
      </c>
      <c r="Y29" s="2">
        <f>((O29*F29)+Q29+R29+S29+T29+U29+V29)/G29+W29</f>
        <v>54.497357416087965</v>
      </c>
      <c r="Z29" s="3">
        <f>Y29*G29</f>
        <v>1177142.9201875001</v>
      </c>
      <c r="AA29" s="27">
        <v>44403</v>
      </c>
    </row>
    <row r="30" spans="1:29" x14ac:dyDescent="0.25">
      <c r="A30" s="39"/>
      <c r="D30" s="21"/>
      <c r="F30" s="17"/>
      <c r="G30" s="18"/>
      <c r="H30" s="18">
        <f t="shared" si="3"/>
        <v>0</v>
      </c>
      <c r="I30" s="36"/>
      <c r="K30" s="20"/>
      <c r="L30" s="20">
        <v>44389</v>
      </c>
      <c r="M30" s="21" t="s">
        <v>62</v>
      </c>
      <c r="N30" s="21"/>
      <c r="O30" s="2"/>
      <c r="P30" s="35"/>
      <c r="Q30" s="2"/>
      <c r="R30" s="2"/>
      <c r="S30" s="24"/>
      <c r="T30" s="24"/>
      <c r="U30" s="2"/>
      <c r="V30" s="2"/>
      <c r="W30" s="2"/>
      <c r="X30" s="2" t="e">
        <f>IF(O30&gt;0,O30,((P30*2.2046*S30)+(Q30+R30)/G30)+V30)</f>
        <v>#DIV/0!</v>
      </c>
      <c r="Y30" s="2" t="e">
        <f>IF(O30&gt;0,O30+W30,((P30*2.2046*S30)+(Q30+R30+T30)/G30)+V30+W30)</f>
        <v>#DIV/0!</v>
      </c>
      <c r="Z30" s="26" t="e">
        <f>Y30*F30</f>
        <v>#DIV/0!</v>
      </c>
      <c r="AA30" s="27"/>
    </row>
    <row r="31" spans="1:29" x14ac:dyDescent="0.25">
      <c r="A31" s="39"/>
      <c r="B31" s="16" t="s">
        <v>26</v>
      </c>
      <c r="C31" t="s">
        <v>42</v>
      </c>
      <c r="D31" s="21" t="s">
        <v>42</v>
      </c>
      <c r="E31" t="s">
        <v>43</v>
      </c>
      <c r="F31" s="17">
        <f>38004*0.4536</f>
        <v>17238.614399999999</v>
      </c>
      <c r="G31" s="18">
        <v>17228.71</v>
      </c>
      <c r="H31" s="18">
        <f t="shared" si="3"/>
        <v>-9.9043999999994412</v>
      </c>
      <c r="I31" t="s">
        <v>92</v>
      </c>
      <c r="J31" s="41" t="s">
        <v>30</v>
      </c>
      <c r="K31" s="20">
        <v>44389</v>
      </c>
      <c r="L31" s="20">
        <v>44390</v>
      </c>
      <c r="M31" s="21" t="s">
        <v>71</v>
      </c>
      <c r="N31" s="21" t="s">
        <v>93</v>
      </c>
      <c r="O31" s="2"/>
      <c r="P31" s="22">
        <f>0.872+0.11</f>
        <v>0.98199999999999998</v>
      </c>
      <c r="Q31" s="2">
        <v>26000</v>
      </c>
      <c r="R31" s="24">
        <v>10963</v>
      </c>
      <c r="S31" s="25">
        <v>19.864999999999998</v>
      </c>
      <c r="T31" s="24">
        <f>X31*F31*0.005</f>
        <v>3902.0905798696072</v>
      </c>
      <c r="V31" s="2">
        <v>0.12</v>
      </c>
      <c r="W31" s="2">
        <v>0.3</v>
      </c>
      <c r="X31" s="2">
        <f>IF(O31&gt;0,O31,((P31*2.2046*S31)+(Q31+R31)/G31)+V31)</f>
        <v>45.271510683243861</v>
      </c>
      <c r="Y31" s="2">
        <f>IF(O31&gt;0,O31+W31,((P31*2.2046*S31)+(Q31+R31+T31)/G31)+V31+W31)</f>
        <v>45.797998364554275</v>
      </c>
      <c r="Z31" s="26">
        <f>Y31*F31</f>
        <v>789494.03409838176</v>
      </c>
      <c r="AA31" s="27">
        <v>44383</v>
      </c>
      <c r="AB31" s="19">
        <v>45.8</v>
      </c>
      <c r="AC31" t="s">
        <v>42</v>
      </c>
    </row>
    <row r="32" spans="1:29" x14ac:dyDescent="0.25">
      <c r="A32" s="39"/>
      <c r="B32" s="16" t="s">
        <v>26</v>
      </c>
      <c r="C32" t="s">
        <v>42</v>
      </c>
      <c r="D32" s="21" t="s">
        <v>42</v>
      </c>
      <c r="E32" t="s">
        <v>43</v>
      </c>
      <c r="F32" s="17">
        <f>38394*0.4536</f>
        <v>17415.518400000001</v>
      </c>
      <c r="G32" s="18">
        <v>17426</v>
      </c>
      <c r="H32" s="18">
        <f t="shared" si="3"/>
        <v>10.481599999999162</v>
      </c>
      <c r="I32" t="s">
        <v>94</v>
      </c>
      <c r="J32" s="41" t="s">
        <v>30</v>
      </c>
      <c r="K32" s="20">
        <v>44389</v>
      </c>
      <c r="L32" s="20">
        <v>44390</v>
      </c>
      <c r="M32" s="21" t="s">
        <v>71</v>
      </c>
      <c r="N32" s="21" t="s">
        <v>93</v>
      </c>
      <c r="O32" s="2"/>
      <c r="P32" s="22">
        <f>0.872+0.11</f>
        <v>0.98199999999999998</v>
      </c>
      <c r="Q32" s="2">
        <v>26000</v>
      </c>
      <c r="R32" s="24">
        <v>11913</v>
      </c>
      <c r="S32" s="25">
        <v>19.864999999999998</v>
      </c>
      <c r="T32" s="24">
        <f>X32*F32*0.005</f>
        <v>3944.7661924637528</v>
      </c>
      <c r="V32" s="2">
        <v>0.12</v>
      </c>
      <c r="W32" s="2">
        <v>0.3</v>
      </c>
      <c r="X32" s="2">
        <f>IF(O32&gt;0,O32,((P32*2.2046*S32)+(Q32+R32)/G32)+V32)</f>
        <v>45.301737242157003</v>
      </c>
      <c r="Y32" s="2">
        <f>IF(O32&gt;0,O32+W32,((P32*2.2046*S32)+(Q32+R32+T32)/G32)+V32+W32)</f>
        <v>45.828109685199792</v>
      </c>
      <c r="Z32" s="26">
        <f>Y32*F32</f>
        <v>798120.28745981527</v>
      </c>
      <c r="AA32" s="27">
        <v>44383</v>
      </c>
      <c r="AB32" s="19">
        <v>45.83</v>
      </c>
      <c r="AC32" t="s">
        <v>42</v>
      </c>
    </row>
    <row r="33" spans="1:29" x14ac:dyDescent="0.25">
      <c r="A33" s="39"/>
      <c r="B33" s="16" t="s">
        <v>33</v>
      </c>
      <c r="C33" t="s">
        <v>34</v>
      </c>
      <c r="D33" s="21" t="s">
        <v>118</v>
      </c>
      <c r="E33">
        <v>201</v>
      </c>
      <c r="F33" s="17">
        <v>21140</v>
      </c>
      <c r="G33" s="18">
        <v>16720</v>
      </c>
      <c r="H33" s="18">
        <f t="shared" si="3"/>
        <v>-4420</v>
      </c>
      <c r="I33" t="s">
        <v>120</v>
      </c>
      <c r="K33" s="20"/>
      <c r="L33" s="20">
        <v>44391</v>
      </c>
      <c r="M33" s="21" t="s">
        <v>73</v>
      </c>
      <c r="N33" s="21"/>
      <c r="O33" s="2">
        <v>41</v>
      </c>
      <c r="P33" s="22"/>
      <c r="Q33" s="28">
        <v>26000</v>
      </c>
      <c r="R33" s="2">
        <f>100.6*E33</f>
        <v>20220.599999999999</v>
      </c>
      <c r="S33" s="24">
        <f>-40*E33</f>
        <v>-8040</v>
      </c>
      <c r="T33" s="24">
        <f>X33*F33*0.0045</f>
        <v>5154.34822535885</v>
      </c>
      <c r="U33" s="2">
        <f>E33*5</f>
        <v>1005</v>
      </c>
      <c r="V33" s="2">
        <v>3600</v>
      </c>
      <c r="W33" s="2">
        <v>0.3</v>
      </c>
      <c r="X33" s="2">
        <f>((O33*F33)+Q33+R33+S33+U33)/G33</f>
        <v>54.182153110047842</v>
      </c>
      <c r="Y33" s="2">
        <f>((O33*F33)+Q33+R33+S33+T33+U33+V33)/G33+W33</f>
        <v>55.005738530224811</v>
      </c>
      <c r="Z33" s="3">
        <f>Y33*G33</f>
        <v>919695.94822535885</v>
      </c>
      <c r="AA33" s="27">
        <v>44405</v>
      </c>
      <c r="AB33" s="19">
        <v>45.97</v>
      </c>
      <c r="AC33" t="s">
        <v>27</v>
      </c>
    </row>
    <row r="34" spans="1:29" x14ac:dyDescent="0.25">
      <c r="A34" s="39"/>
      <c r="B34" s="16" t="s">
        <v>121</v>
      </c>
      <c r="C34" t="s">
        <v>122</v>
      </c>
      <c r="D34" s="21" t="s">
        <v>123</v>
      </c>
      <c r="E34" t="s">
        <v>124</v>
      </c>
      <c r="F34" s="17">
        <v>541.79999999999995</v>
      </c>
      <c r="G34" s="18">
        <v>541.79999999999995</v>
      </c>
      <c r="H34" s="18">
        <f t="shared" si="3"/>
        <v>0</v>
      </c>
      <c r="I34" t="s">
        <v>125</v>
      </c>
      <c r="K34" s="20"/>
      <c r="L34" s="20">
        <v>44390</v>
      </c>
      <c r="M34" s="21" t="s">
        <v>71</v>
      </c>
      <c r="N34" s="21"/>
      <c r="O34" s="2">
        <v>117</v>
      </c>
      <c r="P34" s="22"/>
      <c r="Q34" s="2"/>
      <c r="R34" s="2"/>
      <c r="S34" s="24"/>
      <c r="T34" s="24"/>
      <c r="U34" s="2"/>
      <c r="V34" s="2"/>
      <c r="W34" s="2"/>
      <c r="X34" s="2"/>
      <c r="Y34" s="2">
        <v>117</v>
      </c>
      <c r="Z34" s="3">
        <f>Y34*G34</f>
        <v>63390.599999999991</v>
      </c>
      <c r="AA34" s="27">
        <v>44400</v>
      </c>
      <c r="AB34">
        <v>46.16</v>
      </c>
      <c r="AC34" t="s">
        <v>27</v>
      </c>
    </row>
    <row r="35" spans="1:29" x14ac:dyDescent="0.25">
      <c r="A35" s="39"/>
      <c r="B35" s="16" t="s">
        <v>26</v>
      </c>
      <c r="C35" t="s">
        <v>27</v>
      </c>
      <c r="D35" t="s">
        <v>27</v>
      </c>
      <c r="E35" t="s">
        <v>28</v>
      </c>
      <c r="F35" s="17">
        <f>40729*0.4536</f>
        <v>18474.6744</v>
      </c>
      <c r="G35" s="18">
        <v>18470.04</v>
      </c>
      <c r="H35" s="18">
        <f t="shared" si="3"/>
        <v>-4.6343999999990046</v>
      </c>
      <c r="I35" t="s">
        <v>95</v>
      </c>
      <c r="J35" s="41" t="s">
        <v>45</v>
      </c>
      <c r="K35" s="20">
        <v>44390</v>
      </c>
      <c r="L35" s="20">
        <v>44391</v>
      </c>
      <c r="M35" s="21" t="s">
        <v>73</v>
      </c>
      <c r="N35" s="21" t="s">
        <v>96</v>
      </c>
      <c r="O35" s="2"/>
      <c r="P35" s="22">
        <f>0.872+0.115</f>
        <v>0.98699999999999999</v>
      </c>
      <c r="Q35" s="2">
        <v>26000</v>
      </c>
      <c r="R35" s="24">
        <v>10963</v>
      </c>
      <c r="S35" s="25">
        <v>19.91</v>
      </c>
      <c r="T35" s="24">
        <f>X35*F35*0.005</f>
        <v>4197.8349442628914</v>
      </c>
      <c r="V35" s="2">
        <v>0.12</v>
      </c>
      <c r="W35" s="2">
        <v>0.3</v>
      </c>
      <c r="X35" s="2">
        <f>IF(O35&gt;0,O35,((P35*2.2046*S35)+(Q35+R35)/G35)+V35)</f>
        <v>45.444210310552393</v>
      </c>
      <c r="Y35" s="2">
        <f>IF(O35&gt;0,O35+W35,((P35*2.2046*S35)+(Q35+R35+T35)/G35)+V35+W35)</f>
        <v>45.971488375151218</v>
      </c>
      <c r="Z35" s="3">
        <f>Y35*F35</f>
        <v>849308.27941430383</v>
      </c>
      <c r="AA35" s="27">
        <v>44390</v>
      </c>
      <c r="AB35" s="19">
        <v>46.45</v>
      </c>
      <c r="AC35" t="s">
        <v>42</v>
      </c>
    </row>
    <row r="36" spans="1:29" x14ac:dyDescent="0.25">
      <c r="A36" s="39"/>
      <c r="B36" s="16"/>
      <c r="D36" s="21"/>
      <c r="F36" s="17"/>
      <c r="G36" s="18"/>
      <c r="H36" s="18">
        <f t="shared" si="3"/>
        <v>0</v>
      </c>
      <c r="K36" s="20"/>
      <c r="L36" s="20">
        <v>44391</v>
      </c>
      <c r="M36" s="21" t="s">
        <v>73</v>
      </c>
      <c r="N36" s="21"/>
      <c r="O36" s="2"/>
      <c r="P36" s="22"/>
      <c r="Q36" s="2"/>
      <c r="R36" s="2"/>
      <c r="S36" s="25"/>
      <c r="T36" s="24"/>
      <c r="U36" s="2"/>
      <c r="V36" s="2"/>
      <c r="W36" s="2">
        <v>0.3</v>
      </c>
      <c r="X36" s="2" t="e">
        <f>((O36*F36)+Q36+R36+S36+U36)/G36</f>
        <v>#DIV/0!</v>
      </c>
      <c r="Y36" s="2" t="e">
        <f>((O36*F36)+Q36+R36+S36+T36+U36+V36)/G36+W36</f>
        <v>#DIV/0!</v>
      </c>
      <c r="Z36" s="3" t="e">
        <f>Y36*G36</f>
        <v>#DIV/0!</v>
      </c>
      <c r="AA36" s="27"/>
      <c r="AB36" s="19">
        <v>46.4</v>
      </c>
      <c r="AC36" t="s">
        <v>42</v>
      </c>
    </row>
    <row r="37" spans="1:29" x14ac:dyDescent="0.25">
      <c r="A37" s="39"/>
      <c r="B37" s="16" t="s">
        <v>26</v>
      </c>
      <c r="C37" t="s">
        <v>27</v>
      </c>
      <c r="D37" t="s">
        <v>27</v>
      </c>
      <c r="E37" t="s">
        <v>28</v>
      </c>
      <c r="F37" s="17">
        <f>40628*0.4536</f>
        <v>18428.860799999999</v>
      </c>
      <c r="G37" s="40">
        <v>18400</v>
      </c>
      <c r="H37" s="18">
        <f t="shared" si="3"/>
        <v>-28.860799999998562</v>
      </c>
      <c r="I37" t="s">
        <v>97</v>
      </c>
      <c r="J37" s="41" t="s">
        <v>30</v>
      </c>
      <c r="K37" s="20">
        <v>44391</v>
      </c>
      <c r="L37" s="20">
        <v>44392</v>
      </c>
      <c r="M37" s="21" t="s">
        <v>31</v>
      </c>
      <c r="N37" s="21" t="s">
        <v>98</v>
      </c>
      <c r="O37" s="2"/>
      <c r="P37" s="22">
        <f>0.8514+0.115</f>
        <v>0.96640000000000004</v>
      </c>
      <c r="Q37" s="2">
        <v>26000</v>
      </c>
      <c r="R37" s="24">
        <v>9663</v>
      </c>
      <c r="S37" s="42">
        <v>20.399999999999999</v>
      </c>
      <c r="T37" s="24">
        <f>X37*F37*0.005</f>
        <v>4194.4939974250256</v>
      </c>
      <c r="V37" s="2">
        <v>0.12</v>
      </c>
      <c r="W37" s="2">
        <v>0.3</v>
      </c>
      <c r="X37" s="2">
        <f>IF(O37&gt;0,O37,((P37*2.2046*S37)+(Q37+R37)/G37)+V37)</f>
        <v>45.520925497739128</v>
      </c>
      <c r="Y37" s="2">
        <f>IF(O37&gt;0,O37+W37,((P37*2.2046*S37)+(Q37+R37+T37)/G37)+V37+W37)</f>
        <v>46.048887128033961</v>
      </c>
      <c r="Z37" s="26">
        <f>Y37*F37</f>
        <v>848628.53087744955</v>
      </c>
      <c r="AA37" s="27">
        <v>44391</v>
      </c>
      <c r="AB37" s="37">
        <f>SUM(AB31:AB36)/6</f>
        <v>46.101666666666659</v>
      </c>
      <c r="AC37" t="s">
        <v>86</v>
      </c>
    </row>
    <row r="38" spans="1:29" x14ac:dyDescent="0.25">
      <c r="A38" s="39"/>
      <c r="B38" s="16" t="s">
        <v>33</v>
      </c>
      <c r="C38" t="s">
        <v>34</v>
      </c>
      <c r="D38" s="21"/>
      <c r="E38">
        <v>250</v>
      </c>
      <c r="F38" s="17"/>
      <c r="G38" s="18"/>
      <c r="H38" s="18">
        <f t="shared" si="3"/>
        <v>0</v>
      </c>
      <c r="K38" s="20"/>
      <c r="L38" s="20">
        <v>44392</v>
      </c>
      <c r="M38" s="21" t="s">
        <v>31</v>
      </c>
      <c r="N38" s="21"/>
      <c r="O38" s="2"/>
      <c r="P38" s="22"/>
      <c r="Q38" s="28">
        <v>26000</v>
      </c>
      <c r="R38" s="2">
        <f>100.6*E38</f>
        <v>25150</v>
      </c>
      <c r="S38" s="24">
        <f>-40*E38</f>
        <v>-10000</v>
      </c>
      <c r="T38" s="24" t="e">
        <f>X38*F38*0.0045</f>
        <v>#DIV/0!</v>
      </c>
      <c r="U38" s="2">
        <f>E38*5</f>
        <v>1250</v>
      </c>
      <c r="V38" s="2">
        <v>3600</v>
      </c>
      <c r="W38" s="2">
        <v>0.3</v>
      </c>
      <c r="X38" s="2" t="e">
        <f>((O38*F38)+Q38+R38+S38+U38)/G38</f>
        <v>#DIV/0!</v>
      </c>
      <c r="Y38" s="2" t="e">
        <f>((O38*F38)+Q38+R38+S38+T38+U38+V38)/G38+W38</f>
        <v>#DIV/0!</v>
      </c>
      <c r="Z38" s="3" t="e">
        <f>Y38*G38</f>
        <v>#DIV/0!</v>
      </c>
      <c r="AA38" s="27"/>
    </row>
    <row r="39" spans="1:29" x14ac:dyDescent="0.25">
      <c r="A39" s="39"/>
      <c r="B39" s="16" t="s">
        <v>26</v>
      </c>
      <c r="C39" t="s">
        <v>42</v>
      </c>
      <c r="D39" s="21" t="s">
        <v>42</v>
      </c>
      <c r="E39" t="s">
        <v>43</v>
      </c>
      <c r="F39" s="17">
        <f>39090*0.4536</f>
        <v>17731.223999999998</v>
      </c>
      <c r="G39" s="40">
        <v>17731</v>
      </c>
      <c r="H39" s="18">
        <f>G39-F39</f>
        <v>-0.22399999999834108</v>
      </c>
      <c r="I39" t="s">
        <v>99</v>
      </c>
      <c r="J39" s="41" t="s">
        <v>45</v>
      </c>
      <c r="K39" s="20">
        <v>44392</v>
      </c>
      <c r="L39" s="20">
        <v>44393</v>
      </c>
      <c r="M39" s="21" t="s">
        <v>46</v>
      </c>
      <c r="N39" s="21" t="s">
        <v>100</v>
      </c>
      <c r="O39" s="2"/>
      <c r="P39" s="22">
        <f>0.8861+0.11</f>
        <v>0.99609999999999999</v>
      </c>
      <c r="Q39" s="2">
        <v>26000</v>
      </c>
      <c r="R39" s="24">
        <v>11963</v>
      </c>
      <c r="S39" s="25">
        <v>19.920000000000002</v>
      </c>
      <c r="T39" s="24">
        <f>X39*F39*0.005</f>
        <v>4078.6614536386974</v>
      </c>
      <c r="V39" s="2">
        <v>0.12</v>
      </c>
      <c r="W39" s="2">
        <v>0.3</v>
      </c>
      <c r="X39" s="2">
        <f>IF(O39&gt;0,O39,((P39*2.2046*S39)+(Q39+R39)/G39)+V39)</f>
        <v>46.005413429312014</v>
      </c>
      <c r="Y39" s="2">
        <f>IF(O39&gt;0,O39+W39,((P39*2.2046*S39)+(Q39+R39+T39)/G39)+V39+W39)</f>
        <v>46.535443402445992</v>
      </c>
      <c r="Z39" s="26">
        <f>Y39*F39</f>
        <v>825130.37090809201</v>
      </c>
      <c r="AA39" s="27">
        <v>44386</v>
      </c>
    </row>
    <row r="40" spans="1:29" x14ac:dyDescent="0.25">
      <c r="A40" s="39"/>
      <c r="B40" s="16" t="s">
        <v>26</v>
      </c>
      <c r="C40" t="s">
        <v>42</v>
      </c>
      <c r="D40" s="21" t="s">
        <v>42</v>
      </c>
      <c r="E40" t="s">
        <v>43</v>
      </c>
      <c r="F40" s="17">
        <f>38792*0.4536</f>
        <v>17596.051200000002</v>
      </c>
      <c r="G40" s="40">
        <v>17590</v>
      </c>
      <c r="H40" s="18">
        <f>G40-F40</f>
        <v>-6.0512000000016997</v>
      </c>
      <c r="I40" t="s">
        <v>101</v>
      </c>
      <c r="J40" s="41" t="s">
        <v>30</v>
      </c>
      <c r="K40" s="20">
        <v>44392</v>
      </c>
      <c r="L40" s="20">
        <v>44393</v>
      </c>
      <c r="M40" s="21" t="s">
        <v>46</v>
      </c>
      <c r="N40" s="21" t="s">
        <v>100</v>
      </c>
      <c r="O40" s="2"/>
      <c r="P40" s="22">
        <f>0.8861+0.11</f>
        <v>0.99609999999999999</v>
      </c>
      <c r="Q40" s="2">
        <v>26000</v>
      </c>
      <c r="R40" s="24">
        <v>9663</v>
      </c>
      <c r="S40" s="25">
        <v>19.899999999999999</v>
      </c>
      <c r="T40" s="24">
        <f>X40*F40*0.005</f>
        <v>4033.7099594779652</v>
      </c>
      <c r="V40" s="2">
        <v>0.12</v>
      </c>
      <c r="W40" s="2">
        <v>0.3</v>
      </c>
      <c r="X40" s="2">
        <f>IF(O40&gt;0,O40,((P40*2.2046*S40)+(Q40+R40)/G40)+V40)</f>
        <v>45.847899777399654</v>
      </c>
      <c r="Y40" s="2">
        <f>IF(O40&gt;0,O40+W40,((P40*2.2046*S40)+(Q40+R40+T40)/G40)+V40+W40)</f>
        <v>46.377218137802039</v>
      </c>
      <c r="Z40" s="26">
        <f>Y40*F40</f>
        <v>816055.90486633347</v>
      </c>
      <c r="AA40" s="27">
        <v>44386</v>
      </c>
    </row>
    <row r="41" spans="1:29" x14ac:dyDescent="0.25">
      <c r="A41" s="39"/>
      <c r="B41" t="s">
        <v>33</v>
      </c>
      <c r="C41" t="s">
        <v>34</v>
      </c>
      <c r="D41" s="21"/>
      <c r="E41">
        <v>250</v>
      </c>
      <c r="F41" s="17"/>
      <c r="G41" s="18"/>
      <c r="H41" s="18">
        <f>G41-F41</f>
        <v>0</v>
      </c>
      <c r="K41" s="20"/>
      <c r="L41" s="20">
        <v>44393</v>
      </c>
      <c r="M41" s="21" t="s">
        <v>46</v>
      </c>
      <c r="N41" s="21"/>
      <c r="O41" s="2"/>
      <c r="P41" s="22"/>
      <c r="Q41" s="2"/>
      <c r="R41" s="2"/>
      <c r="S41" s="24"/>
      <c r="T41" s="24"/>
      <c r="U41" s="2">
        <f>E41*5</f>
        <v>1250</v>
      </c>
      <c r="V41" s="2"/>
      <c r="W41" s="2">
        <v>0.3</v>
      </c>
      <c r="X41" s="2" t="e">
        <f>((O41*F41)+Q41+R41+S41+U41)/G41</f>
        <v>#DIV/0!</v>
      </c>
      <c r="Y41" s="2" t="e">
        <f>((O41*F41)+Q41+R41+S41+T41+U41+V41)/G41+W41</f>
        <v>#DIV/0!</v>
      </c>
      <c r="Z41" s="3" t="e">
        <f>Y41*G41</f>
        <v>#DIV/0!</v>
      </c>
      <c r="AA41" s="27"/>
    </row>
    <row r="42" spans="1:29" x14ac:dyDescent="0.25">
      <c r="A42" s="39"/>
      <c r="B42" s="16"/>
      <c r="D42" s="21"/>
      <c r="F42" s="17"/>
      <c r="G42" s="18"/>
      <c r="H42" s="18">
        <f>G42-F42</f>
        <v>0</v>
      </c>
      <c r="I42" s="21"/>
      <c r="K42" s="20"/>
      <c r="L42" s="20">
        <v>44394</v>
      </c>
      <c r="M42" s="21" t="s">
        <v>52</v>
      </c>
      <c r="O42" s="2"/>
      <c r="P42" s="22"/>
      <c r="Q42" s="2"/>
      <c r="R42" s="2"/>
      <c r="S42" s="24"/>
      <c r="T42" s="24"/>
      <c r="U42" s="2"/>
      <c r="V42" s="2"/>
      <c r="W42" s="2"/>
      <c r="X42" s="2"/>
      <c r="Y42" s="2" t="e">
        <f>((O42*F42)+Q42+R42+S42+T42+U42+V42)/G42+W42</f>
        <v>#DIV/0!</v>
      </c>
      <c r="Z42" s="3" t="e">
        <f>Y42*G42</f>
        <v>#DIV/0!</v>
      </c>
      <c r="AA42" s="27"/>
    </row>
    <row r="43" spans="1:29" ht="15.75" thickBot="1" x14ac:dyDescent="0.3">
      <c r="A43" s="44"/>
      <c r="B43" s="31"/>
      <c r="C43" s="4"/>
      <c r="D43" s="4"/>
      <c r="E43" s="4"/>
      <c r="F43" s="32"/>
      <c r="G43" s="32"/>
      <c r="H43" s="32"/>
      <c r="I43" s="7"/>
      <c r="J43" s="4"/>
      <c r="K43" s="8"/>
      <c r="L43" s="8"/>
      <c r="M43" s="4"/>
      <c r="N43" s="4"/>
      <c r="O43" s="9"/>
      <c r="P43" s="10"/>
      <c r="Q43" s="9"/>
      <c r="R43" s="9"/>
      <c r="S43" s="9"/>
      <c r="T43" s="9"/>
      <c r="U43" s="9"/>
      <c r="V43" s="9"/>
      <c r="W43" s="9"/>
      <c r="X43" s="9"/>
      <c r="Y43" s="9"/>
      <c r="Z43" s="13"/>
      <c r="AA43" s="14"/>
    </row>
    <row r="44" spans="1:29" x14ac:dyDescent="0.25">
      <c r="A44" s="45"/>
      <c r="B44" s="16" t="s">
        <v>33</v>
      </c>
      <c r="C44" t="s">
        <v>34</v>
      </c>
      <c r="D44" s="21"/>
      <c r="E44">
        <v>250</v>
      </c>
      <c r="F44" s="17"/>
      <c r="G44" s="18"/>
      <c r="H44" s="18">
        <f t="shared" ref="H44:H52" si="4">G44-F44</f>
        <v>0</v>
      </c>
      <c r="K44" s="20"/>
      <c r="L44" s="20">
        <v>44395</v>
      </c>
      <c r="M44" s="21" t="s">
        <v>57</v>
      </c>
      <c r="N44" s="21"/>
      <c r="O44" s="2"/>
      <c r="P44" s="22"/>
      <c r="Q44" s="28">
        <v>26000</v>
      </c>
      <c r="R44" s="2">
        <f>100.6*E44</f>
        <v>25150</v>
      </c>
      <c r="S44" s="24">
        <f>-40*E44</f>
        <v>-10000</v>
      </c>
      <c r="T44" s="24" t="e">
        <f>X44*F44*0.0045</f>
        <v>#DIV/0!</v>
      </c>
      <c r="U44" s="2">
        <f>E44*5</f>
        <v>1250</v>
      </c>
      <c r="V44" s="2">
        <v>3600</v>
      </c>
      <c r="W44" s="2">
        <v>0.3</v>
      </c>
      <c r="X44" s="2" t="e">
        <f>((O44*F44)+Q44+R44+S44+U44)/G44</f>
        <v>#DIV/0!</v>
      </c>
      <c r="Y44" s="2" t="e">
        <f>((O44*F44)+Q44+R44+S44+T44+U44+V44)/G44+W44</f>
        <v>#DIV/0!</v>
      </c>
      <c r="Z44" s="3" t="e">
        <f>Y44*G44</f>
        <v>#DIV/0!</v>
      </c>
      <c r="AA44" s="27"/>
    </row>
    <row r="45" spans="1:29" x14ac:dyDescent="0.25">
      <c r="A45" s="45"/>
      <c r="D45" s="21"/>
      <c r="F45" s="17"/>
      <c r="G45" s="18"/>
      <c r="H45" s="18">
        <f t="shared" si="4"/>
        <v>0</v>
      </c>
      <c r="I45" s="36"/>
      <c r="K45" s="20"/>
      <c r="L45" s="20">
        <v>44396</v>
      </c>
      <c r="M45" s="21" t="s">
        <v>62</v>
      </c>
      <c r="N45" s="21"/>
      <c r="O45" s="2"/>
      <c r="P45" s="35"/>
      <c r="Q45" s="2"/>
      <c r="R45" s="2"/>
      <c r="S45" s="24"/>
      <c r="T45" s="24"/>
      <c r="U45" s="2"/>
      <c r="V45" s="2"/>
      <c r="W45" s="2"/>
      <c r="X45" s="2" t="e">
        <f>IF(O45&gt;0,O45,((P45*2.2046*S45)+(Q45+R45)/G45)+V45)</f>
        <v>#DIV/0!</v>
      </c>
      <c r="Y45" s="2" t="e">
        <f>IF(O45&gt;0,O45+W45,((P45*2.2046*S45)+(Q45+R45+T45)/G45)+V45+W45)</f>
        <v>#DIV/0!</v>
      </c>
      <c r="Z45" s="26" t="e">
        <f>Y45*F45</f>
        <v>#DIV/0!</v>
      </c>
      <c r="AA45" s="27"/>
    </row>
    <row r="46" spans="1:29" x14ac:dyDescent="0.25">
      <c r="A46" s="45"/>
      <c r="B46" s="16" t="s">
        <v>26</v>
      </c>
      <c r="C46" t="s">
        <v>42</v>
      </c>
      <c r="D46" s="21" t="s">
        <v>42</v>
      </c>
      <c r="E46" t="s">
        <v>43</v>
      </c>
      <c r="F46" s="17">
        <v>18500</v>
      </c>
      <c r="G46" s="40">
        <v>18500</v>
      </c>
      <c r="H46" s="18">
        <f t="shared" si="4"/>
        <v>0</v>
      </c>
      <c r="I46" t="s">
        <v>102</v>
      </c>
      <c r="J46" s="41"/>
      <c r="K46" s="20">
        <v>44396</v>
      </c>
      <c r="L46" s="20">
        <v>44397</v>
      </c>
      <c r="M46" s="21" t="s">
        <v>71</v>
      </c>
      <c r="N46" s="21" t="s">
        <v>103</v>
      </c>
      <c r="O46" s="2"/>
      <c r="P46" s="22">
        <f>0.9587+0.11</f>
        <v>1.0687</v>
      </c>
      <c r="Q46" s="2">
        <v>26000</v>
      </c>
      <c r="R46" s="43">
        <v>12000</v>
      </c>
      <c r="S46" s="25">
        <v>20.07</v>
      </c>
      <c r="T46" s="24">
        <f>X46*F46*0.005</f>
        <v>4575.0590997295003</v>
      </c>
      <c r="V46" s="2">
        <v>0.12</v>
      </c>
      <c r="W46" s="2">
        <v>0.3</v>
      </c>
      <c r="X46" s="2">
        <f>IF(O46&gt;0,O46,((P46*2.2046*S46)+(Q46+R46)/G46)+V46)</f>
        <v>49.460098375454052</v>
      </c>
      <c r="Y46" s="2">
        <f>IF(O46&gt;0,O46+W46,((P46*2.2046*S46)+(Q46+R46+T46)/G46)+V46+W46)</f>
        <v>50.007398867331318</v>
      </c>
      <c r="Z46" s="26">
        <f>Y46*F46</f>
        <v>925136.87904562941</v>
      </c>
      <c r="AA46" s="27">
        <v>44390</v>
      </c>
      <c r="AB46" s="19"/>
      <c r="AC46" t="s">
        <v>42</v>
      </c>
    </row>
    <row r="47" spans="1:29" x14ac:dyDescent="0.25">
      <c r="A47" s="45"/>
      <c r="B47" s="16" t="s">
        <v>26</v>
      </c>
      <c r="C47" t="s">
        <v>42</v>
      </c>
      <c r="D47" s="21" t="s">
        <v>42</v>
      </c>
      <c r="E47" t="s">
        <v>43</v>
      </c>
      <c r="F47" s="17">
        <v>18500</v>
      </c>
      <c r="G47" s="40">
        <v>18500</v>
      </c>
      <c r="H47" s="18">
        <f t="shared" si="4"/>
        <v>0</v>
      </c>
      <c r="I47" t="s">
        <v>104</v>
      </c>
      <c r="J47" s="41"/>
      <c r="K47" s="20">
        <v>44396</v>
      </c>
      <c r="L47" s="20">
        <v>44397</v>
      </c>
      <c r="M47" s="21" t="s">
        <v>71</v>
      </c>
      <c r="N47" s="21" t="s">
        <v>103</v>
      </c>
      <c r="O47" s="2"/>
      <c r="P47" s="22"/>
      <c r="Q47" s="2">
        <v>26000</v>
      </c>
      <c r="R47" s="43">
        <v>12000</v>
      </c>
      <c r="S47" s="25">
        <v>20.07</v>
      </c>
      <c r="T47" s="24">
        <f>X47*F47*0.005</f>
        <v>201.1</v>
      </c>
      <c r="V47" s="2">
        <v>0.12</v>
      </c>
      <c r="W47" s="2">
        <v>0.3</v>
      </c>
      <c r="X47" s="2">
        <f>IF(O47&gt;0,O47,((P47*2.2046*S47)+(Q47+R47)/G47)+V47)</f>
        <v>2.1740540540540541</v>
      </c>
      <c r="Y47" s="2">
        <f>IF(O47&gt;0,O47+W47,((P47*2.2046*S47)+(Q47+R47+T47)/G47)+V47+W47)</f>
        <v>2.4849243243243242</v>
      </c>
      <c r="Z47" s="26">
        <f>Y47*F47</f>
        <v>45971.1</v>
      </c>
      <c r="AA47" s="27">
        <v>44390</v>
      </c>
      <c r="AB47" s="19"/>
      <c r="AC47" t="s">
        <v>42</v>
      </c>
    </row>
    <row r="48" spans="1:29" x14ac:dyDescent="0.25">
      <c r="A48" s="45"/>
      <c r="B48" s="16" t="s">
        <v>33</v>
      </c>
      <c r="C48" t="s">
        <v>34</v>
      </c>
      <c r="D48" s="21"/>
      <c r="E48">
        <v>200</v>
      </c>
      <c r="F48" s="17"/>
      <c r="G48" s="18"/>
      <c r="H48" s="18">
        <f t="shared" si="4"/>
        <v>0</v>
      </c>
      <c r="K48" s="20"/>
      <c r="L48" s="20">
        <v>44397</v>
      </c>
      <c r="M48" s="21" t="s">
        <v>71</v>
      </c>
      <c r="N48" s="21"/>
      <c r="O48" s="2"/>
      <c r="P48" s="22"/>
      <c r="Q48" s="28">
        <v>26000</v>
      </c>
      <c r="R48" s="2">
        <f>100.6*E48</f>
        <v>20120</v>
      </c>
      <c r="S48" s="24">
        <f>-40*E48</f>
        <v>-8000</v>
      </c>
      <c r="T48" s="24" t="e">
        <f>X48*F48*0.0045</f>
        <v>#DIV/0!</v>
      </c>
      <c r="U48" s="2">
        <f>E48*5</f>
        <v>1000</v>
      </c>
      <c r="V48" s="2">
        <v>3600</v>
      </c>
      <c r="W48" s="2">
        <v>0.3</v>
      </c>
      <c r="X48" s="2" t="e">
        <f>((O48*F48)+Q48+R48+S48+U48)/G48</f>
        <v>#DIV/0!</v>
      </c>
      <c r="Y48" s="2" t="e">
        <f>((O48*F48)+Q48+R48+S48+T48+U48+V48)/G48+W48</f>
        <v>#DIV/0!</v>
      </c>
      <c r="Z48" s="3" t="e">
        <f>Y48*G48</f>
        <v>#DIV/0!</v>
      </c>
      <c r="AA48" s="27"/>
      <c r="AC48" t="s">
        <v>27</v>
      </c>
    </row>
    <row r="49" spans="1:29" x14ac:dyDescent="0.25">
      <c r="A49" s="45"/>
      <c r="B49" s="16" t="s">
        <v>26</v>
      </c>
      <c r="C49" t="s">
        <v>27</v>
      </c>
      <c r="D49" t="s">
        <v>27</v>
      </c>
      <c r="E49" t="s">
        <v>28</v>
      </c>
      <c r="F49" s="17">
        <v>18500</v>
      </c>
      <c r="G49" s="40">
        <v>18500</v>
      </c>
      <c r="H49" s="18">
        <f t="shared" si="4"/>
        <v>0</v>
      </c>
      <c r="I49" t="s">
        <v>105</v>
      </c>
      <c r="J49" s="41"/>
      <c r="K49" s="20">
        <v>44397</v>
      </c>
      <c r="L49" s="20">
        <v>44398</v>
      </c>
      <c r="M49" s="21" t="s">
        <v>73</v>
      </c>
      <c r="N49" s="21" t="s">
        <v>106</v>
      </c>
      <c r="O49" s="2"/>
      <c r="P49" s="22"/>
      <c r="Q49" s="2">
        <v>26000</v>
      </c>
      <c r="R49" s="43">
        <v>12000</v>
      </c>
      <c r="S49" s="42">
        <v>20.5</v>
      </c>
      <c r="T49" s="24">
        <f>X49*F49*0.005</f>
        <v>201.1</v>
      </c>
      <c r="V49" s="2">
        <v>0.12</v>
      </c>
      <c r="W49" s="2">
        <v>0.3</v>
      </c>
      <c r="X49" s="2">
        <f>IF(O49&gt;0,O49,((P49*2.2046*S49)+(Q49+R49)/G49)+V49)</f>
        <v>2.1740540540540541</v>
      </c>
      <c r="Y49" s="2">
        <f>IF(O49&gt;0,O49+W49,((P49*2.2046*S49)+(Q49+R49+T49)/G49)+V49+W49)</f>
        <v>2.4849243243243242</v>
      </c>
      <c r="Z49" s="3">
        <f>Y49*F49</f>
        <v>45971.1</v>
      </c>
      <c r="AA49" s="27"/>
      <c r="AC49" t="s">
        <v>27</v>
      </c>
    </row>
    <row r="50" spans="1:29" x14ac:dyDescent="0.25">
      <c r="A50" s="45"/>
      <c r="B50" s="16"/>
      <c r="D50" s="21"/>
      <c r="F50" s="17"/>
      <c r="G50" s="18"/>
      <c r="H50" s="18">
        <f t="shared" si="4"/>
        <v>0</v>
      </c>
      <c r="K50" s="20"/>
      <c r="L50" s="20">
        <v>44398</v>
      </c>
      <c r="M50" s="21" t="s">
        <v>73</v>
      </c>
      <c r="N50" s="21"/>
      <c r="O50" s="2"/>
      <c r="P50" s="22"/>
      <c r="Q50" s="2"/>
      <c r="R50" s="2"/>
      <c r="S50" s="25"/>
      <c r="T50" s="24"/>
      <c r="U50" s="2"/>
      <c r="V50" s="2"/>
      <c r="W50" s="2">
        <v>0.3</v>
      </c>
      <c r="X50" s="2" t="e">
        <f>((O50*F50)+Q50+R50+S50+U50)/G50</f>
        <v>#DIV/0!</v>
      </c>
      <c r="Y50" s="2" t="e">
        <f>((O50*F50)+Q50+R50+S50+T50+U50+V50)/G50+W50</f>
        <v>#DIV/0!</v>
      </c>
      <c r="Z50" s="3" t="e">
        <f>Y50*G50</f>
        <v>#DIV/0!</v>
      </c>
      <c r="AA50" s="27"/>
      <c r="AB50" s="19"/>
      <c r="AC50" t="s">
        <v>42</v>
      </c>
    </row>
    <row r="51" spans="1:29" x14ac:dyDescent="0.25">
      <c r="A51" s="45"/>
      <c r="B51" s="16" t="s">
        <v>26</v>
      </c>
      <c r="C51" t="s">
        <v>27</v>
      </c>
      <c r="D51" t="s">
        <v>27</v>
      </c>
      <c r="E51" t="s">
        <v>28</v>
      </c>
      <c r="F51" s="17">
        <v>18500</v>
      </c>
      <c r="G51" s="40">
        <v>18500</v>
      </c>
      <c r="H51" s="18">
        <f t="shared" si="4"/>
        <v>0</v>
      </c>
      <c r="I51" t="s">
        <v>107</v>
      </c>
      <c r="J51" s="41"/>
      <c r="K51" s="20">
        <v>44398</v>
      </c>
      <c r="L51" s="20">
        <v>44399</v>
      </c>
      <c r="M51" s="21" t="s">
        <v>31</v>
      </c>
      <c r="N51" s="21" t="s">
        <v>108</v>
      </c>
      <c r="O51" s="2"/>
      <c r="P51" s="22"/>
      <c r="Q51" s="2">
        <v>26000</v>
      </c>
      <c r="R51" s="43">
        <v>12000</v>
      </c>
      <c r="S51" s="42">
        <v>20.5</v>
      </c>
      <c r="T51" s="24">
        <f>X51*F51*0.005</f>
        <v>201.1</v>
      </c>
      <c r="V51" s="2">
        <v>0.12</v>
      </c>
      <c r="W51" s="2">
        <v>0.3</v>
      </c>
      <c r="X51" s="2">
        <f>IF(O51&gt;0,O51,((P51*2.2046*S51)+(Q51+R51)/G51)+V51)</f>
        <v>2.1740540540540541</v>
      </c>
      <c r="Y51" s="2">
        <f>IF(O51&gt;0,O51+W51,((P51*2.2046*S51)+(Q51+R51+T51)/G51)+V51+W51)</f>
        <v>2.4849243243243242</v>
      </c>
      <c r="Z51" s="26">
        <f>Y51*F51</f>
        <v>45971.1</v>
      </c>
      <c r="AA51" s="27"/>
      <c r="AB51" s="19"/>
      <c r="AC51" t="s">
        <v>42</v>
      </c>
    </row>
    <row r="52" spans="1:29" x14ac:dyDescent="0.25">
      <c r="A52" s="45"/>
      <c r="B52" s="16" t="s">
        <v>33</v>
      </c>
      <c r="C52" t="s">
        <v>34</v>
      </c>
      <c r="D52" s="21"/>
      <c r="E52">
        <v>250</v>
      </c>
      <c r="F52" s="17"/>
      <c r="G52" s="18"/>
      <c r="H52" s="18">
        <f t="shared" si="4"/>
        <v>0</v>
      </c>
      <c r="K52" s="20"/>
      <c r="L52" s="20">
        <v>44399</v>
      </c>
      <c r="M52" s="21" t="s">
        <v>31</v>
      </c>
      <c r="N52" s="21"/>
      <c r="O52" s="2"/>
      <c r="P52" s="22"/>
      <c r="Q52" s="28">
        <v>26000</v>
      </c>
      <c r="R52" s="2">
        <f>100.6*E52</f>
        <v>25150</v>
      </c>
      <c r="S52" s="24">
        <f>-40*E52</f>
        <v>-10000</v>
      </c>
      <c r="T52" s="24" t="e">
        <f>X52*F52*0.0045</f>
        <v>#DIV/0!</v>
      </c>
      <c r="U52" s="2">
        <f>E52*5</f>
        <v>1250</v>
      </c>
      <c r="V52" s="2">
        <v>3600</v>
      </c>
      <c r="W52" s="2">
        <v>0.3</v>
      </c>
      <c r="X52" s="2" t="e">
        <f>((O52*F52)+Q52+R52+S52+U52)/G52</f>
        <v>#DIV/0!</v>
      </c>
      <c r="Y52" s="2" t="e">
        <f>((O52*F52)+Q52+R52+S52+T52+U52+V52)/G52+W52</f>
        <v>#DIV/0!</v>
      </c>
      <c r="Z52" s="3" t="e">
        <f>Y52*G52</f>
        <v>#DIV/0!</v>
      </c>
      <c r="AA52" s="27"/>
      <c r="AB52" s="37"/>
      <c r="AC52" t="s">
        <v>86</v>
      </c>
    </row>
    <row r="53" spans="1:29" x14ac:dyDescent="0.25">
      <c r="A53" s="45"/>
      <c r="B53" s="16" t="s">
        <v>26</v>
      </c>
      <c r="C53" t="s">
        <v>42</v>
      </c>
      <c r="D53" s="21" t="s">
        <v>42</v>
      </c>
      <c r="E53" t="s">
        <v>43</v>
      </c>
      <c r="F53" s="17">
        <v>18500</v>
      </c>
      <c r="G53" s="40">
        <v>18500</v>
      </c>
      <c r="H53" s="18">
        <f>G53-F53</f>
        <v>0</v>
      </c>
      <c r="I53" t="s">
        <v>109</v>
      </c>
      <c r="J53" s="41"/>
      <c r="K53" s="20">
        <v>44399</v>
      </c>
      <c r="L53" s="20">
        <v>44400</v>
      </c>
      <c r="M53" s="21" t="s">
        <v>46</v>
      </c>
      <c r="N53" s="21" t="s">
        <v>110</v>
      </c>
      <c r="O53" s="2"/>
      <c r="P53" s="22"/>
      <c r="Q53" s="2">
        <v>26000</v>
      </c>
      <c r="R53" s="43">
        <v>12000</v>
      </c>
      <c r="S53" s="42">
        <v>20.5</v>
      </c>
      <c r="T53" s="24">
        <f>X53*F53*0.005</f>
        <v>201.1</v>
      </c>
      <c r="V53" s="2">
        <v>0.12</v>
      </c>
      <c r="W53" s="2">
        <v>0.3</v>
      </c>
      <c r="X53" s="2">
        <f>IF(O53&gt;0,O53,((P53*2.2046*S53)+(Q53+R53)/G53)+V53)</f>
        <v>2.1740540540540541</v>
      </c>
      <c r="Y53" s="2">
        <f>IF(O53&gt;0,O53+W53,((P53*2.2046*S53)+(Q53+R53+T53)/G53)+V53+W53)</f>
        <v>2.4849243243243242</v>
      </c>
      <c r="Z53" s="26">
        <f>Y53*F53</f>
        <v>45971.1</v>
      </c>
      <c r="AA53" s="27"/>
    </row>
    <row r="54" spans="1:29" x14ac:dyDescent="0.25">
      <c r="A54" s="45"/>
      <c r="B54" s="16" t="s">
        <v>26</v>
      </c>
      <c r="C54" t="s">
        <v>42</v>
      </c>
      <c r="D54" s="21" t="s">
        <v>42</v>
      </c>
      <c r="E54" t="s">
        <v>43</v>
      </c>
      <c r="F54" s="17">
        <v>18500</v>
      </c>
      <c r="G54" s="40">
        <v>18500</v>
      </c>
      <c r="H54" s="18">
        <f>G54-F54</f>
        <v>0</v>
      </c>
      <c r="I54" t="s">
        <v>111</v>
      </c>
      <c r="J54" s="41"/>
      <c r="K54" s="20">
        <v>44399</v>
      </c>
      <c r="L54" s="20">
        <v>44400</v>
      </c>
      <c r="M54" s="21" t="s">
        <v>46</v>
      </c>
      <c r="N54" s="21" t="s">
        <v>110</v>
      </c>
      <c r="O54" s="2"/>
      <c r="P54" s="22"/>
      <c r="Q54" s="2">
        <v>26000</v>
      </c>
      <c r="R54" s="43">
        <v>12000</v>
      </c>
      <c r="S54" s="42">
        <v>20.5</v>
      </c>
      <c r="T54" s="24">
        <f>X54*F54*0.005</f>
        <v>201.1</v>
      </c>
      <c r="V54" s="2">
        <v>0.12</v>
      </c>
      <c r="W54" s="2">
        <v>0.3</v>
      </c>
      <c r="X54" s="2">
        <f>IF(O54&gt;0,O54,((P54*2.2046*S54)+(Q54+R54)/G54)+V54)</f>
        <v>2.1740540540540541</v>
      </c>
      <c r="Y54" s="2">
        <f>IF(O54&gt;0,O54+W54,((P54*2.2046*S54)+(Q54+R54+T54)/G54)+V54+W54)</f>
        <v>2.4849243243243242</v>
      </c>
      <c r="Z54" s="26">
        <f>Y54*F54</f>
        <v>45971.1</v>
      </c>
      <c r="AA54" s="27"/>
    </row>
    <row r="55" spans="1:29" x14ac:dyDescent="0.25">
      <c r="A55" s="45"/>
      <c r="B55" t="s">
        <v>33</v>
      </c>
      <c r="C55" t="s">
        <v>34</v>
      </c>
      <c r="D55" s="21"/>
      <c r="E55">
        <v>250</v>
      </c>
      <c r="F55" s="17"/>
      <c r="G55" s="18"/>
      <c r="H55" s="18">
        <f>G55-F55</f>
        <v>0</v>
      </c>
      <c r="K55" s="20"/>
      <c r="L55" s="20">
        <v>44400</v>
      </c>
      <c r="M55" s="21" t="s">
        <v>46</v>
      </c>
      <c r="N55" s="21"/>
      <c r="O55" s="2"/>
      <c r="P55" s="22"/>
      <c r="Q55" s="2"/>
      <c r="R55" s="2"/>
      <c r="S55" s="24"/>
      <c r="T55" s="24"/>
      <c r="U55" s="2">
        <f>E55*5</f>
        <v>1250</v>
      </c>
      <c r="V55" s="2"/>
      <c r="W55" s="2">
        <v>0.3</v>
      </c>
      <c r="X55" s="2" t="e">
        <f>((O55*F55)+Q55+R55+S55+U55)/G55</f>
        <v>#DIV/0!</v>
      </c>
      <c r="Y55" s="2" t="e">
        <f>((O55*F55)+Q55+R55+S55+T55+U55+V55)/G55+W55</f>
        <v>#DIV/0!</v>
      </c>
      <c r="Z55" s="3" t="e">
        <f>Y55*G55</f>
        <v>#DIV/0!</v>
      </c>
      <c r="AA55" s="27"/>
    </row>
    <row r="56" spans="1:29" x14ac:dyDescent="0.25">
      <c r="A56" s="45"/>
      <c r="B56" s="16"/>
      <c r="D56" s="21"/>
      <c r="F56" s="17"/>
      <c r="G56" s="18"/>
      <c r="H56" s="18"/>
      <c r="I56" s="21"/>
      <c r="K56" s="20"/>
      <c r="L56" s="20">
        <v>44401</v>
      </c>
      <c r="M56" s="21" t="s">
        <v>52</v>
      </c>
      <c r="O56" s="2"/>
      <c r="P56" s="22"/>
      <c r="Q56" s="2"/>
      <c r="R56" s="2"/>
      <c r="S56" s="24"/>
      <c r="T56" s="24"/>
      <c r="U56" s="2"/>
      <c r="V56" s="2"/>
      <c r="W56" s="2"/>
      <c r="X56" s="2"/>
      <c r="Y56" s="2"/>
      <c r="Z56" s="26"/>
      <c r="AA56" s="27"/>
    </row>
    <row r="57" spans="1:29" ht="15.75" thickBot="1" x14ac:dyDescent="0.3">
      <c r="A57" s="46"/>
      <c r="B57" s="31"/>
      <c r="C57" s="4"/>
      <c r="D57" s="4"/>
      <c r="E57" s="4"/>
      <c r="F57" s="32"/>
      <c r="G57" s="32"/>
      <c r="H57" s="32"/>
      <c r="I57" s="7"/>
      <c r="J57" s="4"/>
      <c r="K57" s="8"/>
      <c r="L57" s="8"/>
      <c r="M57" s="4"/>
      <c r="N57" s="4"/>
      <c r="O57" s="9"/>
      <c r="P57" s="10"/>
      <c r="Q57" s="9"/>
      <c r="R57" s="9"/>
      <c r="S57" s="9"/>
      <c r="T57" s="9"/>
      <c r="U57" s="9"/>
      <c r="V57" s="9"/>
      <c r="W57" s="9"/>
      <c r="X57" s="9"/>
      <c r="Y57" s="9"/>
      <c r="Z57" s="13"/>
      <c r="AA57" s="14"/>
    </row>
    <row r="58" spans="1:29" x14ac:dyDescent="0.25">
      <c r="A58" s="45"/>
      <c r="B58" s="16" t="s">
        <v>33</v>
      </c>
      <c r="C58" t="s">
        <v>34</v>
      </c>
      <c r="D58" s="21"/>
      <c r="E58">
        <v>250</v>
      </c>
      <c r="F58" s="17"/>
      <c r="G58" s="18"/>
      <c r="H58" s="18">
        <f t="shared" ref="H58:H66" si="5">G58-F58</f>
        <v>0</v>
      </c>
      <c r="K58" s="20"/>
      <c r="L58" s="20">
        <v>44381</v>
      </c>
      <c r="M58" s="21" t="s">
        <v>57</v>
      </c>
      <c r="N58" s="21"/>
      <c r="O58" s="2"/>
      <c r="P58" s="22"/>
      <c r="Q58" s="28">
        <v>26000</v>
      </c>
      <c r="R58" s="2">
        <f>100.6*E58</f>
        <v>25150</v>
      </c>
      <c r="S58" s="24">
        <f>-40*E58</f>
        <v>-10000</v>
      </c>
      <c r="T58" s="24" t="e">
        <f>X58*F58*0.0045</f>
        <v>#DIV/0!</v>
      </c>
      <c r="U58" s="2">
        <f>E58*5</f>
        <v>1250</v>
      </c>
      <c r="V58" s="2">
        <v>3600</v>
      </c>
      <c r="W58" s="2">
        <v>0.3</v>
      </c>
      <c r="X58" s="2" t="e">
        <f>((O58*F58)+Q58+R58+S58+U58)/G58</f>
        <v>#DIV/0!</v>
      </c>
      <c r="Y58" s="2" t="e">
        <f>((O58*F58)+Q58+R58+S58+T58+U58+V58)/G58+W58</f>
        <v>#DIV/0!</v>
      </c>
      <c r="Z58" s="3" t="e">
        <f>Y58*G58</f>
        <v>#DIV/0!</v>
      </c>
      <c r="AA58" s="27"/>
    </row>
    <row r="59" spans="1:29" x14ac:dyDescent="0.25">
      <c r="A59" s="45"/>
      <c r="D59" s="21"/>
      <c r="F59" s="17"/>
      <c r="G59" s="18"/>
      <c r="H59" s="18">
        <f t="shared" si="5"/>
        <v>0</v>
      </c>
      <c r="I59" s="36"/>
      <c r="K59" s="20"/>
      <c r="L59" s="20">
        <v>44382</v>
      </c>
      <c r="M59" s="21" t="s">
        <v>62</v>
      </c>
      <c r="N59" s="21"/>
      <c r="O59" s="2"/>
      <c r="P59" s="35"/>
      <c r="Q59" s="2"/>
      <c r="R59" s="2"/>
      <c r="S59" s="24"/>
      <c r="T59" s="24"/>
      <c r="U59" s="2"/>
      <c r="V59" s="2"/>
      <c r="W59" s="2"/>
      <c r="X59" s="2" t="e">
        <f>IF(O59&gt;0,O59,((P59*2.2046*S59)+(Q59+R59)/G59)+V59)</f>
        <v>#DIV/0!</v>
      </c>
      <c r="Y59" s="2" t="e">
        <f>IF(O59&gt;0,O59+W59,((P59*2.2046*S59)+(Q59+R59+T59)/G59)+V59+W59)</f>
        <v>#DIV/0!</v>
      </c>
      <c r="Z59" s="26" t="e">
        <f>Y59*F59</f>
        <v>#DIV/0!</v>
      </c>
      <c r="AA59" s="27"/>
    </row>
    <row r="60" spans="1:29" x14ac:dyDescent="0.25">
      <c r="A60" s="45"/>
      <c r="B60" s="16" t="s">
        <v>26</v>
      </c>
      <c r="C60" t="s">
        <v>42</v>
      </c>
      <c r="D60" s="21" t="s">
        <v>42</v>
      </c>
      <c r="E60" t="s">
        <v>43</v>
      </c>
      <c r="F60" s="17">
        <v>18500</v>
      </c>
      <c r="G60" s="40">
        <v>18500</v>
      </c>
      <c r="H60" s="18">
        <f t="shared" si="5"/>
        <v>0</v>
      </c>
      <c r="J60" s="41"/>
      <c r="K60" s="20">
        <v>44375</v>
      </c>
      <c r="L60" s="20">
        <v>44376</v>
      </c>
      <c r="M60" s="21" t="s">
        <v>71</v>
      </c>
      <c r="N60" s="21" t="s">
        <v>112</v>
      </c>
      <c r="O60" s="2"/>
      <c r="P60" s="22"/>
      <c r="Q60" s="2">
        <v>26000</v>
      </c>
      <c r="R60" s="43">
        <v>12000</v>
      </c>
      <c r="S60" s="42">
        <v>20.5</v>
      </c>
      <c r="T60" s="24">
        <f>X60*F60*0.005</f>
        <v>201.1</v>
      </c>
      <c r="V60" s="2">
        <v>0.12</v>
      </c>
      <c r="W60" s="2">
        <v>0.3</v>
      </c>
      <c r="X60" s="2">
        <f>IF(O60&gt;0,O60,((P60*2.2046*S60)+(Q60+R60)/G60)+V60)</f>
        <v>2.1740540540540541</v>
      </c>
      <c r="Y60" s="2">
        <f>IF(O60&gt;0,O60+W60,((P60*2.2046*S60)+(Q60+R60+T60)/G60)+V60+W60)</f>
        <v>2.4849243243243242</v>
      </c>
      <c r="Z60" s="26">
        <f>Y60*F60</f>
        <v>45971.1</v>
      </c>
      <c r="AA60" s="27"/>
      <c r="AB60" s="19"/>
      <c r="AC60" t="s">
        <v>42</v>
      </c>
    </row>
    <row r="61" spans="1:29" x14ac:dyDescent="0.25">
      <c r="A61" s="45"/>
      <c r="B61" s="16" t="s">
        <v>26</v>
      </c>
      <c r="C61" t="s">
        <v>42</v>
      </c>
      <c r="D61" s="21" t="s">
        <v>42</v>
      </c>
      <c r="E61" t="s">
        <v>43</v>
      </c>
      <c r="F61" s="17">
        <v>18500</v>
      </c>
      <c r="G61" s="40">
        <v>18500</v>
      </c>
      <c r="H61" s="18">
        <f t="shared" si="5"/>
        <v>0</v>
      </c>
      <c r="J61" s="41"/>
      <c r="K61" s="20">
        <v>44375</v>
      </c>
      <c r="L61" s="20">
        <v>44376</v>
      </c>
      <c r="M61" s="21" t="s">
        <v>71</v>
      </c>
      <c r="N61" s="21" t="s">
        <v>112</v>
      </c>
      <c r="O61" s="2"/>
      <c r="P61" s="22"/>
      <c r="Q61" s="2">
        <v>26000</v>
      </c>
      <c r="R61" s="43">
        <v>12000</v>
      </c>
      <c r="S61" s="42">
        <v>20.5</v>
      </c>
      <c r="T61" s="24">
        <f>X61*F61*0.005</f>
        <v>201.1</v>
      </c>
      <c r="V61" s="2">
        <v>0.12</v>
      </c>
      <c r="W61" s="2">
        <v>0.3</v>
      </c>
      <c r="X61" s="2">
        <f>IF(O61&gt;0,O61,((P61*2.2046*S61)+(Q61+R61)/G61)+V61)</f>
        <v>2.1740540540540541</v>
      </c>
      <c r="Y61" s="2">
        <f>IF(O61&gt;0,O61+W61,((P61*2.2046*S61)+(Q61+R61+T61)/G61)+V61+W61)</f>
        <v>2.4849243243243242</v>
      </c>
      <c r="Z61" s="26">
        <f>Y61*F61</f>
        <v>45971.1</v>
      </c>
      <c r="AA61" s="27"/>
      <c r="AB61" s="19"/>
      <c r="AC61" t="s">
        <v>42</v>
      </c>
    </row>
    <row r="62" spans="1:29" x14ac:dyDescent="0.25">
      <c r="A62" s="45"/>
      <c r="B62" s="16" t="s">
        <v>33</v>
      </c>
      <c r="C62" t="s">
        <v>34</v>
      </c>
      <c r="D62" s="21"/>
      <c r="E62">
        <v>200</v>
      </c>
      <c r="F62" s="17"/>
      <c r="G62" s="18"/>
      <c r="H62" s="18">
        <f t="shared" si="5"/>
        <v>0</v>
      </c>
      <c r="K62" s="20"/>
      <c r="L62" s="20">
        <v>44376</v>
      </c>
      <c r="M62" s="21" t="s">
        <v>71</v>
      </c>
      <c r="N62" s="21"/>
      <c r="O62" s="2"/>
      <c r="P62" s="22"/>
      <c r="Q62" s="28">
        <v>26000</v>
      </c>
      <c r="R62" s="2">
        <f>100.6*E62</f>
        <v>20120</v>
      </c>
      <c r="S62" s="24">
        <f>-40*E62</f>
        <v>-8000</v>
      </c>
      <c r="T62" s="24" t="e">
        <f>X62*F62*0.0045</f>
        <v>#DIV/0!</v>
      </c>
      <c r="U62" s="2">
        <f>E62*5</f>
        <v>1000</v>
      </c>
      <c r="V62" s="2">
        <v>3600</v>
      </c>
      <c r="W62" s="2">
        <v>0.3</v>
      </c>
      <c r="X62" s="2" t="e">
        <f>((O62*F62)+Q62+R62+S62+U62)/G62</f>
        <v>#DIV/0!</v>
      </c>
      <c r="Y62" s="2" t="e">
        <f>((O62*F62)+Q62+R62+S62+T62+U62+V62)/G62+W62</f>
        <v>#DIV/0!</v>
      </c>
      <c r="Z62" s="3" t="e">
        <f>Y62*G62</f>
        <v>#DIV/0!</v>
      </c>
      <c r="AA62" s="27"/>
      <c r="AC62" t="s">
        <v>27</v>
      </c>
    </row>
    <row r="63" spans="1:29" x14ac:dyDescent="0.25">
      <c r="A63" s="45"/>
      <c r="B63" s="16" t="s">
        <v>26</v>
      </c>
      <c r="C63" t="s">
        <v>27</v>
      </c>
      <c r="D63" t="s">
        <v>27</v>
      </c>
      <c r="E63" t="s">
        <v>28</v>
      </c>
      <c r="F63" s="17">
        <v>18500</v>
      </c>
      <c r="G63" s="40">
        <v>18500</v>
      </c>
      <c r="H63" s="18">
        <f t="shared" si="5"/>
        <v>0</v>
      </c>
      <c r="J63" s="41"/>
      <c r="K63" s="20">
        <v>44376</v>
      </c>
      <c r="L63" s="20">
        <v>44377</v>
      </c>
      <c r="M63" s="21" t="s">
        <v>73</v>
      </c>
      <c r="N63" s="21" t="s">
        <v>96</v>
      </c>
      <c r="O63" s="2"/>
      <c r="P63" s="22"/>
      <c r="Q63" s="2">
        <v>26000</v>
      </c>
      <c r="R63" s="43">
        <v>12000</v>
      </c>
      <c r="S63" s="42">
        <v>20.5</v>
      </c>
      <c r="T63" s="24">
        <f>X63*F63*0.005</f>
        <v>201.1</v>
      </c>
      <c r="V63" s="2">
        <v>0.12</v>
      </c>
      <c r="W63" s="2">
        <v>0.3</v>
      </c>
      <c r="X63" s="2">
        <f>IF(O63&gt;0,O63,((P63*2.2046*S63)+(Q63+R63)/G63)+V63)</f>
        <v>2.1740540540540541</v>
      </c>
      <c r="Y63" s="2">
        <f>IF(O63&gt;0,O63+W63,((P63*2.2046*S63)+(Q63+R63+T63)/G63)+V63+W63)</f>
        <v>2.4849243243243242</v>
      </c>
      <c r="Z63" s="3">
        <f>Y63*F63</f>
        <v>45971.1</v>
      </c>
      <c r="AA63" s="27"/>
      <c r="AC63" t="s">
        <v>27</v>
      </c>
    </row>
    <row r="64" spans="1:29" x14ac:dyDescent="0.25">
      <c r="A64" s="45"/>
      <c r="B64" s="16"/>
      <c r="D64" s="21"/>
      <c r="F64" s="17"/>
      <c r="G64" s="18"/>
      <c r="H64" s="18">
        <f t="shared" si="5"/>
        <v>0</v>
      </c>
      <c r="K64" s="20"/>
      <c r="L64" s="20">
        <v>44377</v>
      </c>
      <c r="M64" s="21" t="s">
        <v>73</v>
      </c>
      <c r="N64" s="21"/>
      <c r="O64" s="2"/>
      <c r="P64" s="22"/>
      <c r="Q64" s="2"/>
      <c r="R64" s="2"/>
      <c r="S64" s="25"/>
      <c r="T64" s="24"/>
      <c r="U64" s="2"/>
      <c r="V64" s="2"/>
      <c r="W64" s="2">
        <v>0.3</v>
      </c>
      <c r="X64" s="2" t="e">
        <f>((O64*F64)+Q64+R64+S64+U64)/G64</f>
        <v>#DIV/0!</v>
      </c>
      <c r="Y64" s="2" t="e">
        <f>((O64*F64)+Q64+R64+S64+T64+U64+V64)/G64+W64</f>
        <v>#DIV/0!</v>
      </c>
      <c r="Z64" s="3" t="e">
        <f>Y64*G64</f>
        <v>#DIV/0!</v>
      </c>
      <c r="AA64" s="27"/>
      <c r="AB64" s="19"/>
      <c r="AC64" t="s">
        <v>42</v>
      </c>
    </row>
    <row r="65" spans="1:29" x14ac:dyDescent="0.25">
      <c r="A65" s="45"/>
      <c r="B65" s="16" t="s">
        <v>26</v>
      </c>
      <c r="C65" t="s">
        <v>27</v>
      </c>
      <c r="D65" t="s">
        <v>27</v>
      </c>
      <c r="E65" t="s">
        <v>28</v>
      </c>
      <c r="F65" s="17">
        <v>18500</v>
      </c>
      <c r="G65" s="40">
        <v>18500</v>
      </c>
      <c r="H65" s="18">
        <f t="shared" si="5"/>
        <v>0</v>
      </c>
      <c r="J65" s="41"/>
      <c r="K65" s="20">
        <v>44377</v>
      </c>
      <c r="L65" s="20">
        <v>44378</v>
      </c>
      <c r="M65" s="21" t="s">
        <v>31</v>
      </c>
      <c r="N65" s="21" t="s">
        <v>98</v>
      </c>
      <c r="O65" s="2"/>
      <c r="P65" s="22"/>
      <c r="Q65" s="2">
        <v>26000</v>
      </c>
      <c r="R65" s="43">
        <v>12000</v>
      </c>
      <c r="S65" s="42">
        <v>20.5</v>
      </c>
      <c r="T65" s="24">
        <f>X65*F65*0.005</f>
        <v>201.1</v>
      </c>
      <c r="V65" s="2">
        <v>0.12</v>
      </c>
      <c r="W65" s="2">
        <v>0.3</v>
      </c>
      <c r="X65" s="2">
        <f>IF(O65&gt;0,O65,((P65*2.2046*S65)+(Q65+R65)/G65)+V65)</f>
        <v>2.1740540540540541</v>
      </c>
      <c r="Y65" s="2">
        <f>IF(O65&gt;0,O65+W65,((P65*2.2046*S65)+(Q65+R65+T65)/G65)+V65+W65)</f>
        <v>2.4849243243243242</v>
      </c>
      <c r="Z65" s="26">
        <f>Y65*F65</f>
        <v>45971.1</v>
      </c>
      <c r="AA65" s="27"/>
      <c r="AB65" s="19"/>
      <c r="AC65" t="s">
        <v>42</v>
      </c>
    </row>
    <row r="66" spans="1:29" x14ac:dyDescent="0.25">
      <c r="A66" s="45"/>
      <c r="B66" s="16" t="s">
        <v>33</v>
      </c>
      <c r="C66" t="s">
        <v>34</v>
      </c>
      <c r="D66" s="21"/>
      <c r="E66">
        <v>250</v>
      </c>
      <c r="F66" s="17"/>
      <c r="G66" s="18"/>
      <c r="H66" s="18">
        <f t="shared" si="5"/>
        <v>0</v>
      </c>
      <c r="K66" s="20"/>
      <c r="L66" s="20">
        <v>44378</v>
      </c>
      <c r="M66" s="21" t="s">
        <v>31</v>
      </c>
      <c r="N66" s="21"/>
      <c r="O66" s="2"/>
      <c r="P66" s="22"/>
      <c r="Q66" s="28">
        <v>26000</v>
      </c>
      <c r="R66" s="2">
        <f>100.6*E66</f>
        <v>25150</v>
      </c>
      <c r="S66" s="24">
        <f>-40*E66</f>
        <v>-10000</v>
      </c>
      <c r="T66" s="24" t="e">
        <f>X66*F66*0.0045</f>
        <v>#DIV/0!</v>
      </c>
      <c r="U66" s="2">
        <f>E66*5</f>
        <v>1250</v>
      </c>
      <c r="V66" s="2">
        <v>3600</v>
      </c>
      <c r="W66" s="2">
        <v>0.3</v>
      </c>
      <c r="X66" s="2" t="e">
        <f>((O66*F66)+Q66+R66+S66+U66)/G66</f>
        <v>#DIV/0!</v>
      </c>
      <c r="Y66" s="2" t="e">
        <f>((O66*F66)+Q66+R66+S66+T66+U66+V66)/G66+W66</f>
        <v>#DIV/0!</v>
      </c>
      <c r="Z66" s="3" t="e">
        <f>Y66*G66</f>
        <v>#DIV/0!</v>
      </c>
      <c r="AA66" s="27"/>
      <c r="AB66" s="37"/>
      <c r="AC66" t="s">
        <v>86</v>
      </c>
    </row>
    <row r="67" spans="1:29" x14ac:dyDescent="0.25">
      <c r="A67" s="45"/>
      <c r="B67" s="16" t="s">
        <v>26</v>
      </c>
      <c r="C67" t="s">
        <v>42</v>
      </c>
      <c r="D67" s="21" t="s">
        <v>42</v>
      </c>
      <c r="E67" t="s">
        <v>43</v>
      </c>
      <c r="F67" s="17">
        <v>18500</v>
      </c>
      <c r="G67" s="40">
        <v>18500</v>
      </c>
      <c r="H67" s="18">
        <f>G67-F67</f>
        <v>0</v>
      </c>
      <c r="J67" s="41"/>
      <c r="K67" s="20">
        <v>44378</v>
      </c>
      <c r="L67" s="20">
        <v>44379</v>
      </c>
      <c r="M67" s="21" t="s">
        <v>46</v>
      </c>
      <c r="N67" s="21" t="s">
        <v>47</v>
      </c>
      <c r="O67" s="2"/>
      <c r="P67" s="22"/>
      <c r="Q67" s="2">
        <v>26000</v>
      </c>
      <c r="R67" s="43">
        <v>12000</v>
      </c>
      <c r="S67" s="42">
        <v>20.5</v>
      </c>
      <c r="T67" s="24">
        <f>X67*F67*0.005</f>
        <v>201.1</v>
      </c>
      <c r="V67" s="2">
        <v>0.12</v>
      </c>
      <c r="W67" s="2">
        <v>0.3</v>
      </c>
      <c r="X67" s="2">
        <f>IF(O67&gt;0,O67,((P67*2.2046*S67)+(Q67+R67)/G67)+V67)</f>
        <v>2.1740540540540541</v>
      </c>
      <c r="Y67" s="2">
        <f>IF(O67&gt;0,O67+W67,((P67*2.2046*S67)+(Q67+R67+T67)/G67)+V67+W67)</f>
        <v>2.4849243243243242</v>
      </c>
      <c r="Z67" s="26">
        <f>Y67*F67</f>
        <v>45971.1</v>
      </c>
      <c r="AA67" s="27"/>
    </row>
    <row r="68" spans="1:29" x14ac:dyDescent="0.25">
      <c r="A68" s="45"/>
      <c r="B68" s="16" t="s">
        <v>26</v>
      </c>
      <c r="C68" t="s">
        <v>42</v>
      </c>
      <c r="D68" s="21" t="s">
        <v>42</v>
      </c>
      <c r="E68" t="s">
        <v>43</v>
      </c>
      <c r="F68" s="17">
        <v>18500</v>
      </c>
      <c r="G68" s="40">
        <v>18500</v>
      </c>
      <c r="H68" s="18">
        <f>G68-F68</f>
        <v>0</v>
      </c>
      <c r="J68" s="41"/>
      <c r="K68" s="20">
        <v>44378</v>
      </c>
      <c r="L68" s="20">
        <v>44379</v>
      </c>
      <c r="M68" s="21" t="s">
        <v>46</v>
      </c>
      <c r="N68" s="21" t="s">
        <v>47</v>
      </c>
      <c r="O68" s="2"/>
      <c r="P68" s="22"/>
      <c r="Q68" s="2">
        <v>26000</v>
      </c>
      <c r="R68" s="43">
        <v>12000</v>
      </c>
      <c r="S68" s="42">
        <v>20.5</v>
      </c>
      <c r="T68" s="24">
        <f>X68*F68*0.005</f>
        <v>201.1</v>
      </c>
      <c r="V68" s="2">
        <v>0.12</v>
      </c>
      <c r="W68" s="2">
        <v>0.3</v>
      </c>
      <c r="X68" s="2">
        <f>IF(O68&gt;0,O68,((P68*2.2046*S68)+(Q68+R68)/G68)+V68)</f>
        <v>2.1740540540540541</v>
      </c>
      <c r="Y68" s="2">
        <f>IF(O68&gt;0,O68+W68,((P68*2.2046*S68)+(Q68+R68+T68)/G68)+V68+W68)</f>
        <v>2.4849243243243242</v>
      </c>
      <c r="Z68" s="26">
        <f>Y68*F68</f>
        <v>45971.1</v>
      </c>
      <c r="AA68" s="27"/>
    </row>
    <row r="69" spans="1:29" x14ac:dyDescent="0.25">
      <c r="A69" s="45"/>
      <c r="B69" t="s">
        <v>33</v>
      </c>
      <c r="C69" t="s">
        <v>34</v>
      </c>
      <c r="D69" s="21"/>
      <c r="E69">
        <v>250</v>
      </c>
      <c r="F69" s="17"/>
      <c r="G69" s="18"/>
      <c r="H69" s="18">
        <f>G69-F69</f>
        <v>0</v>
      </c>
      <c r="K69" s="20"/>
      <c r="L69" s="20">
        <v>44379</v>
      </c>
      <c r="M69" s="21" t="s">
        <v>46</v>
      </c>
      <c r="N69" s="21"/>
      <c r="O69" s="2"/>
      <c r="P69" s="22"/>
      <c r="Q69" s="2"/>
      <c r="R69" s="2"/>
      <c r="S69" s="24"/>
      <c r="T69" s="24"/>
      <c r="U69" s="2">
        <f>E69*5</f>
        <v>1250</v>
      </c>
      <c r="V69" s="2"/>
      <c r="W69" s="2">
        <v>0.3</v>
      </c>
      <c r="X69" s="2" t="e">
        <f>((O69*F69)+Q69+R69+S69+U69)/G69</f>
        <v>#DIV/0!</v>
      </c>
      <c r="Y69" s="2" t="e">
        <f>((O69*F69)+Q69+R69+S69+T69+U69+V69)/G69+W69</f>
        <v>#DIV/0!</v>
      </c>
      <c r="Z69" s="3" t="e">
        <f>Y69*G69</f>
        <v>#DIV/0!</v>
      </c>
      <c r="AA69" s="27"/>
    </row>
    <row r="70" spans="1:29" x14ac:dyDescent="0.25">
      <c r="A70" s="45"/>
      <c r="B70" s="16"/>
      <c r="D70" s="21"/>
      <c r="F70" s="17"/>
      <c r="G70" s="18"/>
      <c r="H70" s="18"/>
      <c r="I70" s="21"/>
      <c r="K70" s="20"/>
      <c r="L70" s="20">
        <v>44380</v>
      </c>
      <c r="M70" s="21" t="s">
        <v>52</v>
      </c>
      <c r="O70" s="2"/>
      <c r="P70" s="22"/>
      <c r="Q70" s="2"/>
      <c r="R70" s="2"/>
      <c r="S70" s="24"/>
      <c r="T70" s="24"/>
      <c r="U70" s="2"/>
      <c r="V70" s="2"/>
      <c r="W70" s="2"/>
      <c r="X70" s="2"/>
      <c r="Y70" s="2"/>
      <c r="Z70" s="26"/>
      <c r="AA70" s="27"/>
    </row>
    <row r="71" spans="1:29" ht="15.75" thickBot="1" x14ac:dyDescent="0.3">
      <c r="A71" s="46"/>
      <c r="B71" s="31"/>
      <c r="C71" s="4"/>
      <c r="D71" s="4"/>
      <c r="E71" s="4"/>
      <c r="F71" s="32"/>
      <c r="G71" s="32"/>
      <c r="H71" s="32"/>
      <c r="I71" s="7"/>
      <c r="J71" s="4"/>
      <c r="K71" s="8"/>
      <c r="L71" s="8"/>
      <c r="M71" s="4"/>
      <c r="N71" s="4"/>
      <c r="O71" s="9"/>
      <c r="P71" s="10"/>
      <c r="Q71" s="9"/>
      <c r="R71" s="9"/>
      <c r="S71" s="9"/>
      <c r="T71" s="9"/>
      <c r="U71" s="9"/>
      <c r="V71" s="9"/>
      <c r="W71" s="9"/>
      <c r="X71" s="9"/>
      <c r="Y71" s="9"/>
      <c r="Z71" s="13"/>
      <c r="AA71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cortes</dc:creator>
  <cp:lastModifiedBy>Octavio cortes</cp:lastModifiedBy>
  <dcterms:created xsi:type="dcterms:W3CDTF">2021-07-14T20:36:27Z</dcterms:created>
  <dcterms:modified xsi:type="dcterms:W3CDTF">2021-07-15T18:14:32Z</dcterms:modified>
</cp:coreProperties>
</file>