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 activeTab="3"/>
  </bookViews>
  <sheets>
    <sheet name="Hoja1" sheetId="1" r:id="rId1"/>
    <sheet name="Hoja2" sheetId="2" r:id="rId2"/>
    <sheet name="Hoja3" sheetId="3" r:id="rId3"/>
    <sheet name="Hoja4" sheetId="4" r:id="rId4"/>
  </sheets>
  <externalReferences>
    <externalReference r:id="rId5"/>
    <externalReference r:id="rId6"/>
  </externalReferences>
  <calcPr calcId="124519"/>
</workbook>
</file>

<file path=xl/calcChain.xml><?xml version="1.0" encoding="utf-8"?>
<calcChain xmlns="http://schemas.openxmlformats.org/spreadsheetml/2006/main">
  <c r="I38" i="4"/>
  <c r="D38"/>
  <c r="C38"/>
  <c r="F38" s="1"/>
  <c r="I37"/>
  <c r="D37"/>
  <c r="C37"/>
  <c r="F37" s="1"/>
  <c r="I36"/>
  <c r="D36"/>
  <c r="C36"/>
  <c r="F36" s="1"/>
  <c r="I35"/>
  <c r="D35"/>
  <c r="C35"/>
  <c r="F35" s="1"/>
  <c r="I34"/>
  <c r="D34"/>
  <c r="C34"/>
  <c r="F34" s="1"/>
  <c r="I33"/>
  <c r="D33"/>
  <c r="C33"/>
  <c r="F33" s="1"/>
  <c r="I32"/>
  <c r="F32"/>
  <c r="I31"/>
  <c r="D31"/>
  <c r="C31"/>
  <c r="F31" s="1"/>
  <c r="I30"/>
  <c r="F30"/>
  <c r="I29"/>
  <c r="C29"/>
  <c r="F29" s="1"/>
  <c r="I28"/>
  <c r="D28"/>
  <c r="C28"/>
  <c r="F28" s="1"/>
  <c r="I27"/>
  <c r="D27"/>
  <c r="C27"/>
  <c r="F27" s="1"/>
  <c r="I26"/>
  <c r="D26"/>
  <c r="C26"/>
  <c r="F26" s="1"/>
  <c r="I25"/>
  <c r="F25"/>
  <c r="I24"/>
  <c r="D24"/>
  <c r="C24"/>
  <c r="F24" s="1"/>
  <c r="I23"/>
  <c r="F23"/>
  <c r="I22"/>
  <c r="D22"/>
  <c r="C22"/>
  <c r="F22" s="1"/>
  <c r="I21"/>
  <c r="D21"/>
  <c r="C21"/>
  <c r="F21" s="1"/>
  <c r="I20"/>
  <c r="C20"/>
  <c r="F20" s="1"/>
  <c r="I19"/>
  <c r="D19"/>
  <c r="C19"/>
  <c r="F19" s="1"/>
  <c r="I18"/>
  <c r="D18"/>
  <c r="C18"/>
  <c r="F18" s="1"/>
  <c r="I17"/>
  <c r="D17"/>
  <c r="C17"/>
  <c r="F17" s="1"/>
  <c r="I16"/>
  <c r="D16"/>
  <c r="C16"/>
  <c r="F16" s="1"/>
  <c r="I15"/>
  <c r="F15"/>
  <c r="I14"/>
  <c r="F14"/>
  <c r="I13"/>
  <c r="F13"/>
  <c r="I12"/>
  <c r="D12"/>
  <c r="C12"/>
  <c r="F12" s="1"/>
  <c r="I11"/>
  <c r="D11"/>
  <c r="D40" s="1"/>
  <c r="C11"/>
  <c r="C40" s="1"/>
  <c r="K50" i="3"/>
  <c r="D50"/>
  <c r="C50"/>
  <c r="J50" s="1"/>
  <c r="A50"/>
  <c r="K49"/>
  <c r="D49"/>
  <c r="C49"/>
  <c r="J49" s="1"/>
  <c r="A49"/>
  <c r="K48"/>
  <c r="J48"/>
  <c r="D48"/>
  <c r="H48" s="1"/>
  <c r="C48"/>
  <c r="G48" s="1"/>
  <c r="A48"/>
  <c r="K47"/>
  <c r="J47"/>
  <c r="D47"/>
  <c r="H47" s="1"/>
  <c r="C47"/>
  <c r="G47" s="1"/>
  <c r="A47"/>
  <c r="K46"/>
  <c r="J46"/>
  <c r="D46"/>
  <c r="H46" s="1"/>
  <c r="C46"/>
  <c r="G46" s="1"/>
  <c r="A46"/>
  <c r="K45"/>
  <c r="J45"/>
  <c r="D45"/>
  <c r="H45" s="1"/>
  <c r="C45"/>
  <c r="G45" s="1"/>
  <c r="A45"/>
  <c r="K44"/>
  <c r="J44"/>
  <c r="D44"/>
  <c r="H44" s="1"/>
  <c r="C44"/>
  <c r="G44" s="1"/>
  <c r="A44"/>
  <c r="K43"/>
  <c r="J43"/>
  <c r="D43"/>
  <c r="H43" s="1"/>
  <c r="C43"/>
  <c r="G43" s="1"/>
  <c r="A43"/>
  <c r="K42"/>
  <c r="J42"/>
  <c r="D42"/>
  <c r="H42" s="1"/>
  <c r="C42"/>
  <c r="G42" s="1"/>
  <c r="A42"/>
  <c r="K41"/>
  <c r="F41"/>
  <c r="H41" s="1"/>
  <c r="E41"/>
  <c r="J41" s="1"/>
  <c r="D41"/>
  <c r="C41"/>
  <c r="A41"/>
  <c r="K40"/>
  <c r="J40"/>
  <c r="D40"/>
  <c r="H40" s="1"/>
  <c r="C40"/>
  <c r="G40" s="1"/>
  <c r="A40"/>
  <c r="K39"/>
  <c r="J39"/>
  <c r="D39"/>
  <c r="H39" s="1"/>
  <c r="C39"/>
  <c r="G39" s="1"/>
  <c r="A39"/>
  <c r="K38"/>
  <c r="F38"/>
  <c r="H38" s="1"/>
  <c r="E38"/>
  <c r="J38" s="1"/>
  <c r="D38"/>
  <c r="C38"/>
  <c r="A38"/>
  <c r="K37"/>
  <c r="J37"/>
  <c r="D37"/>
  <c r="H37" s="1"/>
  <c r="C37"/>
  <c r="G37" s="1"/>
  <c r="A37"/>
  <c r="K36"/>
  <c r="J36"/>
  <c r="D36"/>
  <c r="H36" s="1"/>
  <c r="C36"/>
  <c r="G36" s="1"/>
  <c r="A36"/>
  <c r="K35"/>
  <c r="J35"/>
  <c r="D35"/>
  <c r="H35" s="1"/>
  <c r="C35"/>
  <c r="G35" s="1"/>
  <c r="A35"/>
  <c r="K34"/>
  <c r="J34"/>
  <c r="D34"/>
  <c r="H34" s="1"/>
  <c r="C34"/>
  <c r="G34" s="1"/>
  <c r="A34"/>
  <c r="K33"/>
  <c r="J33"/>
  <c r="D33"/>
  <c r="H33" s="1"/>
  <c r="C33"/>
  <c r="G33" s="1"/>
  <c r="A33"/>
  <c r="K32"/>
  <c r="J32"/>
  <c r="D32"/>
  <c r="H32" s="1"/>
  <c r="C32"/>
  <c r="G32" s="1"/>
  <c r="A32"/>
  <c r="K31"/>
  <c r="J31"/>
  <c r="D31"/>
  <c r="H31" s="1"/>
  <c r="C31"/>
  <c r="G31" s="1"/>
  <c r="A31"/>
  <c r="K30"/>
  <c r="J30"/>
  <c r="D30"/>
  <c r="H30" s="1"/>
  <c r="C30"/>
  <c r="G30" s="1"/>
  <c r="A30"/>
  <c r="K29"/>
  <c r="J29"/>
  <c r="D29"/>
  <c r="H29" s="1"/>
  <c r="C29"/>
  <c r="G29" s="1"/>
  <c r="A29"/>
  <c r="K28"/>
  <c r="J28"/>
  <c r="D28"/>
  <c r="H28" s="1"/>
  <c r="C28"/>
  <c r="G28" s="1"/>
  <c r="A28"/>
  <c r="K27"/>
  <c r="J27"/>
  <c r="D27"/>
  <c r="H27" s="1"/>
  <c r="C27"/>
  <c r="G27" s="1"/>
  <c r="A27"/>
  <c r="K26"/>
  <c r="J26"/>
  <c r="D26"/>
  <c r="H26" s="1"/>
  <c r="C26"/>
  <c r="G26" s="1"/>
  <c r="A26"/>
  <c r="K25"/>
  <c r="J25"/>
  <c r="D25"/>
  <c r="H25" s="1"/>
  <c r="C25"/>
  <c r="G25" s="1"/>
  <c r="A25"/>
  <c r="K24"/>
  <c r="J24"/>
  <c r="D24"/>
  <c r="H24" s="1"/>
  <c r="C24"/>
  <c r="G24" s="1"/>
  <c r="A24"/>
  <c r="K23"/>
  <c r="J23"/>
  <c r="D23"/>
  <c r="H23" s="1"/>
  <c r="C23"/>
  <c r="G23" s="1"/>
  <c r="A23"/>
  <c r="K22"/>
  <c r="J22"/>
  <c r="D22"/>
  <c r="H22" s="1"/>
  <c r="C22"/>
  <c r="G22" s="1"/>
  <c r="A22"/>
  <c r="K21"/>
  <c r="J21"/>
  <c r="D21"/>
  <c r="H21" s="1"/>
  <c r="C21"/>
  <c r="G21" s="1"/>
  <c r="A21"/>
  <c r="K20"/>
  <c r="J20"/>
  <c r="D20"/>
  <c r="H20" s="1"/>
  <c r="C20"/>
  <c r="G20" s="1"/>
  <c r="A20"/>
  <c r="K19"/>
  <c r="J19"/>
  <c r="D19"/>
  <c r="H19" s="1"/>
  <c r="C19"/>
  <c r="G19" s="1"/>
  <c r="A19"/>
  <c r="K18"/>
  <c r="J18"/>
  <c r="D18"/>
  <c r="H18" s="1"/>
  <c r="C18"/>
  <c r="G18" s="1"/>
  <c r="A18"/>
  <c r="K17"/>
  <c r="J17"/>
  <c r="D17"/>
  <c r="H17" s="1"/>
  <c r="C17"/>
  <c r="G17" s="1"/>
  <c r="A17"/>
  <c r="K16"/>
  <c r="J16"/>
  <c r="D16"/>
  <c r="H16" s="1"/>
  <c r="C16"/>
  <c r="G16" s="1"/>
  <c r="A16"/>
  <c r="K15"/>
  <c r="J15"/>
  <c r="D15"/>
  <c r="H15" s="1"/>
  <c r="C15"/>
  <c r="G15" s="1"/>
  <c r="A15"/>
  <c r="K14"/>
  <c r="J14"/>
  <c r="D14"/>
  <c r="H14" s="1"/>
  <c r="C14"/>
  <c r="G14" s="1"/>
  <c r="A14"/>
  <c r="K13"/>
  <c r="J13"/>
  <c r="D13"/>
  <c r="H13" s="1"/>
  <c r="C13"/>
  <c r="G13" s="1"/>
  <c r="A13"/>
  <c r="K12"/>
  <c r="J12"/>
  <c r="D12"/>
  <c r="H12" s="1"/>
  <c r="C12"/>
  <c r="G12" s="1"/>
  <c r="A12"/>
  <c r="K11"/>
  <c r="J11"/>
  <c r="D11"/>
  <c r="H11" s="1"/>
  <c r="C11"/>
  <c r="G11" s="1"/>
  <c r="A11"/>
  <c r="K10"/>
  <c r="J10"/>
  <c r="J52" s="1"/>
  <c r="D10"/>
  <c r="D52" s="1"/>
  <c r="C10"/>
  <c r="C52" s="1"/>
  <c r="A10"/>
  <c r="I52" i="2"/>
  <c r="K50"/>
  <c r="D50"/>
  <c r="C50"/>
  <c r="J50" s="1"/>
  <c r="A50"/>
  <c r="K49"/>
  <c r="D49"/>
  <c r="C49"/>
  <c r="J49" s="1"/>
  <c r="A49"/>
  <c r="K48"/>
  <c r="J48"/>
  <c r="D48"/>
  <c r="H48" s="1"/>
  <c r="C48"/>
  <c r="G48" s="1"/>
  <c r="A48"/>
  <c r="K47"/>
  <c r="J47"/>
  <c r="D47"/>
  <c r="H47" s="1"/>
  <c r="C47"/>
  <c r="G47" s="1"/>
  <c r="A47"/>
  <c r="K46"/>
  <c r="J46"/>
  <c r="D46"/>
  <c r="H46" s="1"/>
  <c r="C46"/>
  <c r="G46" s="1"/>
  <c r="A46"/>
  <c r="K45"/>
  <c r="J45"/>
  <c r="D45"/>
  <c r="H45" s="1"/>
  <c r="C45"/>
  <c r="G45" s="1"/>
  <c r="A45"/>
  <c r="K44"/>
  <c r="J44"/>
  <c r="D44"/>
  <c r="H44" s="1"/>
  <c r="C44"/>
  <c r="G44" s="1"/>
  <c r="A44"/>
  <c r="K43"/>
  <c r="J43"/>
  <c r="D43"/>
  <c r="H43" s="1"/>
  <c r="C43"/>
  <c r="G43" s="1"/>
  <c r="A43"/>
  <c r="K42"/>
  <c r="J42"/>
  <c r="D42"/>
  <c r="H42" s="1"/>
  <c r="C42"/>
  <c r="G42" s="1"/>
  <c r="A42"/>
  <c r="K41"/>
  <c r="J41"/>
  <c r="D41"/>
  <c r="H41" s="1"/>
  <c r="C41"/>
  <c r="G41" s="1"/>
  <c r="A41"/>
  <c r="K40"/>
  <c r="J40"/>
  <c r="D40"/>
  <c r="H40" s="1"/>
  <c r="C40"/>
  <c r="G40" s="1"/>
  <c r="A40"/>
  <c r="K39"/>
  <c r="J39"/>
  <c r="D39"/>
  <c r="H39" s="1"/>
  <c r="C39"/>
  <c r="G39" s="1"/>
  <c r="A39"/>
  <c r="K38"/>
  <c r="J38"/>
  <c r="D38"/>
  <c r="H38" s="1"/>
  <c r="C38"/>
  <c r="G38" s="1"/>
  <c r="A38"/>
  <c r="K37"/>
  <c r="J37"/>
  <c r="D37"/>
  <c r="H37" s="1"/>
  <c r="C37"/>
  <c r="G37" s="1"/>
  <c r="A37"/>
  <c r="K36"/>
  <c r="J36"/>
  <c r="D36"/>
  <c r="H36" s="1"/>
  <c r="C36"/>
  <c r="G36" s="1"/>
  <c r="A36"/>
  <c r="K35"/>
  <c r="J35"/>
  <c r="D35"/>
  <c r="H35" s="1"/>
  <c r="C35"/>
  <c r="G35" s="1"/>
  <c r="A35"/>
  <c r="K34"/>
  <c r="J34"/>
  <c r="D34"/>
  <c r="H34" s="1"/>
  <c r="C34"/>
  <c r="G34" s="1"/>
  <c r="A34"/>
  <c r="K33"/>
  <c r="J33"/>
  <c r="D33"/>
  <c r="H33" s="1"/>
  <c r="C33"/>
  <c r="G33" s="1"/>
  <c r="A33"/>
  <c r="K32"/>
  <c r="J32"/>
  <c r="D32"/>
  <c r="H32" s="1"/>
  <c r="C32"/>
  <c r="G32" s="1"/>
  <c r="A32"/>
  <c r="K31"/>
  <c r="J31"/>
  <c r="D31"/>
  <c r="H31" s="1"/>
  <c r="C31"/>
  <c r="G31" s="1"/>
  <c r="A31"/>
  <c r="K30"/>
  <c r="J30"/>
  <c r="D30"/>
  <c r="H30" s="1"/>
  <c r="C30"/>
  <c r="G30" s="1"/>
  <c r="A30"/>
  <c r="K29"/>
  <c r="J29"/>
  <c r="D29"/>
  <c r="H29" s="1"/>
  <c r="C29"/>
  <c r="G29" s="1"/>
  <c r="A29"/>
  <c r="K28"/>
  <c r="J28"/>
  <c r="D28"/>
  <c r="H28" s="1"/>
  <c r="C28"/>
  <c r="G28" s="1"/>
  <c r="A28"/>
  <c r="K27"/>
  <c r="J27"/>
  <c r="D27"/>
  <c r="H27" s="1"/>
  <c r="C27"/>
  <c r="G27" s="1"/>
  <c r="A27"/>
  <c r="K26"/>
  <c r="F26"/>
  <c r="F52" s="1"/>
  <c r="E26"/>
  <c r="E52" s="1"/>
  <c r="D26"/>
  <c r="C26"/>
  <c r="A26"/>
  <c r="K25"/>
  <c r="J25"/>
  <c r="D25"/>
  <c r="H25" s="1"/>
  <c r="C25"/>
  <c r="G25" s="1"/>
  <c r="A25"/>
  <c r="K24"/>
  <c r="J24"/>
  <c r="D24"/>
  <c r="H24" s="1"/>
  <c r="C24"/>
  <c r="G24" s="1"/>
  <c r="A24"/>
  <c r="K23"/>
  <c r="J23"/>
  <c r="D23"/>
  <c r="H23" s="1"/>
  <c r="C23"/>
  <c r="G23" s="1"/>
  <c r="A23"/>
  <c r="K22"/>
  <c r="J22"/>
  <c r="D22"/>
  <c r="H22" s="1"/>
  <c r="C22"/>
  <c r="G22" s="1"/>
  <c r="A22"/>
  <c r="K21"/>
  <c r="J21"/>
  <c r="D21"/>
  <c r="H21" s="1"/>
  <c r="C21"/>
  <c r="G21" s="1"/>
  <c r="A21"/>
  <c r="K20"/>
  <c r="J20"/>
  <c r="D20"/>
  <c r="H20" s="1"/>
  <c r="C20"/>
  <c r="G20" s="1"/>
  <c r="A20"/>
  <c r="K19"/>
  <c r="J19"/>
  <c r="D19"/>
  <c r="H19" s="1"/>
  <c r="C19"/>
  <c r="G19" s="1"/>
  <c r="A19"/>
  <c r="K18"/>
  <c r="J18"/>
  <c r="D18"/>
  <c r="H18" s="1"/>
  <c r="C18"/>
  <c r="G18" s="1"/>
  <c r="A18"/>
  <c r="K17"/>
  <c r="J17"/>
  <c r="D17"/>
  <c r="H17" s="1"/>
  <c r="C17"/>
  <c r="G17" s="1"/>
  <c r="A17"/>
  <c r="K16"/>
  <c r="J16"/>
  <c r="D16"/>
  <c r="H16" s="1"/>
  <c r="C16"/>
  <c r="G16" s="1"/>
  <c r="A16"/>
  <c r="K15"/>
  <c r="J15"/>
  <c r="D15"/>
  <c r="H15" s="1"/>
  <c r="C15"/>
  <c r="G15" s="1"/>
  <c r="A15"/>
  <c r="K14"/>
  <c r="J14"/>
  <c r="D14"/>
  <c r="H14" s="1"/>
  <c r="C14"/>
  <c r="G14" s="1"/>
  <c r="A14"/>
  <c r="K13"/>
  <c r="J13"/>
  <c r="D13"/>
  <c r="H13" s="1"/>
  <c r="C13"/>
  <c r="G13" s="1"/>
  <c r="A13"/>
  <c r="K12"/>
  <c r="J12"/>
  <c r="D12"/>
  <c r="H12" s="1"/>
  <c r="C12"/>
  <c r="G12" s="1"/>
  <c r="A12"/>
  <c r="K11"/>
  <c r="J11"/>
  <c r="D11"/>
  <c r="H11" s="1"/>
  <c r="C11"/>
  <c r="G11" s="1"/>
  <c r="A11"/>
  <c r="K10"/>
  <c r="J10"/>
  <c r="D10"/>
  <c r="D52" s="1"/>
  <c r="C10"/>
  <c r="C52" s="1"/>
  <c r="A10"/>
  <c r="F11" i="4" l="1"/>
  <c r="F40" s="1"/>
  <c r="G10" i="3"/>
  <c r="H10"/>
  <c r="G38"/>
  <c r="G41"/>
  <c r="G10" i="2"/>
  <c r="H10"/>
  <c r="G26"/>
  <c r="H26"/>
  <c r="J26"/>
  <c r="J52" s="1"/>
  <c r="H52" l="1"/>
  <c r="G52"/>
</calcChain>
</file>

<file path=xl/sharedStrings.xml><?xml version="1.0" encoding="utf-8"?>
<sst xmlns="http://schemas.openxmlformats.org/spreadsheetml/2006/main" count="177" uniqueCount="86">
  <si>
    <t>ALMACEN CENTRAL CONGELADOS</t>
  </si>
  <si>
    <t xml:space="preserve">INVENTARIO GENERAL </t>
  </si>
  <si>
    <t>DIA</t>
  </si>
  <si>
    <t>Teorica</t>
  </si>
  <si>
    <t>Real</t>
  </si>
  <si>
    <t>Diferencia</t>
  </si>
  <si>
    <t>PRODUCTO</t>
  </si>
  <si>
    <t xml:space="preserve">CANTIDAD </t>
  </si>
  <si>
    <t>UD</t>
  </si>
  <si>
    <t>$ COMPRA</t>
  </si>
  <si>
    <t>TOTAL</t>
  </si>
  <si>
    <t>$ traspaso</t>
  </si>
  <si>
    <t xml:space="preserve">BUCHE </t>
  </si>
  <si>
    <t>CABEZA DE LOMO SAN MATEO</t>
  </si>
  <si>
    <t>CABEZA DE LOMO SEABOARD</t>
  </si>
  <si>
    <t>CABEZA DE LOMO SMITHFIELD</t>
  </si>
  <si>
    <t>CABEZA DE LOMO SWIFT</t>
  </si>
  <si>
    <t>CABEZA DE LOMO VERSHOOR</t>
  </si>
  <si>
    <t>CARNERO</t>
  </si>
  <si>
    <t xml:space="preserve"> </t>
  </si>
  <si>
    <t>CONTRA (GOOSENECK) EXCEL</t>
  </si>
  <si>
    <t>CONTRA (GOOSENECK) SWIFT</t>
  </si>
  <si>
    <t>CORBATA CURLY'S</t>
  </si>
  <si>
    <t>CORBATA  IBP</t>
  </si>
  <si>
    <t>CORBATA RUPARI (buena)</t>
  </si>
  <si>
    <t>COSTILLA RUPARI</t>
  </si>
  <si>
    <t>CUERO DE CABEZA DE LOMO</t>
  </si>
  <si>
    <t>CUERO BELLY SAN MATEO</t>
  </si>
  <si>
    <t>CUERO PAPEL BELLY FARMLAND</t>
  </si>
  <si>
    <t>ESPALDILLA DE CARNERO</t>
  </si>
  <si>
    <t>FILETE DE PESCADO POLLOCK</t>
  </si>
  <si>
    <t>ESPALDILLA DE CORDERO ALLIANZ</t>
  </si>
  <si>
    <t>LABIO FARMLAND</t>
  </si>
  <si>
    <t>GRASA DE PUERCO</t>
  </si>
  <si>
    <t>GRASA EN COMBO</t>
  </si>
  <si>
    <t xml:space="preserve">LENGUA DE CERDO </t>
  </si>
  <si>
    <t xml:space="preserve">LENGUA DE RES </t>
  </si>
  <si>
    <t>MARRANA EN COMBO</t>
  </si>
  <si>
    <t>MENUDO EXCEL 86M</t>
  </si>
  <si>
    <t>MENUDO IBP</t>
  </si>
  <si>
    <t>MENUDO SMITHFIELD</t>
  </si>
  <si>
    <t xml:space="preserve">NANA </t>
  </si>
  <si>
    <t xml:space="preserve">PATITAS DE CERDO </t>
  </si>
  <si>
    <t>PAVO CRUDO</t>
  </si>
  <si>
    <t>PERNIL CON PIEL</t>
  </si>
  <si>
    <t>PULPA NEGRA</t>
  </si>
  <si>
    <t>RECORTE 80-20</t>
  </si>
  <si>
    <t>SESOS EN COPA FARMLAND</t>
  </si>
  <si>
    <t>SESOS MARQUETA</t>
  </si>
  <si>
    <t>TOCINO IBP</t>
  </si>
  <si>
    <t>TROMPA FARMLAND</t>
  </si>
  <si>
    <t>TROMPA IBP</t>
  </si>
  <si>
    <t>TROMPA JOHN MORRELL</t>
  </si>
  <si>
    <t>TROMPA SEABOARD</t>
  </si>
  <si>
    <t>Teorico</t>
  </si>
  <si>
    <t xml:space="preserve">Real </t>
  </si>
  <si>
    <t>cambio de cajas</t>
  </si>
  <si>
    <t>con lengua anterior seaboard</t>
  </si>
  <si>
    <t>con cuero</t>
  </si>
  <si>
    <t>marca</t>
  </si>
  <si>
    <t>$ prom</t>
  </si>
  <si>
    <t>Camara</t>
  </si>
  <si>
    <t>precio</t>
  </si>
  <si>
    <t>nvas</t>
  </si>
  <si>
    <t>traspaso</t>
  </si>
  <si>
    <t>BUCHE IBP</t>
  </si>
  <si>
    <t>x</t>
  </si>
  <si>
    <t>CABEZA DE LOMO C/H SEABOARD</t>
  </si>
  <si>
    <t>CONTRA (GOOSENECK) IBP</t>
  </si>
  <si>
    <t>CONTRA (GOOSENECK) EXCELL</t>
  </si>
  <si>
    <t>CORBATA CURLYS</t>
  </si>
  <si>
    <t>CORBATA IBP</t>
  </si>
  <si>
    <t>CUERO SIN GRASA FARMLAND</t>
  </si>
  <si>
    <t>LENGUA DE CERDO JOHN MORRELL</t>
  </si>
  <si>
    <t>LENGUA DE RES IBP</t>
  </si>
  <si>
    <t>LABIO DE CERDO FARMLAND</t>
  </si>
  <si>
    <t>MARRANA EN COMBOS</t>
  </si>
  <si>
    <t>costilla</t>
  </si>
  <si>
    <t>MENUDO EXCEL 93</t>
  </si>
  <si>
    <t>NANA IBP</t>
  </si>
  <si>
    <t>NANA JOHN MORRELL</t>
  </si>
  <si>
    <t>PATITAS FARMLAND</t>
  </si>
  <si>
    <t>PERNIL CON PIEL COMBOS SEABOARD</t>
  </si>
  <si>
    <t>PERNIL CON PIEL COMBOS PREMIUM</t>
  </si>
  <si>
    <t>SESOS MARQUETA FARMLAND</t>
  </si>
  <si>
    <t>TROMPA EXCELL</t>
  </si>
</sst>
</file>

<file path=xl/styles.xml><?xml version="1.0" encoding="utf-8"?>
<styleSheet xmlns="http://schemas.openxmlformats.org/spreadsheetml/2006/main">
  <numFmts count="3">
    <numFmt numFmtId="44" formatCode="_-&quot;$&quot;* #,##0.00_-;\-&quot;$&quot;* #,##0.00_-;_-&quot;$&quot;* &quot;-&quot;??_-;_-@_-"/>
    <numFmt numFmtId="164" formatCode="&quot;$&quot;#,##0.00"/>
    <numFmt numFmtId="165" formatCode="#,##0.00_ ;[Red]\-#,##0.00\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119">
    <xf numFmtId="0" fontId="0" fillId="0" borderId="0" xfId="0"/>
    <xf numFmtId="0" fontId="2" fillId="0" borderId="0" xfId="2"/>
    <xf numFmtId="0" fontId="3" fillId="0" borderId="0" xfId="2" applyFont="1"/>
    <xf numFmtId="4" fontId="2" fillId="0" borderId="0" xfId="2" applyNumberFormat="1"/>
    <xf numFmtId="0" fontId="2" fillId="0" borderId="0" xfId="2" applyFill="1"/>
    <xf numFmtId="0" fontId="2" fillId="0" borderId="0" xfId="2" applyBorder="1"/>
    <xf numFmtId="0" fontId="5" fillId="0" borderId="0" xfId="2" applyFont="1"/>
    <xf numFmtId="4" fontId="6" fillId="0" borderId="0" xfId="2" applyNumberFormat="1" applyFont="1"/>
    <xf numFmtId="0" fontId="8" fillId="0" borderId="1" xfId="2" applyFont="1" applyBorder="1"/>
    <xf numFmtId="4" fontId="8" fillId="0" borderId="2" xfId="2" applyNumberFormat="1" applyFont="1" applyBorder="1"/>
    <xf numFmtId="0" fontId="8" fillId="0" borderId="3" xfId="2" applyFont="1" applyBorder="1"/>
    <xf numFmtId="0" fontId="7" fillId="0" borderId="0" xfId="2" applyFont="1" applyAlignment="1">
      <alignment horizontal="right"/>
    </xf>
    <xf numFmtId="0" fontId="7" fillId="0" borderId="0" xfId="2" applyFont="1"/>
    <xf numFmtId="0" fontId="7" fillId="0" borderId="4" xfId="2" applyFont="1" applyBorder="1"/>
    <xf numFmtId="0" fontId="7" fillId="0" borderId="5" xfId="2" applyFont="1" applyBorder="1"/>
    <xf numFmtId="0" fontId="7" fillId="0" borderId="6" xfId="2" applyFont="1" applyBorder="1"/>
    <xf numFmtId="4" fontId="8" fillId="0" borderId="7" xfId="2" applyNumberFormat="1" applyFont="1" applyBorder="1"/>
    <xf numFmtId="0" fontId="11" fillId="0" borderId="0" xfId="2" applyFont="1" applyBorder="1"/>
    <xf numFmtId="0" fontId="7" fillId="0" borderId="8" xfId="2" applyFont="1" applyBorder="1" applyAlignment="1">
      <alignment horizontal="center"/>
    </xf>
    <xf numFmtId="0" fontId="8" fillId="0" borderId="9" xfId="2" applyFont="1" applyBorder="1"/>
    <xf numFmtId="164" fontId="2" fillId="0" borderId="0" xfId="2" applyNumberFormat="1" applyBorder="1"/>
    <xf numFmtId="164" fontId="7" fillId="0" borderId="10" xfId="2" applyNumberFormat="1" applyFont="1" applyBorder="1"/>
    <xf numFmtId="164" fontId="8" fillId="0" borderId="10" xfId="2" applyNumberFormat="1" applyFont="1" applyBorder="1"/>
    <xf numFmtId="0" fontId="7" fillId="0" borderId="0" xfId="2" applyFont="1" applyFill="1" applyBorder="1"/>
    <xf numFmtId="0" fontId="7" fillId="0" borderId="0" xfId="2" applyFont="1" applyFill="1" applyBorder="1" applyAlignment="1">
      <alignment horizontal="center"/>
    </xf>
    <xf numFmtId="165" fontId="8" fillId="0" borderId="0" xfId="2" applyNumberFormat="1" applyFont="1" applyFill="1" applyBorder="1"/>
    <xf numFmtId="4" fontId="7" fillId="0" borderId="0" xfId="2" applyNumberFormat="1" applyFont="1" applyFill="1" applyBorder="1"/>
    <xf numFmtId="164" fontId="8" fillId="0" borderId="2" xfId="2" applyNumberFormat="1" applyFont="1" applyBorder="1"/>
    <xf numFmtId="4" fontId="8" fillId="0" borderId="10" xfId="2" applyNumberFormat="1" applyFont="1" applyBorder="1"/>
    <xf numFmtId="164" fontId="7" fillId="0" borderId="3" xfId="2" applyNumberFormat="1" applyFont="1" applyBorder="1"/>
    <xf numFmtId="4" fontId="7" fillId="0" borderId="10" xfId="2" applyNumberFormat="1" applyFont="1" applyBorder="1"/>
    <xf numFmtId="4" fontId="8" fillId="0" borderId="11" xfId="2" applyNumberFormat="1" applyFont="1" applyBorder="1"/>
    <xf numFmtId="14" fontId="2" fillId="0" borderId="12" xfId="2" applyNumberFormat="1" applyBorder="1"/>
    <xf numFmtId="0" fontId="8" fillId="0" borderId="10" xfId="2" applyFont="1" applyBorder="1"/>
    <xf numFmtId="4" fontId="8" fillId="0" borderId="9" xfId="2" applyNumberFormat="1" applyFont="1" applyBorder="1"/>
    <xf numFmtId="14" fontId="7" fillId="0" borderId="13" xfId="2" quotePrefix="1" applyNumberFormat="1" applyFont="1" applyBorder="1"/>
    <xf numFmtId="3" fontId="8" fillId="0" borderId="9" xfId="2" applyNumberFormat="1" applyFont="1" applyBorder="1"/>
    <xf numFmtId="3" fontId="8" fillId="0" borderId="10" xfId="2" applyNumberFormat="1" applyFont="1" applyBorder="1"/>
    <xf numFmtId="0" fontId="8" fillId="0" borderId="14" xfId="2" applyFont="1" applyBorder="1"/>
    <xf numFmtId="0" fontId="8" fillId="0" borderId="10" xfId="2" applyNumberFormat="1" applyFont="1" applyBorder="1"/>
    <xf numFmtId="14" fontId="7" fillId="0" borderId="0" xfId="2" quotePrefix="1" applyNumberFormat="1" applyFont="1" applyBorder="1"/>
    <xf numFmtId="3" fontId="8" fillId="0" borderId="2" xfId="2" applyNumberFormat="1" applyFont="1" applyBorder="1"/>
    <xf numFmtId="0" fontId="8" fillId="0" borderId="2" xfId="2" applyFont="1" applyBorder="1"/>
    <xf numFmtId="0" fontId="8" fillId="0" borderId="2" xfId="2" applyNumberFormat="1" applyFont="1" applyBorder="1"/>
    <xf numFmtId="4" fontId="7" fillId="0" borderId="3" xfId="2" applyNumberFormat="1" applyFont="1" applyBorder="1"/>
    <xf numFmtId="4" fontId="0" fillId="0" borderId="0" xfId="0" applyNumberFormat="1"/>
    <xf numFmtId="164" fontId="0" fillId="0" borderId="0" xfId="0" applyNumberFormat="1"/>
    <xf numFmtId="4" fontId="6" fillId="0" borderId="0" xfId="0" applyNumberFormat="1" applyFont="1"/>
    <xf numFmtId="0" fontId="3" fillId="0" borderId="0" xfId="0" applyFont="1"/>
    <xf numFmtId="0" fontId="5" fillId="0" borderId="0" xfId="0" applyFont="1"/>
    <xf numFmtId="0" fontId="0" fillId="0" borderId="0" xfId="0" applyBorder="1"/>
    <xf numFmtId="0" fontId="7" fillId="0" borderId="0" xfId="0" applyFont="1"/>
    <xf numFmtId="14" fontId="7" fillId="0" borderId="13" xfId="0" quotePrefix="1" applyNumberFormat="1" applyFont="1" applyBorder="1"/>
    <xf numFmtId="14" fontId="7" fillId="0" borderId="0" xfId="0" quotePrefix="1" applyNumberFormat="1" applyFont="1" applyBorder="1"/>
    <xf numFmtId="164" fontId="0" fillId="0" borderId="0" xfId="0" applyNumberFormat="1" applyBorder="1"/>
    <xf numFmtId="14" fontId="0" fillId="0" borderId="12" xfId="0" applyNumberFormat="1" applyBorder="1"/>
    <xf numFmtId="0" fontId="11" fillId="0" borderId="0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8" xfId="0" applyFont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/>
    <xf numFmtId="4" fontId="8" fillId="0" borderId="7" xfId="0" applyNumberFormat="1" applyFont="1" applyBorder="1"/>
    <xf numFmtId="0" fontId="8" fillId="0" borderId="1" xfId="0" applyFont="1" applyBorder="1"/>
    <xf numFmtId="4" fontId="8" fillId="0" borderId="2" xfId="0" applyNumberFormat="1" applyFont="1" applyBorder="1"/>
    <xf numFmtId="0" fontId="8" fillId="0" borderId="9" xfId="0" applyFont="1" applyBorder="1"/>
    <xf numFmtId="4" fontId="8" fillId="0" borderId="9" xfId="0" applyNumberFormat="1" applyFont="1" applyBorder="1"/>
    <xf numFmtId="164" fontId="8" fillId="0" borderId="10" xfId="0" applyNumberFormat="1" applyFont="1" applyBorder="1"/>
    <xf numFmtId="165" fontId="8" fillId="0" borderId="0" xfId="0" applyNumberFormat="1" applyFont="1" applyFill="1" applyBorder="1"/>
    <xf numFmtId="0" fontId="8" fillId="0" borderId="3" xfId="0" applyFont="1" applyBorder="1"/>
    <xf numFmtId="0" fontId="8" fillId="0" borderId="9" xfId="0" applyNumberFormat="1" applyFont="1" applyBorder="1"/>
    <xf numFmtId="3" fontId="8" fillId="0" borderId="9" xfId="0" applyNumberFormat="1" applyFont="1" applyBorder="1"/>
    <xf numFmtId="4" fontId="8" fillId="0" borderId="10" xfId="0" applyNumberFormat="1" applyFont="1" applyBorder="1"/>
    <xf numFmtId="0" fontId="8" fillId="0" borderId="14" xfId="0" applyFont="1" applyBorder="1"/>
    <xf numFmtId="3" fontId="8" fillId="0" borderId="10" xfId="0" applyNumberFormat="1" applyFont="1" applyBorder="1"/>
    <xf numFmtId="3" fontId="8" fillId="0" borderId="2" xfId="0" applyNumberFormat="1" applyFont="1" applyBorder="1"/>
    <xf numFmtId="164" fontId="8" fillId="0" borderId="2" xfId="0" applyNumberFormat="1" applyFont="1" applyBorder="1"/>
    <xf numFmtId="0" fontId="8" fillId="0" borderId="10" xfId="0" applyFont="1" applyBorder="1"/>
    <xf numFmtId="0" fontId="8" fillId="0" borderId="2" xfId="0" applyFont="1" applyBorder="1"/>
    <xf numFmtId="0" fontId="8" fillId="0" borderId="10" xfId="0" applyNumberFormat="1" applyFont="1" applyBorder="1"/>
    <xf numFmtId="0" fontId="8" fillId="0" borderId="2" xfId="0" applyNumberFormat="1" applyFont="1" applyBorder="1"/>
    <xf numFmtId="4" fontId="8" fillId="0" borderId="11" xfId="0" applyNumberFormat="1" applyFont="1" applyBorder="1"/>
    <xf numFmtId="0" fontId="7" fillId="0" borderId="0" xfId="0" applyFont="1" applyAlignment="1">
      <alignment horizontal="right"/>
    </xf>
    <xf numFmtId="4" fontId="7" fillId="0" borderId="10" xfId="0" applyNumberFormat="1" applyFont="1" applyBorder="1"/>
    <xf numFmtId="164" fontId="7" fillId="0" borderId="10" xfId="0" applyNumberFormat="1" applyFont="1" applyBorder="1"/>
    <xf numFmtId="4" fontId="7" fillId="0" borderId="0" xfId="0" applyNumberFormat="1" applyFont="1" applyFill="1" applyBorder="1"/>
    <xf numFmtId="2" fontId="8" fillId="0" borderId="9" xfId="0" applyNumberFormat="1" applyFont="1" applyBorder="1"/>
    <xf numFmtId="2" fontId="8" fillId="0" borderId="14" xfId="0" applyNumberFormat="1" applyFont="1" applyBorder="1"/>
    <xf numFmtId="2" fontId="8" fillId="0" borderId="2" xfId="0" applyNumberFormat="1" applyFont="1" applyBorder="1"/>
    <xf numFmtId="4" fontId="7" fillId="0" borderId="3" xfId="0" applyNumberFormat="1" applyFont="1" applyBorder="1"/>
    <xf numFmtId="164" fontId="7" fillId="0" borderId="3" xfId="0" applyNumberFormat="1" applyFont="1" applyBorder="1"/>
    <xf numFmtId="4" fontId="8" fillId="2" borderId="9" xfId="0" applyNumberFormat="1" applyFont="1" applyFill="1" applyBorder="1"/>
    <xf numFmtId="0" fontId="8" fillId="2" borderId="9" xfId="0" applyFont="1" applyFill="1" applyBorder="1"/>
    <xf numFmtId="0" fontId="4" fillId="0" borderId="0" xfId="0" applyFont="1"/>
    <xf numFmtId="4" fontId="4" fillId="0" borderId="0" xfId="0" applyNumberFormat="1" applyFont="1"/>
    <xf numFmtId="15" fontId="12" fillId="0" borderId="0" xfId="0" applyNumberFormat="1" applyFont="1"/>
    <xf numFmtId="0" fontId="4" fillId="0" borderId="14" xfId="0" applyFont="1" applyBorder="1"/>
    <xf numFmtId="0" fontId="4" fillId="0" borderId="3" xfId="0" applyFont="1" applyBorder="1"/>
    <xf numFmtId="4" fontId="4" fillId="0" borderId="10" xfId="0" applyNumberFormat="1" applyFont="1" applyBorder="1"/>
    <xf numFmtId="0" fontId="4" fillId="0" borderId="10" xfId="0" applyFont="1" applyBorder="1"/>
    <xf numFmtId="0" fontId="4" fillId="0" borderId="0" xfId="0" applyFont="1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9" fillId="0" borderId="10" xfId="0" applyFont="1" applyBorder="1"/>
    <xf numFmtId="44" fontId="0" fillId="0" borderId="10" xfId="1" applyFont="1" applyFill="1" applyBorder="1"/>
    <xf numFmtId="44" fontId="0" fillId="0" borderId="10" xfId="1" applyFont="1" applyBorder="1"/>
    <xf numFmtId="0" fontId="9" fillId="0" borderId="10" xfId="0" applyFont="1" applyBorder="1" applyAlignment="1">
      <alignment horizontal="center"/>
    </xf>
    <xf numFmtId="44" fontId="0" fillId="0" borderId="0" xfId="0" applyNumberFormat="1"/>
    <xf numFmtId="4" fontId="0" fillId="0" borderId="10" xfId="0" applyNumberFormat="1" applyBorder="1"/>
    <xf numFmtId="0" fontId="10" fillId="0" borderId="10" xfId="0" applyFont="1" applyBorder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4" fillId="0" borderId="0" xfId="1" applyFont="1"/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4" fontId="9" fillId="2" borderId="10" xfId="0" applyNumberFormat="1" applyFont="1" applyFill="1" applyBorder="1"/>
    <xf numFmtId="4" fontId="0" fillId="2" borderId="10" xfId="0" applyNumberFormat="1" applyFill="1" applyBorder="1"/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47625</xdr:rowOff>
    </xdr:from>
    <xdr:to>
      <xdr:col>0</xdr:col>
      <xdr:colOff>762000</xdr:colOff>
      <xdr:row>5</xdr:row>
      <xdr:rowOff>171450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209550"/>
          <a:ext cx="1019175" cy="10096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47625</xdr:rowOff>
    </xdr:from>
    <xdr:to>
      <xdr:col>1</xdr:col>
      <xdr:colOff>0</xdr:colOff>
      <xdr:row>5</xdr:row>
      <xdr:rowOff>171450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209550"/>
          <a:ext cx="1019175" cy="100965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</xdr:col>
      <xdr:colOff>0</xdr:colOff>
      <xdr:row>7</xdr:row>
      <xdr:rowOff>85725</xdr:rowOff>
    </xdr:to>
    <xdr:pic>
      <xdr:nvPicPr>
        <xdr:cNvPr id="3" name="Picture 1" descr="logo_cicodelpa_final_BR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0"/>
          <a:ext cx="1295400" cy="121920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ctavio\KACsep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ctavio\KACoct0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BUCHE "/>
      <sheetName val="CABEZA DE LOMO IBP"/>
      <sheetName val="CABEZA DE LOMO seaboard"/>
      <sheetName val="Cabeza lomo Smith"/>
      <sheetName val="Cab. de Lomo Vershoor"/>
      <sheetName val="Cabeza lomo Swift"/>
      <sheetName val="CARNERO"/>
      <sheetName val="CONTRA EXCEL"/>
      <sheetName val="CONTRA SWIFT"/>
      <sheetName val="Corbata Curlys"/>
      <sheetName val="CORBATA ibp"/>
      <sheetName val="Corbata Rupari"/>
      <sheetName val="costilla Rupari"/>
      <sheetName val="CUERO CAB DE LOMO FARMLAD"/>
      <sheetName val="CUERO PAPEL BELLY"/>
      <sheetName val="Cuero SM"/>
      <sheetName val="Espaldilla de Carnero"/>
      <sheetName val="ESPALDILLA DE CORDERO "/>
      <sheetName val="Filete de pescado"/>
      <sheetName val="Grasa en Combo"/>
      <sheetName val="GRASA DE PUERCO"/>
      <sheetName val="Labio Farmland"/>
      <sheetName val="LENGUA DE CERDO "/>
      <sheetName val="Lengua de Res"/>
      <sheetName val="Marrana en Combo"/>
      <sheetName val="MENUDO EXCEL 86M"/>
      <sheetName val="Menudo IBP"/>
      <sheetName val="Menudo Smithfield"/>
      <sheetName val="NANA "/>
      <sheetName val="PATITAS"/>
      <sheetName val="Pavo Crudo"/>
      <sheetName val="PERNIL CON PIEL"/>
      <sheetName val="Pulpa Negra"/>
      <sheetName val="Recorte 80-20"/>
      <sheetName val="SESOS EN COPA "/>
      <sheetName val="Sesos marqueta"/>
      <sheetName val="Trompa Excel"/>
      <sheetName val="Trompa Farmland"/>
      <sheetName val="Trompa John Morrell"/>
      <sheetName val="Trompa Seaboard"/>
      <sheetName val="Tocino IBP"/>
    </sheetNames>
    <sheetDataSet>
      <sheetData sheetId="0" refreshError="1"/>
      <sheetData sheetId="1">
        <row r="5">
          <cell r="C5" t="str">
            <v xml:space="preserve">BUCHE </v>
          </cell>
        </row>
        <row r="212">
          <cell r="G212">
            <v>2245.6499999999987</v>
          </cell>
          <cell r="H212">
            <v>165</v>
          </cell>
        </row>
      </sheetData>
      <sheetData sheetId="2">
        <row r="5">
          <cell r="C5" t="str">
            <v>CABEZA DE LOMO IBP</v>
          </cell>
        </row>
        <row r="211">
          <cell r="G211">
            <v>18021</v>
          </cell>
          <cell r="H211">
            <v>550</v>
          </cell>
        </row>
      </sheetData>
      <sheetData sheetId="3">
        <row r="5">
          <cell r="C5" t="str">
            <v>CABEZA DE LOMO SEABOARD</v>
          </cell>
        </row>
        <row r="208">
          <cell r="G208">
            <v>0</v>
          </cell>
          <cell r="H208">
            <v>0</v>
          </cell>
        </row>
      </sheetData>
      <sheetData sheetId="4">
        <row r="5">
          <cell r="C5" t="str">
            <v>CABEZA DE LOMO SMITHFIELD</v>
          </cell>
        </row>
        <row r="208">
          <cell r="G208">
            <v>0</v>
          </cell>
          <cell r="H208">
            <v>0</v>
          </cell>
        </row>
      </sheetData>
      <sheetData sheetId="5">
        <row r="5">
          <cell r="C5" t="str">
            <v>CABEZA DE LOMO VERSHOOR</v>
          </cell>
        </row>
        <row r="209">
          <cell r="G209">
            <v>5777.9099999999989</v>
          </cell>
          <cell r="H209">
            <v>292</v>
          </cell>
        </row>
      </sheetData>
      <sheetData sheetId="6">
        <row r="5">
          <cell r="C5" t="str">
            <v>CABEZA DE LOMO SWIFT</v>
          </cell>
        </row>
        <row r="207">
          <cell r="G207">
            <v>1745.5000000000023</v>
          </cell>
          <cell r="H207">
            <v>52</v>
          </cell>
        </row>
      </sheetData>
      <sheetData sheetId="7">
        <row r="5">
          <cell r="C5" t="str">
            <v>CARNERO</v>
          </cell>
        </row>
        <row r="208">
          <cell r="G208">
            <v>5049.3699999999935</v>
          </cell>
          <cell r="H208">
            <v>267</v>
          </cell>
        </row>
      </sheetData>
      <sheetData sheetId="8">
        <row r="5">
          <cell r="C5" t="str">
            <v>CONTRA (GOOSENECK) EXCEL</v>
          </cell>
        </row>
        <row r="196">
          <cell r="G196">
            <v>9018.65</v>
          </cell>
          <cell r="H196">
            <v>328</v>
          </cell>
        </row>
      </sheetData>
      <sheetData sheetId="9">
        <row r="5">
          <cell r="C5" t="str">
            <v>CONTRA (GOOSENECK) SWIFT</v>
          </cell>
        </row>
        <row r="197">
          <cell r="G197">
            <v>8477.0000000000018</v>
          </cell>
          <cell r="H197">
            <v>303</v>
          </cell>
        </row>
      </sheetData>
      <sheetData sheetId="10">
        <row r="5">
          <cell r="C5" t="str">
            <v>CORBATA CURLY'S</v>
          </cell>
        </row>
        <row r="208">
          <cell r="G208">
            <v>26036.569999999974</v>
          </cell>
          <cell r="H208">
            <v>1913</v>
          </cell>
        </row>
      </sheetData>
      <sheetData sheetId="11">
        <row r="5">
          <cell r="C5" t="str">
            <v>CORBATA  IBP</v>
          </cell>
        </row>
        <row r="209">
          <cell r="G209">
            <v>0</v>
          </cell>
          <cell r="H209">
            <v>0</v>
          </cell>
        </row>
      </sheetData>
      <sheetData sheetId="12">
        <row r="5">
          <cell r="C5" t="str">
            <v>CORBATA RUPARI (buena)</v>
          </cell>
        </row>
        <row r="206">
          <cell r="G206">
            <v>0</v>
          </cell>
          <cell r="H206">
            <v>0</v>
          </cell>
        </row>
      </sheetData>
      <sheetData sheetId="13">
        <row r="5">
          <cell r="C5" t="str">
            <v>COSTILLA RUPARI</v>
          </cell>
        </row>
        <row r="208">
          <cell r="G208">
            <v>7386.5800000000008</v>
          </cell>
          <cell r="H208">
            <v>1627</v>
          </cell>
        </row>
      </sheetData>
      <sheetData sheetId="14">
        <row r="5">
          <cell r="C5" t="str">
            <v>CUERO DE CABEZA DE LOMO</v>
          </cell>
        </row>
        <row r="210">
          <cell r="G210">
            <v>0</v>
          </cell>
          <cell r="H210">
            <v>0</v>
          </cell>
        </row>
      </sheetData>
      <sheetData sheetId="15">
        <row r="5">
          <cell r="C5" t="str">
            <v>CUERO PAPEL BELLY FARMLAND</v>
          </cell>
        </row>
        <row r="213">
          <cell r="G213">
            <v>63095.960000000028</v>
          </cell>
          <cell r="H213">
            <v>2318</v>
          </cell>
        </row>
      </sheetData>
      <sheetData sheetId="16">
        <row r="5">
          <cell r="C5" t="str">
            <v>CUERO BELLY SAN MATEO</v>
          </cell>
        </row>
        <row r="208">
          <cell r="G208">
            <v>-2.9615476737632207E-12</v>
          </cell>
          <cell r="H208">
            <v>0</v>
          </cell>
        </row>
      </sheetData>
      <sheetData sheetId="17">
        <row r="5">
          <cell r="C5" t="str">
            <v>ESPALDILLA DE CARNERO</v>
          </cell>
        </row>
        <row r="209">
          <cell r="G209">
            <v>8612.4299999999985</v>
          </cell>
          <cell r="H209">
            <v>385</v>
          </cell>
        </row>
      </sheetData>
      <sheetData sheetId="18">
        <row r="5">
          <cell r="C5" t="str">
            <v>ESPALDILLA DE CORDERO ALLIANZ</v>
          </cell>
        </row>
        <row r="207">
          <cell r="G207">
            <v>0</v>
          </cell>
          <cell r="H207">
            <v>0</v>
          </cell>
        </row>
      </sheetData>
      <sheetData sheetId="19">
        <row r="5">
          <cell r="C5" t="str">
            <v>FILETE DE PESCADO POLLOCK</v>
          </cell>
        </row>
        <row r="207">
          <cell r="G207">
            <v>4028.0500000000006</v>
          </cell>
          <cell r="H207">
            <v>222</v>
          </cell>
        </row>
      </sheetData>
      <sheetData sheetId="20">
        <row r="5">
          <cell r="C5" t="str">
            <v>GRASA EN COMBO</v>
          </cell>
        </row>
        <row r="207">
          <cell r="G207">
            <v>0</v>
          </cell>
          <cell r="H207">
            <v>0</v>
          </cell>
        </row>
      </sheetData>
      <sheetData sheetId="21">
        <row r="5">
          <cell r="C5" t="str">
            <v>GRASA DE PUERCO</v>
          </cell>
        </row>
        <row r="207">
          <cell r="G207">
            <v>0</v>
          </cell>
          <cell r="H207">
            <v>0</v>
          </cell>
        </row>
      </sheetData>
      <sheetData sheetId="22">
        <row r="5">
          <cell r="C5" t="str">
            <v>LABIO FARMLAND</v>
          </cell>
        </row>
        <row r="208">
          <cell r="G208">
            <v>2422.58</v>
          </cell>
          <cell r="H208">
            <v>89</v>
          </cell>
        </row>
      </sheetData>
      <sheetData sheetId="23">
        <row r="5">
          <cell r="C5" t="str">
            <v xml:space="preserve">LENGUA DE CERDO </v>
          </cell>
        </row>
        <row r="214">
          <cell r="G214">
            <v>1224.9000000000008</v>
          </cell>
          <cell r="H214">
            <v>87</v>
          </cell>
        </row>
      </sheetData>
      <sheetData sheetId="24">
        <row r="5">
          <cell r="C5" t="str">
            <v xml:space="preserve">LENGUA DE RES </v>
          </cell>
        </row>
        <row r="211">
          <cell r="G211">
            <v>767.17</v>
          </cell>
          <cell r="H211">
            <v>67</v>
          </cell>
        </row>
      </sheetData>
      <sheetData sheetId="25">
        <row r="5">
          <cell r="C5" t="str">
            <v>MARRANA EN COMBO</v>
          </cell>
        </row>
        <row r="207">
          <cell r="G207">
            <v>5204.9700000000012</v>
          </cell>
          <cell r="H207">
            <v>6</v>
          </cell>
        </row>
      </sheetData>
      <sheetData sheetId="26">
        <row r="5">
          <cell r="C5" t="str">
            <v>MENUDO EXCEL 86M</v>
          </cell>
        </row>
        <row r="210">
          <cell r="G210">
            <v>898.26000000000067</v>
          </cell>
          <cell r="H210">
            <v>33</v>
          </cell>
        </row>
      </sheetData>
      <sheetData sheetId="27">
        <row r="5">
          <cell r="C5" t="str">
            <v>MENUDO IBP</v>
          </cell>
        </row>
        <row r="207">
          <cell r="G207">
            <v>80309.880000000077</v>
          </cell>
          <cell r="H207">
            <v>3541</v>
          </cell>
        </row>
      </sheetData>
      <sheetData sheetId="28">
        <row r="5">
          <cell r="C5" t="str">
            <v>MENUDO SMITHFIELD</v>
          </cell>
        </row>
        <row r="207">
          <cell r="G207">
            <v>3484.159999999998</v>
          </cell>
          <cell r="H207">
            <v>128</v>
          </cell>
        </row>
      </sheetData>
      <sheetData sheetId="29">
        <row r="5">
          <cell r="C5" t="str">
            <v xml:space="preserve">NANA </v>
          </cell>
        </row>
        <row r="208">
          <cell r="G208">
            <v>2368.1400000000003</v>
          </cell>
          <cell r="H208">
            <v>174</v>
          </cell>
        </row>
      </sheetData>
      <sheetData sheetId="30">
        <row r="5">
          <cell r="C5" t="str">
            <v xml:space="preserve">PATITAS DE CERDO </v>
          </cell>
        </row>
        <row r="208">
          <cell r="G208">
            <v>1499.41</v>
          </cell>
          <cell r="H208">
            <v>100</v>
          </cell>
        </row>
      </sheetData>
      <sheetData sheetId="31">
        <row r="5">
          <cell r="C5" t="str">
            <v>PAVO CRUDO</v>
          </cell>
        </row>
        <row r="207">
          <cell r="G207">
            <v>13319.43</v>
          </cell>
          <cell r="H207">
            <v>677</v>
          </cell>
        </row>
      </sheetData>
      <sheetData sheetId="32">
        <row r="5">
          <cell r="C5" t="str">
            <v>PERNIL CON PIEL</v>
          </cell>
        </row>
        <row r="1303">
          <cell r="G1303">
            <v>2616.7800000000011</v>
          </cell>
          <cell r="H1303">
            <v>3</v>
          </cell>
        </row>
      </sheetData>
      <sheetData sheetId="33">
        <row r="5">
          <cell r="C5" t="str">
            <v>PULPA NEGRA</v>
          </cell>
        </row>
        <row r="207">
          <cell r="G207">
            <v>0</v>
          </cell>
          <cell r="H207">
            <v>0</v>
          </cell>
        </row>
      </sheetData>
      <sheetData sheetId="34">
        <row r="5">
          <cell r="C5" t="str">
            <v>RECORTE 80-20</v>
          </cell>
        </row>
        <row r="207">
          <cell r="G207">
            <v>0</v>
          </cell>
          <cell r="H207">
            <v>0</v>
          </cell>
        </row>
      </sheetData>
      <sheetData sheetId="35">
        <row r="5">
          <cell r="C5" t="str">
            <v>SESOS EN COPA FARMLAND</v>
          </cell>
        </row>
        <row r="213">
          <cell r="G213">
            <v>12736.73</v>
          </cell>
          <cell r="H213">
            <v>2341</v>
          </cell>
        </row>
      </sheetData>
      <sheetData sheetId="36">
        <row r="5">
          <cell r="C5" t="str">
            <v>SESOS MARQUETA</v>
          </cell>
        </row>
        <row r="207">
          <cell r="G207">
            <v>8533.4699999999993</v>
          </cell>
          <cell r="H207">
            <v>627</v>
          </cell>
        </row>
      </sheetData>
      <sheetData sheetId="37">
        <row r="5">
          <cell r="C5" t="str">
            <v>TROMPA EXCEL</v>
          </cell>
        </row>
        <row r="208">
          <cell r="G208">
            <v>2994.2</v>
          </cell>
          <cell r="H208">
            <v>110</v>
          </cell>
        </row>
      </sheetData>
      <sheetData sheetId="38">
        <row r="5">
          <cell r="C5" t="str">
            <v>TROMPA FARMLAND</v>
          </cell>
        </row>
        <row r="207">
          <cell r="G207">
            <v>2327.31</v>
          </cell>
          <cell r="H207">
            <v>171</v>
          </cell>
        </row>
      </sheetData>
      <sheetData sheetId="39">
        <row r="5">
          <cell r="C5" t="str">
            <v>TROMPA JOHN MORRELL</v>
          </cell>
        </row>
        <row r="207">
          <cell r="G207">
            <v>0</v>
          </cell>
          <cell r="H207">
            <v>0</v>
          </cell>
        </row>
      </sheetData>
      <sheetData sheetId="40">
        <row r="5">
          <cell r="C5" t="str">
            <v>TROMPA SEABOARD</v>
          </cell>
        </row>
        <row r="208">
          <cell r="G208">
            <v>0</v>
          </cell>
          <cell r="H208">
            <v>0</v>
          </cell>
        </row>
      </sheetData>
      <sheetData sheetId="41">
        <row r="5">
          <cell r="C5" t="str">
            <v>TOCINO IBP</v>
          </cell>
        </row>
        <row r="207">
          <cell r="G207">
            <v>3333.84</v>
          </cell>
          <cell r="H207">
            <v>120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BUCHE "/>
      <sheetName val="CABEZA DE LOMO IBP"/>
      <sheetName val="CABEZA DE LOMO seaboard"/>
      <sheetName val="Cabeza lomo Smith"/>
      <sheetName val="Cab. de Lomo Vershoor"/>
      <sheetName val="Cabeza lomo Swift"/>
      <sheetName val="CARNERO"/>
      <sheetName val="CONTRA EXCEL"/>
      <sheetName val="CONTRA IBP"/>
      <sheetName val="Corbata Curlys"/>
      <sheetName val="CORBATA ibp"/>
      <sheetName val="Corbata Rupari"/>
      <sheetName val="costilla Rupari"/>
      <sheetName val="CUERO CAB DE LOMO FARMLAD"/>
      <sheetName val="CUERO PAPEL BELLY"/>
      <sheetName val="Cuero SM"/>
      <sheetName val="Espaldilla de Carnero"/>
      <sheetName val="ESPALDILLA DE CORDERO "/>
      <sheetName val="Filete de pescado"/>
      <sheetName val="Grasa en Combo"/>
      <sheetName val="GRASA DE PUERCO"/>
      <sheetName val="Labio Farmland"/>
      <sheetName val="LENGUA DE CERDO "/>
      <sheetName val="Lengua de Res"/>
      <sheetName val="Marrana en Combo"/>
      <sheetName val="MENUDO EXCEL 86M"/>
      <sheetName val="Menudo IBP"/>
      <sheetName val="Menudo Smithfield"/>
      <sheetName val="NANA "/>
      <sheetName val="PATITAS"/>
      <sheetName val="Pavo Crudo"/>
      <sheetName val="PERNIL CON PIEL"/>
      <sheetName val="Pulpa Negra"/>
      <sheetName val="Recorte 80-20"/>
      <sheetName val="SESOS EN COPA "/>
      <sheetName val="Sesos marqueta"/>
      <sheetName val="Trompa Excel"/>
      <sheetName val="Trompa Farmland"/>
      <sheetName val="Trompa John Morrell"/>
      <sheetName val="Trompa Seaboard"/>
      <sheetName val="Tocino IBP"/>
    </sheetNames>
    <sheetDataSet>
      <sheetData sheetId="0" refreshError="1"/>
      <sheetData sheetId="1">
        <row r="5">
          <cell r="C5" t="str">
            <v xml:space="preserve">BUCHE </v>
          </cell>
        </row>
        <row r="212">
          <cell r="G212">
            <v>2585.9000000000005</v>
          </cell>
          <cell r="H212">
            <v>190</v>
          </cell>
        </row>
      </sheetData>
      <sheetData sheetId="2">
        <row r="5">
          <cell r="C5" t="str">
            <v>CABEZA DE LOMO IBP</v>
          </cell>
        </row>
        <row r="211">
          <cell r="G211">
            <v>0</v>
          </cell>
          <cell r="H211">
            <v>0</v>
          </cell>
        </row>
      </sheetData>
      <sheetData sheetId="3">
        <row r="5">
          <cell r="C5" t="str">
            <v>CABEZA DE LOMO SEABOARD</v>
          </cell>
        </row>
        <row r="208">
          <cell r="G208">
            <v>17296.949999999997</v>
          </cell>
          <cell r="H208">
            <v>575</v>
          </cell>
        </row>
      </sheetData>
      <sheetData sheetId="4">
        <row r="5">
          <cell r="C5" t="str">
            <v>CABEZA DE LOMO SMITHFIELD</v>
          </cell>
        </row>
        <row r="208">
          <cell r="G208">
            <v>0</v>
          </cell>
          <cell r="H208">
            <v>0</v>
          </cell>
        </row>
      </sheetData>
      <sheetData sheetId="5">
        <row r="5">
          <cell r="C5" t="str">
            <v>CABEZA DE LOMO VERSHOOR</v>
          </cell>
        </row>
        <row r="208">
          <cell r="G208">
            <v>4125</v>
          </cell>
          <cell r="H208">
            <v>208</v>
          </cell>
        </row>
      </sheetData>
      <sheetData sheetId="6">
        <row r="5">
          <cell r="C5" t="str">
            <v>CABEZA DE LOMO SWIFT</v>
          </cell>
        </row>
        <row r="207">
          <cell r="G207">
            <v>7.4399999999999409</v>
          </cell>
          <cell r="H207">
            <v>0</v>
          </cell>
        </row>
      </sheetData>
      <sheetData sheetId="7">
        <row r="5">
          <cell r="C5" t="str">
            <v>CARNERO</v>
          </cell>
        </row>
        <row r="208">
          <cell r="G208">
            <v>1577.0000000000007</v>
          </cell>
          <cell r="H208">
            <v>81</v>
          </cell>
        </row>
      </sheetData>
      <sheetData sheetId="8">
        <row r="5">
          <cell r="C5" t="str">
            <v>CONTRA (GOOSENECK) EXCEL</v>
          </cell>
        </row>
        <row r="196">
          <cell r="G196">
            <v>10185.069999999998</v>
          </cell>
          <cell r="H196">
            <v>366</v>
          </cell>
        </row>
      </sheetData>
      <sheetData sheetId="9">
        <row r="5">
          <cell r="C5" t="str">
            <v>CONTRA (GOOSENECK) IBP</v>
          </cell>
        </row>
        <row r="196">
          <cell r="G196">
            <v>10745.84</v>
          </cell>
          <cell r="H196">
            <v>250</v>
          </cell>
        </row>
      </sheetData>
      <sheetData sheetId="10">
        <row r="5">
          <cell r="C5" t="str">
            <v>CORBATA CURLY'S</v>
          </cell>
        </row>
        <row r="208">
          <cell r="G208">
            <v>16454.489999999998</v>
          </cell>
          <cell r="H208">
            <v>1209</v>
          </cell>
        </row>
      </sheetData>
      <sheetData sheetId="11">
        <row r="5">
          <cell r="C5" t="str">
            <v>CORBATA  IBP</v>
          </cell>
        </row>
        <row r="209">
          <cell r="G209">
            <v>16587.3</v>
          </cell>
          <cell r="H209">
            <v>1230</v>
          </cell>
        </row>
      </sheetData>
      <sheetData sheetId="12">
        <row r="5">
          <cell r="C5" t="str">
            <v>CORBATA RUPARI (buena)</v>
          </cell>
        </row>
        <row r="206">
          <cell r="G206">
            <v>0</v>
          </cell>
          <cell r="H206">
            <v>0</v>
          </cell>
        </row>
      </sheetData>
      <sheetData sheetId="13">
        <row r="5">
          <cell r="C5" t="str">
            <v>COSTILLA RUPARI</v>
          </cell>
        </row>
        <row r="208">
          <cell r="G208">
            <v>7264.0000000000009</v>
          </cell>
          <cell r="H208">
            <v>1600</v>
          </cell>
        </row>
      </sheetData>
      <sheetData sheetId="14">
        <row r="5">
          <cell r="C5" t="str">
            <v>CUERO DE CABEZA DE LOMO</v>
          </cell>
        </row>
        <row r="210">
          <cell r="G210">
            <v>0</v>
          </cell>
          <cell r="H210">
            <v>0</v>
          </cell>
        </row>
      </sheetData>
      <sheetData sheetId="15">
        <row r="5">
          <cell r="C5" t="str">
            <v>CUERO PAPEL BELLY FARMLAND</v>
          </cell>
        </row>
        <row r="213">
          <cell r="G213">
            <v>33181.180000000015</v>
          </cell>
          <cell r="H213">
            <v>1219</v>
          </cell>
        </row>
      </sheetData>
      <sheetData sheetId="16">
        <row r="5">
          <cell r="C5" t="str">
            <v>CUERO BELLY SAN MATEO</v>
          </cell>
        </row>
        <row r="208">
          <cell r="G208">
            <v>0</v>
          </cell>
          <cell r="H208">
            <v>0</v>
          </cell>
        </row>
      </sheetData>
      <sheetData sheetId="17">
        <row r="5">
          <cell r="C5" t="str">
            <v>ESPALDILLA DE CARNERO</v>
          </cell>
        </row>
        <row r="207">
          <cell r="G207">
            <v>-0.36000000000001364</v>
          </cell>
          <cell r="H207">
            <v>0</v>
          </cell>
        </row>
      </sheetData>
      <sheetData sheetId="18">
        <row r="5">
          <cell r="C5" t="str">
            <v>ESPALDILLA DE CORDERO ALLIANZ</v>
          </cell>
        </row>
        <row r="207">
          <cell r="G207">
            <v>0</v>
          </cell>
          <cell r="H207">
            <v>0</v>
          </cell>
        </row>
      </sheetData>
      <sheetData sheetId="19">
        <row r="5">
          <cell r="C5" t="str">
            <v>FILETE DE PESCADO POLLOCK</v>
          </cell>
        </row>
        <row r="207">
          <cell r="G207">
            <v>3193.5299999999997</v>
          </cell>
          <cell r="H207">
            <v>176</v>
          </cell>
        </row>
      </sheetData>
      <sheetData sheetId="20">
        <row r="5">
          <cell r="C5" t="str">
            <v>GRASA EN COMBO</v>
          </cell>
        </row>
        <row r="207">
          <cell r="G207">
            <v>0</v>
          </cell>
          <cell r="H207">
            <v>0</v>
          </cell>
        </row>
      </sheetData>
      <sheetData sheetId="21">
        <row r="5">
          <cell r="C5" t="str">
            <v>GRASA DE PUERCO</v>
          </cell>
        </row>
        <row r="207">
          <cell r="G207">
            <v>0</v>
          </cell>
          <cell r="H207">
            <v>0</v>
          </cell>
        </row>
      </sheetData>
      <sheetData sheetId="22">
        <row r="5">
          <cell r="C5" t="str">
            <v>LABIO FARMLAND</v>
          </cell>
        </row>
        <row r="208">
          <cell r="G208">
            <v>2422.58</v>
          </cell>
          <cell r="H208">
            <v>89</v>
          </cell>
        </row>
      </sheetData>
      <sheetData sheetId="23">
        <row r="5">
          <cell r="C5" t="str">
            <v xml:space="preserve">LENGUA DE CERDO </v>
          </cell>
        </row>
        <row r="214">
          <cell r="G214">
            <v>1755.69</v>
          </cell>
          <cell r="H214">
            <v>129</v>
          </cell>
        </row>
      </sheetData>
      <sheetData sheetId="24">
        <row r="5">
          <cell r="C5" t="str">
            <v xml:space="preserve">LENGUA DE RES </v>
          </cell>
        </row>
        <row r="211">
          <cell r="G211">
            <v>217.33000000000004</v>
          </cell>
          <cell r="H211">
            <v>19</v>
          </cell>
        </row>
      </sheetData>
      <sheetData sheetId="25">
        <row r="5">
          <cell r="C5" t="str">
            <v>MARRANA EN COMBO</v>
          </cell>
        </row>
        <row r="207">
          <cell r="G207">
            <v>5204.97</v>
          </cell>
          <cell r="H207">
            <v>6</v>
          </cell>
        </row>
      </sheetData>
      <sheetData sheetId="26">
        <row r="5">
          <cell r="C5" t="str">
            <v>MENUDO EXCEL</v>
          </cell>
        </row>
        <row r="210">
          <cell r="G210">
            <v>35168.239999999998</v>
          </cell>
          <cell r="H210">
            <v>1292</v>
          </cell>
        </row>
      </sheetData>
      <sheetData sheetId="27">
        <row r="5">
          <cell r="C5" t="str">
            <v>MENUDO IBP</v>
          </cell>
        </row>
        <row r="207">
          <cell r="G207">
            <v>52073.280000000028</v>
          </cell>
          <cell r="H207">
            <v>2296</v>
          </cell>
        </row>
      </sheetData>
      <sheetData sheetId="28">
        <row r="5">
          <cell r="C5" t="str">
            <v>MENUDO SMITHFIELD</v>
          </cell>
        </row>
        <row r="207">
          <cell r="G207">
            <v>-2.2737367544323206E-13</v>
          </cell>
          <cell r="H207">
            <v>0</v>
          </cell>
        </row>
      </sheetData>
      <sheetData sheetId="29">
        <row r="5">
          <cell r="C5" t="str">
            <v xml:space="preserve">NANA </v>
          </cell>
        </row>
        <row r="208">
          <cell r="G208">
            <v>4273.5399999999991</v>
          </cell>
          <cell r="H208">
            <v>314</v>
          </cell>
        </row>
      </sheetData>
      <sheetData sheetId="30">
        <row r="5">
          <cell r="C5" t="str">
            <v xml:space="preserve">PATITAS DE CERDO </v>
          </cell>
        </row>
        <row r="208">
          <cell r="G208">
            <v>1319.88</v>
          </cell>
          <cell r="H208">
            <v>88</v>
          </cell>
        </row>
      </sheetData>
      <sheetData sheetId="31">
        <row r="5">
          <cell r="C5" t="str">
            <v>PAVO CRUDO</v>
          </cell>
        </row>
        <row r="207">
          <cell r="G207">
            <v>13319.43</v>
          </cell>
          <cell r="H207">
            <v>677</v>
          </cell>
        </row>
      </sheetData>
      <sheetData sheetId="32">
        <row r="5">
          <cell r="C5" t="str">
            <v>PERNIL CON PIEL</v>
          </cell>
        </row>
        <row r="1303">
          <cell r="G1303">
            <v>45646.820000000014</v>
          </cell>
          <cell r="H1303">
            <v>52</v>
          </cell>
        </row>
      </sheetData>
      <sheetData sheetId="33">
        <row r="5">
          <cell r="C5" t="str">
            <v>PULPA NEGRA</v>
          </cell>
        </row>
        <row r="207">
          <cell r="G207">
            <v>0</v>
          </cell>
          <cell r="H207">
            <v>0</v>
          </cell>
        </row>
      </sheetData>
      <sheetData sheetId="34">
        <row r="5">
          <cell r="C5" t="str">
            <v>RECORTE 80-20</v>
          </cell>
        </row>
        <row r="207">
          <cell r="G207">
            <v>0</v>
          </cell>
          <cell r="H207">
            <v>0</v>
          </cell>
        </row>
      </sheetData>
      <sheetData sheetId="35">
        <row r="5">
          <cell r="C5" t="str">
            <v>SESOS EN COPA FARMLAND</v>
          </cell>
        </row>
        <row r="212">
          <cell r="G212">
            <v>9265.7300000000014</v>
          </cell>
          <cell r="H212">
            <v>1703</v>
          </cell>
        </row>
      </sheetData>
      <sheetData sheetId="36">
        <row r="5">
          <cell r="C5" t="str">
            <v>SESOS MARQUETA</v>
          </cell>
        </row>
        <row r="207">
          <cell r="G207">
            <v>6505.579999999999</v>
          </cell>
          <cell r="H207">
            <v>478</v>
          </cell>
        </row>
      </sheetData>
      <sheetData sheetId="37">
        <row r="5">
          <cell r="C5" t="str">
            <v>TROMPA EXCEL</v>
          </cell>
        </row>
        <row r="208">
          <cell r="G208">
            <v>2994.2</v>
          </cell>
          <cell r="H208">
            <v>110</v>
          </cell>
        </row>
      </sheetData>
      <sheetData sheetId="38">
        <row r="5">
          <cell r="C5" t="str">
            <v>TROMPA FARMLAND</v>
          </cell>
        </row>
        <row r="207">
          <cell r="G207">
            <v>1401.8300000000004</v>
          </cell>
          <cell r="H207">
            <v>103</v>
          </cell>
        </row>
      </sheetData>
      <sheetData sheetId="39">
        <row r="5">
          <cell r="C5" t="str">
            <v>TROMPA JOHN MORRELL</v>
          </cell>
        </row>
        <row r="207">
          <cell r="G207">
            <v>0</v>
          </cell>
          <cell r="H207">
            <v>0</v>
          </cell>
        </row>
      </sheetData>
      <sheetData sheetId="40">
        <row r="5">
          <cell r="C5" t="str">
            <v>TROMPA SEABOARD</v>
          </cell>
        </row>
        <row r="208">
          <cell r="G208">
            <v>0</v>
          </cell>
          <cell r="H208">
            <v>0</v>
          </cell>
        </row>
      </sheetData>
      <sheetData sheetId="41">
        <row r="5">
          <cell r="C5" t="str">
            <v>TOCINO IBP</v>
          </cell>
        </row>
        <row r="207">
          <cell r="G207">
            <v>3333.84</v>
          </cell>
          <cell r="H207">
            <v>120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topLeftCell="A31" workbookViewId="0">
      <selection activeCell="G47" sqref="G47"/>
    </sheetView>
  </sheetViews>
  <sheetFormatPr baseColWidth="10" defaultRowHeight="15"/>
  <cols>
    <col min="3" max="3" width="13.85546875" bestFit="1" customWidth="1"/>
    <col min="4" max="4" width="12.7109375" bestFit="1" customWidth="1"/>
    <col min="10" max="10" width="15.85546875" bestFit="1" customWidth="1"/>
  </cols>
  <sheetData>
    <row r="1" spans="1:13">
      <c r="A1" s="1"/>
      <c r="B1" s="1"/>
      <c r="C1" s="3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0.25">
      <c r="A2" s="1"/>
      <c r="B2" s="7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2"/>
      <c r="B3" s="1"/>
      <c r="C3" s="3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2"/>
      <c r="B4" s="1"/>
      <c r="C4" s="3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">
      <c r="A5" s="1"/>
      <c r="B5" s="6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7" spans="1:13" ht="15.75">
      <c r="A7" s="1"/>
      <c r="B7" s="5"/>
      <c r="C7" s="12" t="s">
        <v>2</v>
      </c>
      <c r="D7" s="35">
        <v>39690</v>
      </c>
      <c r="E7" s="40"/>
      <c r="F7" s="40"/>
      <c r="G7" s="40"/>
      <c r="H7" s="40"/>
      <c r="I7" s="20"/>
      <c r="J7" s="1"/>
      <c r="K7" s="1"/>
      <c r="L7" s="1"/>
      <c r="M7" s="1"/>
    </row>
    <row r="8" spans="1:13" ht="16.5" thickBot="1">
      <c r="A8" s="1"/>
      <c r="B8" s="1"/>
      <c r="C8" s="1" t="s">
        <v>3</v>
      </c>
      <c r="D8" s="1"/>
      <c r="E8" s="1" t="s">
        <v>4</v>
      </c>
      <c r="F8" s="1"/>
      <c r="G8" s="1" t="s">
        <v>5</v>
      </c>
      <c r="H8" s="1"/>
      <c r="I8" s="32"/>
      <c r="J8" s="20"/>
      <c r="K8" s="17"/>
      <c r="L8" s="5"/>
      <c r="M8" s="1"/>
    </row>
    <row r="9" spans="1:13" ht="17.25" thickTop="1" thickBot="1">
      <c r="A9" s="13" t="s">
        <v>6</v>
      </c>
      <c r="B9" s="14"/>
      <c r="C9" s="15" t="s">
        <v>7</v>
      </c>
      <c r="D9" s="18" t="s">
        <v>8</v>
      </c>
      <c r="E9" s="15" t="s">
        <v>7</v>
      </c>
      <c r="F9" s="18" t="s">
        <v>8</v>
      </c>
      <c r="G9" s="15" t="s">
        <v>7</v>
      </c>
      <c r="H9" s="18" t="s">
        <v>8</v>
      </c>
      <c r="I9" s="18" t="s">
        <v>9</v>
      </c>
      <c r="J9" s="18" t="s">
        <v>10</v>
      </c>
      <c r="K9" s="23" t="s">
        <v>11</v>
      </c>
      <c r="L9" s="24"/>
      <c r="M9" s="4"/>
    </row>
    <row r="10" spans="1:13" ht="15.75">
      <c r="A10" s="16" t="s">
        <v>12</v>
      </c>
      <c r="B10" s="8"/>
      <c r="C10" s="9">
        <v>6829.91</v>
      </c>
      <c r="D10" s="19">
        <v>502</v>
      </c>
      <c r="E10" s="19">
        <v>6832.22</v>
      </c>
      <c r="F10" s="19">
        <v>502</v>
      </c>
      <c r="G10" s="34">
        <v>2.3100000000004002</v>
      </c>
      <c r="H10" s="19">
        <v>0</v>
      </c>
      <c r="I10" s="22">
        <v>27.4</v>
      </c>
      <c r="J10" s="22">
        <v>187202.82800000001</v>
      </c>
      <c r="K10" s="25">
        <v>27.9</v>
      </c>
      <c r="L10" s="25"/>
      <c r="M10" s="4"/>
    </row>
    <row r="11" spans="1:13" ht="15.75">
      <c r="A11" s="16" t="s">
        <v>13</v>
      </c>
      <c r="B11" s="10"/>
      <c r="C11" s="9">
        <v>0</v>
      </c>
      <c r="D11" s="19">
        <v>0</v>
      </c>
      <c r="E11" s="19"/>
      <c r="F11" s="19"/>
      <c r="G11" s="34">
        <v>0</v>
      </c>
      <c r="H11" s="19">
        <v>0</v>
      </c>
      <c r="I11" s="22">
        <v>22</v>
      </c>
      <c r="J11" s="22">
        <v>0</v>
      </c>
      <c r="K11" s="25">
        <v>22.5</v>
      </c>
      <c r="L11" s="25"/>
      <c r="M11" s="4"/>
    </row>
    <row r="12" spans="1:13" ht="15.75">
      <c r="A12" s="16" t="s">
        <v>14</v>
      </c>
      <c r="B12" s="10"/>
      <c r="C12" s="9">
        <v>0</v>
      </c>
      <c r="D12" s="19">
        <v>0</v>
      </c>
      <c r="E12" s="19"/>
      <c r="F12" s="19"/>
      <c r="G12" s="34">
        <v>0</v>
      </c>
      <c r="H12" s="19">
        <v>0</v>
      </c>
      <c r="I12" s="22">
        <v>21</v>
      </c>
      <c r="J12" s="22">
        <v>0</v>
      </c>
      <c r="K12" s="25">
        <v>21.5</v>
      </c>
      <c r="L12" s="25"/>
      <c r="M12" s="4"/>
    </row>
    <row r="13" spans="1:13" ht="15.75">
      <c r="A13" s="16" t="s">
        <v>15</v>
      </c>
      <c r="B13" s="10"/>
      <c r="C13" s="9">
        <v>0</v>
      </c>
      <c r="D13" s="19">
        <v>0</v>
      </c>
      <c r="E13" s="19"/>
      <c r="F13" s="19"/>
      <c r="G13" s="34">
        <v>0</v>
      </c>
      <c r="H13" s="19">
        <v>0</v>
      </c>
      <c r="I13" s="22">
        <v>24.2</v>
      </c>
      <c r="J13" s="22">
        <v>0</v>
      </c>
      <c r="K13" s="25">
        <v>24.7</v>
      </c>
      <c r="L13" s="25"/>
      <c r="M13" s="4"/>
    </row>
    <row r="14" spans="1:13" ht="15.75">
      <c r="A14" s="16" t="s">
        <v>16</v>
      </c>
      <c r="B14" s="10"/>
      <c r="C14" s="9">
        <v>0</v>
      </c>
      <c r="D14" s="34">
        <v>0</v>
      </c>
      <c r="E14" s="34"/>
      <c r="F14" s="34"/>
      <c r="G14" s="34">
        <v>0</v>
      </c>
      <c r="H14" s="19">
        <v>0</v>
      </c>
      <c r="I14" s="22">
        <v>28</v>
      </c>
      <c r="J14" s="22">
        <v>0</v>
      </c>
      <c r="K14" s="25">
        <v>28.5</v>
      </c>
      <c r="L14" s="25"/>
      <c r="M14" s="4"/>
    </row>
    <row r="15" spans="1:13" ht="15.75">
      <c r="A15" s="16" t="s">
        <v>17</v>
      </c>
      <c r="B15" s="10"/>
      <c r="C15" s="9">
        <v>17226.699999999997</v>
      </c>
      <c r="D15" s="19">
        <v>893</v>
      </c>
      <c r="E15" s="19">
        <v>17218.55</v>
      </c>
      <c r="F15" s="19">
        <v>893</v>
      </c>
      <c r="G15" s="34">
        <v>-8.1499999999978172</v>
      </c>
      <c r="H15" s="19">
        <v>0</v>
      </c>
      <c r="I15" s="22">
        <v>19.399999999999999</v>
      </c>
      <c r="J15" s="22">
        <v>334039.86999999994</v>
      </c>
      <c r="K15" s="25">
        <v>19.899999999999999</v>
      </c>
      <c r="L15" s="25"/>
      <c r="M15" s="4"/>
    </row>
    <row r="16" spans="1:13" ht="15.75">
      <c r="A16" s="16" t="s">
        <v>18</v>
      </c>
      <c r="B16" s="10"/>
      <c r="C16" s="9">
        <v>576.82000000000016</v>
      </c>
      <c r="D16" s="19">
        <v>28</v>
      </c>
      <c r="E16" s="19">
        <v>576.5</v>
      </c>
      <c r="F16" s="19">
        <v>28</v>
      </c>
      <c r="G16" s="34">
        <v>-0.32000000000016371</v>
      </c>
      <c r="H16" s="19">
        <v>0</v>
      </c>
      <c r="I16" s="22">
        <v>32</v>
      </c>
      <c r="J16" s="22">
        <v>18448</v>
      </c>
      <c r="K16" s="25">
        <v>32.5</v>
      </c>
      <c r="L16" s="25"/>
      <c r="M16" s="4" t="s">
        <v>19</v>
      </c>
    </row>
    <row r="17" spans="1:13" ht="15.75">
      <c r="A17" s="16" t="s">
        <v>20</v>
      </c>
      <c r="B17" s="10"/>
      <c r="C17" s="9">
        <v>10149.5</v>
      </c>
      <c r="D17" s="19">
        <v>368</v>
      </c>
      <c r="E17" s="19">
        <v>10149.5</v>
      </c>
      <c r="F17" s="19">
        <v>368</v>
      </c>
      <c r="G17" s="34">
        <v>0</v>
      </c>
      <c r="H17" s="19">
        <v>0</v>
      </c>
      <c r="I17" s="22">
        <v>39</v>
      </c>
      <c r="J17" s="22">
        <v>395830.5</v>
      </c>
      <c r="K17" s="25">
        <v>39.5</v>
      </c>
      <c r="L17" s="25"/>
      <c r="M17" s="4"/>
    </row>
    <row r="18" spans="1:13" ht="15.75">
      <c r="A18" s="16" t="s">
        <v>21</v>
      </c>
      <c r="B18" s="10"/>
      <c r="C18" s="9">
        <v>27122.7</v>
      </c>
      <c r="D18" s="19">
        <v>970</v>
      </c>
      <c r="E18" s="19">
        <v>27140.6</v>
      </c>
      <c r="F18" s="19">
        <v>970</v>
      </c>
      <c r="G18" s="34">
        <v>17.899999999997817</v>
      </c>
      <c r="H18" s="19">
        <v>0</v>
      </c>
      <c r="I18" s="22">
        <v>40.5</v>
      </c>
      <c r="J18" s="22">
        <v>1099194.3</v>
      </c>
      <c r="K18" s="25">
        <v>41</v>
      </c>
      <c r="L18" s="25"/>
      <c r="M18" s="4"/>
    </row>
    <row r="19" spans="1:13" ht="15.75">
      <c r="A19" s="16" t="s">
        <v>22</v>
      </c>
      <c r="B19" s="10"/>
      <c r="C19" s="9">
        <v>39049.509999999995</v>
      </c>
      <c r="D19" s="19">
        <v>2869</v>
      </c>
      <c r="E19" s="19">
        <v>39047.089999999997</v>
      </c>
      <c r="F19" s="19">
        <v>2869</v>
      </c>
      <c r="G19" s="34">
        <v>-2.4199999999982538</v>
      </c>
      <c r="H19" s="19">
        <v>0</v>
      </c>
      <c r="I19" s="22">
        <v>25.5</v>
      </c>
      <c r="J19" s="22">
        <v>995700.79499999993</v>
      </c>
      <c r="K19" s="25">
        <v>26</v>
      </c>
      <c r="L19" s="25"/>
      <c r="M19" s="4"/>
    </row>
    <row r="20" spans="1:13" ht="15.75">
      <c r="A20" s="16" t="s">
        <v>23</v>
      </c>
      <c r="B20" s="10"/>
      <c r="C20" s="9">
        <v>0</v>
      </c>
      <c r="D20" s="19">
        <v>0</v>
      </c>
      <c r="E20" s="19"/>
      <c r="F20" s="19"/>
      <c r="G20" s="34">
        <v>0</v>
      </c>
      <c r="H20" s="19">
        <v>0</v>
      </c>
      <c r="I20" s="22"/>
      <c r="J20" s="22">
        <v>0</v>
      </c>
      <c r="K20" s="25">
        <v>0.5</v>
      </c>
      <c r="L20" s="25"/>
      <c r="M20" s="4"/>
    </row>
    <row r="21" spans="1:13" ht="15.75">
      <c r="A21" s="16" t="s">
        <v>24</v>
      </c>
      <c r="B21" s="10"/>
      <c r="C21" s="9">
        <v>-0.1999999999998181</v>
      </c>
      <c r="D21" s="19">
        <v>0</v>
      </c>
      <c r="E21" s="19"/>
      <c r="F21" s="19"/>
      <c r="G21" s="34">
        <v>0.1999999999998181</v>
      </c>
      <c r="H21" s="19">
        <v>0</v>
      </c>
      <c r="I21" s="22"/>
      <c r="J21" s="22">
        <v>0</v>
      </c>
      <c r="K21" s="25">
        <v>0.5</v>
      </c>
      <c r="L21" s="25"/>
      <c r="M21" s="4"/>
    </row>
    <row r="22" spans="1:13" ht="15.75">
      <c r="A22" s="16" t="s">
        <v>25</v>
      </c>
      <c r="B22" s="10"/>
      <c r="C22" s="9">
        <v>7522.6800000000012</v>
      </c>
      <c r="D22" s="19">
        <v>1657</v>
      </c>
      <c r="E22" s="19">
        <v>7522.78</v>
      </c>
      <c r="F22" s="19">
        <v>1657</v>
      </c>
      <c r="G22" s="34">
        <v>9.9999999998544808E-2</v>
      </c>
      <c r="H22" s="19">
        <v>0</v>
      </c>
      <c r="I22" s="22">
        <v>10.89</v>
      </c>
      <c r="J22" s="22">
        <v>81923.074200000003</v>
      </c>
      <c r="K22" s="25">
        <v>11.39</v>
      </c>
      <c r="L22" s="25"/>
      <c r="M22" s="4"/>
    </row>
    <row r="23" spans="1:13" ht="15.75">
      <c r="A23" s="16" t="s">
        <v>26</v>
      </c>
      <c r="B23" s="10"/>
      <c r="C23" s="9">
        <v>671.18</v>
      </c>
      <c r="D23" s="19">
        <v>37</v>
      </c>
      <c r="E23" s="19">
        <v>671.18</v>
      </c>
      <c r="F23" s="19">
        <v>37</v>
      </c>
      <c r="G23" s="34">
        <v>0</v>
      </c>
      <c r="H23" s="19">
        <v>0</v>
      </c>
      <c r="I23" s="22">
        <v>10.85</v>
      </c>
      <c r="J23" s="22">
        <v>7282.302999999999</v>
      </c>
      <c r="K23" s="25">
        <v>11.35</v>
      </c>
      <c r="L23" s="25"/>
      <c r="M23" s="4"/>
    </row>
    <row r="24" spans="1:13" ht="15.75">
      <c r="A24" s="16" t="s">
        <v>27</v>
      </c>
      <c r="B24" s="10"/>
      <c r="C24" s="9">
        <v>12123.759999999998</v>
      </c>
      <c r="D24" s="19">
        <v>355</v>
      </c>
      <c r="E24" s="19">
        <v>12123.96</v>
      </c>
      <c r="F24" s="19">
        <v>355</v>
      </c>
      <c r="G24" s="34">
        <v>0.2000000000007276</v>
      </c>
      <c r="H24" s="19">
        <v>0</v>
      </c>
      <c r="I24" s="22">
        <v>12</v>
      </c>
      <c r="J24" s="22">
        <v>145487.51999999999</v>
      </c>
      <c r="K24" s="25">
        <v>12.5</v>
      </c>
      <c r="L24" s="25"/>
      <c r="M24" s="4"/>
    </row>
    <row r="25" spans="1:13" ht="15.75">
      <c r="A25" s="16" t="s">
        <v>28</v>
      </c>
      <c r="B25" s="10"/>
      <c r="C25" s="9">
        <v>-2.6147972675971687E-12</v>
      </c>
      <c r="D25" s="19">
        <v>0</v>
      </c>
      <c r="E25" s="19"/>
      <c r="F25" s="19"/>
      <c r="G25" s="34">
        <v>2.6147972675971687E-12</v>
      </c>
      <c r="H25" s="19">
        <v>0</v>
      </c>
      <c r="I25" s="22"/>
      <c r="J25" s="22">
        <v>0</v>
      </c>
      <c r="K25" s="25">
        <v>0.5</v>
      </c>
      <c r="L25" s="25"/>
      <c r="M25" s="4"/>
    </row>
    <row r="26" spans="1:13" ht="15.75">
      <c r="A26" s="16" t="s">
        <v>29</v>
      </c>
      <c r="B26" s="10"/>
      <c r="C26" s="9">
        <v>18098.749999999993</v>
      </c>
      <c r="D26" s="36">
        <v>821</v>
      </c>
      <c r="E26" s="36">
        <v>18094.469999999998</v>
      </c>
      <c r="F26" s="36">
        <v>821</v>
      </c>
      <c r="G26" s="34">
        <v>-4.2799999999951979</v>
      </c>
      <c r="H26" s="19">
        <v>0</v>
      </c>
      <c r="I26" s="22">
        <v>32</v>
      </c>
      <c r="J26" s="22">
        <v>579023.03999999992</v>
      </c>
      <c r="K26" s="25">
        <v>32.5</v>
      </c>
      <c r="L26" s="25"/>
      <c r="M26" s="4"/>
    </row>
    <row r="27" spans="1:13" ht="15.75">
      <c r="A27" s="16" t="s">
        <v>30</v>
      </c>
      <c r="B27" s="10"/>
      <c r="C27" s="9">
        <v>4390.9700000000012</v>
      </c>
      <c r="D27" s="36">
        <v>242</v>
      </c>
      <c r="E27" s="36">
        <v>4390.8500000000004</v>
      </c>
      <c r="F27" s="36">
        <v>242</v>
      </c>
      <c r="G27" s="34">
        <v>-0.12000000000080036</v>
      </c>
      <c r="H27" s="19">
        <v>0</v>
      </c>
      <c r="I27" s="22">
        <v>23</v>
      </c>
      <c r="J27" s="22">
        <v>100989.55</v>
      </c>
      <c r="K27" s="25">
        <v>23.5</v>
      </c>
      <c r="L27" s="25"/>
      <c r="M27" s="4"/>
    </row>
    <row r="28" spans="1:13" ht="15.75">
      <c r="A28" s="16" t="s">
        <v>31</v>
      </c>
      <c r="B28" s="10"/>
      <c r="C28" s="9">
        <v>0</v>
      </c>
      <c r="D28" s="19">
        <v>0</v>
      </c>
      <c r="E28" s="19"/>
      <c r="F28" s="19"/>
      <c r="G28" s="34">
        <v>0</v>
      </c>
      <c r="H28" s="19">
        <v>0</v>
      </c>
      <c r="I28" s="22"/>
      <c r="J28" s="22">
        <v>0</v>
      </c>
      <c r="K28" s="25">
        <v>0.5</v>
      </c>
      <c r="L28" s="25"/>
      <c r="M28" s="4"/>
    </row>
    <row r="29" spans="1:13" ht="15.75">
      <c r="A29" s="16" t="s">
        <v>32</v>
      </c>
      <c r="B29" s="10"/>
      <c r="C29" s="9">
        <v>2422.58</v>
      </c>
      <c r="D29" s="19">
        <v>89</v>
      </c>
      <c r="E29" s="19">
        <v>2422.58</v>
      </c>
      <c r="F29" s="19">
        <v>89</v>
      </c>
      <c r="G29" s="34">
        <v>0</v>
      </c>
      <c r="H29" s="19">
        <v>0</v>
      </c>
      <c r="I29" s="22">
        <v>13.32</v>
      </c>
      <c r="J29" s="22">
        <v>32268.765599999999</v>
      </c>
      <c r="K29" s="25">
        <v>13.82</v>
      </c>
      <c r="L29" s="25"/>
      <c r="M29" s="4"/>
    </row>
    <row r="30" spans="1:13" ht="15.75">
      <c r="A30" s="16" t="s">
        <v>33</v>
      </c>
      <c r="B30" s="10"/>
      <c r="C30" s="9">
        <v>0</v>
      </c>
      <c r="D30" s="34">
        <v>0</v>
      </c>
      <c r="E30" s="34"/>
      <c r="F30" s="34"/>
      <c r="G30" s="34">
        <v>0</v>
      </c>
      <c r="H30" s="19">
        <v>0</v>
      </c>
      <c r="I30" s="22"/>
      <c r="J30" s="22">
        <v>0</v>
      </c>
      <c r="K30" s="25">
        <v>0.5</v>
      </c>
      <c r="L30" s="25"/>
      <c r="M30" s="4"/>
    </row>
    <row r="31" spans="1:13" ht="15.75">
      <c r="A31" s="16" t="s">
        <v>34</v>
      </c>
      <c r="B31" s="10"/>
      <c r="C31" s="9">
        <v>0</v>
      </c>
      <c r="D31" s="19">
        <v>0</v>
      </c>
      <c r="E31" s="19"/>
      <c r="F31" s="19"/>
      <c r="G31" s="34">
        <v>0</v>
      </c>
      <c r="H31" s="19">
        <v>0</v>
      </c>
      <c r="I31" s="22"/>
      <c r="J31" s="22">
        <v>0</v>
      </c>
      <c r="K31" s="25">
        <v>0.5</v>
      </c>
      <c r="L31" s="25"/>
      <c r="M31" s="4"/>
    </row>
    <row r="32" spans="1:13" ht="15.75">
      <c r="A32" s="16" t="s">
        <v>35</v>
      </c>
      <c r="B32" s="10"/>
      <c r="C32" s="9">
        <v>2408.9700000000007</v>
      </c>
      <c r="D32" s="19">
        <v>90</v>
      </c>
      <c r="E32" s="19">
        <v>2408.9699999999998</v>
      </c>
      <c r="F32" s="19">
        <v>90</v>
      </c>
      <c r="G32" s="34">
        <v>0</v>
      </c>
      <c r="H32" s="19">
        <v>0</v>
      </c>
      <c r="I32" s="22">
        <v>26</v>
      </c>
      <c r="J32" s="22">
        <v>62633.219999999994</v>
      </c>
      <c r="K32" s="25">
        <v>26.5</v>
      </c>
      <c r="L32" s="25"/>
      <c r="M32" s="4"/>
    </row>
    <row r="33" spans="1:13" ht="15.75">
      <c r="A33" s="16" t="s">
        <v>36</v>
      </c>
      <c r="B33" s="10"/>
      <c r="C33" s="9">
        <v>129.57999999999998</v>
      </c>
      <c r="D33" s="19">
        <v>11</v>
      </c>
      <c r="E33" s="19">
        <v>129.5</v>
      </c>
      <c r="F33" s="19">
        <v>11</v>
      </c>
      <c r="G33" s="34">
        <v>-7.9999999999984084E-2</v>
      </c>
      <c r="H33" s="19">
        <v>0</v>
      </c>
      <c r="I33" s="22">
        <v>45</v>
      </c>
      <c r="J33" s="22">
        <v>5827.5</v>
      </c>
      <c r="K33" s="25">
        <v>45.5</v>
      </c>
      <c r="L33" s="25"/>
      <c r="M33" s="4"/>
    </row>
    <row r="34" spans="1:13" ht="15.75">
      <c r="A34" s="16" t="s">
        <v>37</v>
      </c>
      <c r="B34" s="10"/>
      <c r="C34" s="9">
        <v>8459.9500000000007</v>
      </c>
      <c r="D34" s="19">
        <v>10</v>
      </c>
      <c r="E34" s="19">
        <v>8459.9500000000007</v>
      </c>
      <c r="F34" s="19">
        <v>10</v>
      </c>
      <c r="G34" s="34">
        <v>0</v>
      </c>
      <c r="H34" s="19">
        <v>0</v>
      </c>
      <c r="I34" s="22">
        <v>19.2</v>
      </c>
      <c r="J34" s="22">
        <v>162431.04000000001</v>
      </c>
      <c r="K34" s="25">
        <v>19.7</v>
      </c>
      <c r="L34" s="25"/>
      <c r="M34" s="4"/>
    </row>
    <row r="35" spans="1:13" ht="15.75">
      <c r="A35" s="16" t="s">
        <v>38</v>
      </c>
      <c r="B35" s="10"/>
      <c r="C35" s="9">
        <v>7240.5199999999923</v>
      </c>
      <c r="D35" s="19">
        <v>266</v>
      </c>
      <c r="E35" s="19">
        <v>7240.52</v>
      </c>
      <c r="F35" s="19">
        <v>266</v>
      </c>
      <c r="G35" s="34">
        <v>8.1854523159563541E-12</v>
      </c>
      <c r="H35" s="19">
        <v>0</v>
      </c>
      <c r="I35" s="22">
        <v>13.3</v>
      </c>
      <c r="J35" s="22">
        <v>96298.916000000012</v>
      </c>
      <c r="K35" s="25">
        <v>13.8</v>
      </c>
      <c r="L35" s="25"/>
      <c r="M35" s="4"/>
    </row>
    <row r="36" spans="1:13" ht="15.75">
      <c r="A36" s="16" t="s">
        <v>39</v>
      </c>
      <c r="B36" s="10"/>
      <c r="C36" s="9">
        <v>77180.040000000052</v>
      </c>
      <c r="D36" s="19">
        <v>3403</v>
      </c>
      <c r="E36" s="19">
        <v>77180.039999999994</v>
      </c>
      <c r="F36" s="19">
        <v>3403</v>
      </c>
      <c r="G36" s="34">
        <v>0</v>
      </c>
      <c r="H36" s="19">
        <v>0</v>
      </c>
      <c r="I36" s="22">
        <v>18.8</v>
      </c>
      <c r="J36" s="22">
        <v>1450984.7519999999</v>
      </c>
      <c r="K36" s="25">
        <v>19.3</v>
      </c>
      <c r="L36" s="25"/>
      <c r="M36" s="4"/>
    </row>
    <row r="37" spans="1:13" ht="15.75">
      <c r="A37" s="16" t="s">
        <v>40</v>
      </c>
      <c r="B37" s="10"/>
      <c r="C37" s="9">
        <v>16549.759999999998</v>
      </c>
      <c r="D37" s="19">
        <v>608</v>
      </c>
      <c r="E37" s="19">
        <v>16549.759999999998</v>
      </c>
      <c r="F37" s="19">
        <v>608</v>
      </c>
      <c r="G37" s="34">
        <v>0</v>
      </c>
      <c r="H37" s="19">
        <v>0</v>
      </c>
      <c r="I37" s="22">
        <v>16.5</v>
      </c>
      <c r="J37" s="22">
        <v>273071.03999999998</v>
      </c>
      <c r="K37" s="25">
        <v>17</v>
      </c>
      <c r="L37" s="25"/>
      <c r="M37" s="4"/>
    </row>
    <row r="38" spans="1:13" ht="15.75">
      <c r="A38" s="16" t="s">
        <v>41</v>
      </c>
      <c r="B38" s="10"/>
      <c r="C38" s="9">
        <v>0</v>
      </c>
      <c r="D38" s="19">
        <v>0</v>
      </c>
      <c r="E38" s="19"/>
      <c r="F38" s="19"/>
      <c r="G38" s="34">
        <v>0</v>
      </c>
      <c r="H38" s="19">
        <v>0</v>
      </c>
      <c r="I38" s="22"/>
      <c r="J38" s="22">
        <v>0</v>
      </c>
      <c r="K38" s="25">
        <v>0.5</v>
      </c>
      <c r="L38" s="25"/>
      <c r="M38" s="4"/>
    </row>
    <row r="39" spans="1:13" ht="15.75">
      <c r="A39" s="16" t="s">
        <v>42</v>
      </c>
      <c r="B39" s="10"/>
      <c r="C39" s="28">
        <v>2384.9299999999998</v>
      </c>
      <c r="D39" s="38">
        <v>159</v>
      </c>
      <c r="E39" s="38">
        <v>2384.9299999999998</v>
      </c>
      <c r="F39" s="38">
        <v>159</v>
      </c>
      <c r="G39" s="34">
        <v>0</v>
      </c>
      <c r="H39" s="19">
        <v>0</v>
      </c>
      <c r="I39" s="22">
        <v>14.29</v>
      </c>
      <c r="J39" s="22">
        <v>34080.649699999994</v>
      </c>
      <c r="K39" s="25">
        <v>14.79</v>
      </c>
      <c r="L39" s="25"/>
      <c r="M39" s="4"/>
    </row>
    <row r="40" spans="1:13" ht="15.75">
      <c r="A40" s="16" t="s">
        <v>43</v>
      </c>
      <c r="B40" s="10"/>
      <c r="C40" s="28">
        <v>13319.43</v>
      </c>
      <c r="D40" s="37">
        <v>677</v>
      </c>
      <c r="E40" s="41">
        <v>13319.43</v>
      </c>
      <c r="F40" s="41">
        <v>677</v>
      </c>
      <c r="G40" s="34">
        <v>0</v>
      </c>
      <c r="H40" s="19">
        <v>0</v>
      </c>
      <c r="I40" s="27">
        <v>25.5</v>
      </c>
      <c r="J40" s="22">
        <v>339645.46500000003</v>
      </c>
      <c r="K40" s="25">
        <v>26</v>
      </c>
      <c r="L40" s="25"/>
      <c r="M40" s="4"/>
    </row>
    <row r="41" spans="1:13" ht="15.75">
      <c r="A41" s="16" t="s">
        <v>44</v>
      </c>
      <c r="B41" s="10"/>
      <c r="C41" s="28">
        <v>40693.1</v>
      </c>
      <c r="D41" s="33">
        <v>45</v>
      </c>
      <c r="E41" s="42">
        <v>40693.1</v>
      </c>
      <c r="F41" s="42">
        <v>45</v>
      </c>
      <c r="G41" s="34">
        <v>0</v>
      </c>
      <c r="H41" s="19">
        <v>0</v>
      </c>
      <c r="I41" s="27">
        <v>24.54</v>
      </c>
      <c r="J41" s="22">
        <v>998608.67399999988</v>
      </c>
      <c r="K41" s="25">
        <v>25.04</v>
      </c>
      <c r="L41" s="25"/>
      <c r="M41" s="4"/>
    </row>
    <row r="42" spans="1:13" ht="15.75">
      <c r="A42" s="16" t="s">
        <v>45</v>
      </c>
      <c r="B42" s="10"/>
      <c r="C42" s="28">
        <v>0</v>
      </c>
      <c r="D42" s="33">
        <v>0</v>
      </c>
      <c r="E42" s="42"/>
      <c r="F42" s="42"/>
      <c r="G42" s="34">
        <v>0</v>
      </c>
      <c r="H42" s="19">
        <v>0</v>
      </c>
      <c r="I42" s="27"/>
      <c r="J42" s="22">
        <v>0</v>
      </c>
      <c r="K42" s="25">
        <v>0.5</v>
      </c>
      <c r="L42" s="25"/>
      <c r="M42" s="4"/>
    </row>
    <row r="43" spans="1:13" ht="15.75">
      <c r="A43" s="16" t="s">
        <v>46</v>
      </c>
      <c r="B43" s="10"/>
      <c r="C43" s="28">
        <v>0</v>
      </c>
      <c r="D43" s="33">
        <v>0</v>
      </c>
      <c r="E43" s="42"/>
      <c r="F43" s="42"/>
      <c r="G43" s="34">
        <v>0</v>
      </c>
      <c r="H43" s="19">
        <v>0</v>
      </c>
      <c r="I43" s="27"/>
      <c r="J43" s="22">
        <v>0</v>
      </c>
      <c r="K43" s="25">
        <v>0.5</v>
      </c>
      <c r="L43" s="25"/>
      <c r="M43" s="4"/>
    </row>
    <row r="44" spans="1:13" ht="15.75">
      <c r="A44" s="16" t="s">
        <v>47</v>
      </c>
      <c r="B44" s="10"/>
      <c r="C44" s="28">
        <v>17554.750000000004</v>
      </c>
      <c r="D44" s="33">
        <v>3225</v>
      </c>
      <c r="E44" s="42">
        <v>17554.32</v>
      </c>
      <c r="F44" s="42">
        <v>3225</v>
      </c>
      <c r="G44" s="34">
        <v>-0.43000000000392902</v>
      </c>
      <c r="H44" s="19">
        <v>0</v>
      </c>
      <c r="I44" s="27">
        <v>33.700000000000003</v>
      </c>
      <c r="J44" s="22">
        <v>591580.58400000003</v>
      </c>
      <c r="K44" s="25">
        <v>34.200000000000003</v>
      </c>
      <c r="L44" s="25"/>
      <c r="M44" s="4"/>
    </row>
    <row r="45" spans="1:13" ht="15.75">
      <c r="A45" s="16" t="s">
        <v>48</v>
      </c>
      <c r="B45" s="10"/>
      <c r="C45" s="28">
        <v>748.54999999999984</v>
      </c>
      <c r="D45" s="33">
        <v>55</v>
      </c>
      <c r="E45" s="42">
        <v>748.55</v>
      </c>
      <c r="F45" s="42">
        <v>55</v>
      </c>
      <c r="G45" s="34">
        <v>0</v>
      </c>
      <c r="H45" s="19">
        <v>0</v>
      </c>
      <c r="I45" s="27">
        <v>31</v>
      </c>
      <c r="J45" s="22">
        <v>23205.05</v>
      </c>
      <c r="K45" s="25">
        <v>31.5</v>
      </c>
      <c r="L45" s="25"/>
      <c r="M45" s="4"/>
    </row>
    <row r="46" spans="1:13" ht="15.75">
      <c r="A46" s="16" t="s">
        <v>49</v>
      </c>
      <c r="B46" s="10"/>
      <c r="C46" s="28">
        <v>4972.8599999999997</v>
      </c>
      <c r="D46" s="37">
        <v>179</v>
      </c>
      <c r="E46" s="41">
        <v>4972.8599999999997</v>
      </c>
      <c r="F46" s="41">
        <v>179</v>
      </c>
      <c r="G46" s="34">
        <v>0</v>
      </c>
      <c r="H46" s="19">
        <v>0</v>
      </c>
      <c r="I46" s="27">
        <v>22.5</v>
      </c>
      <c r="J46" s="22">
        <v>111889.34999999999</v>
      </c>
      <c r="K46" s="25">
        <v>23</v>
      </c>
      <c r="L46" s="25"/>
      <c r="M46" s="4"/>
    </row>
    <row r="47" spans="1:13" ht="15.75">
      <c r="A47" s="16" t="s">
        <v>50</v>
      </c>
      <c r="B47" s="10"/>
      <c r="C47" s="28">
        <v>3239.18</v>
      </c>
      <c r="D47" s="37">
        <v>238</v>
      </c>
      <c r="E47" s="41">
        <v>3239.18</v>
      </c>
      <c r="F47" s="41">
        <v>238</v>
      </c>
      <c r="G47" s="34">
        <v>0</v>
      </c>
      <c r="H47" s="19">
        <v>0</v>
      </c>
      <c r="I47" s="27">
        <v>18.489999999999998</v>
      </c>
      <c r="J47" s="22">
        <v>59892.43819999999</v>
      </c>
      <c r="K47" s="25">
        <v>18.989999999999998</v>
      </c>
      <c r="L47" s="25"/>
      <c r="M47" s="4"/>
    </row>
    <row r="48" spans="1:13" ht="15.75">
      <c r="A48" s="16" t="s">
        <v>51</v>
      </c>
      <c r="B48" s="10"/>
      <c r="C48" s="28">
        <v>0</v>
      </c>
      <c r="D48" s="33">
        <v>0</v>
      </c>
      <c r="E48" s="42"/>
      <c r="F48" s="42"/>
      <c r="G48" s="34">
        <v>0</v>
      </c>
      <c r="H48" s="19">
        <v>0</v>
      </c>
      <c r="I48" s="27"/>
      <c r="J48" s="22">
        <v>0</v>
      </c>
      <c r="K48" s="25">
        <v>0.5</v>
      </c>
      <c r="L48" s="25"/>
      <c r="M48" s="4"/>
    </row>
    <row r="49" spans="1:13" ht="15.75">
      <c r="A49" s="16" t="s">
        <v>52</v>
      </c>
      <c r="B49" s="10"/>
      <c r="C49" s="28">
        <v>762.16</v>
      </c>
      <c r="D49" s="39">
        <v>56</v>
      </c>
      <c r="E49" s="43">
        <v>762.16</v>
      </c>
      <c r="F49" s="43">
        <v>56</v>
      </c>
      <c r="G49" s="34">
        <v>0</v>
      </c>
      <c r="H49" s="19">
        <v>0</v>
      </c>
      <c r="I49" s="27">
        <v>17.5</v>
      </c>
      <c r="J49" s="22">
        <v>13337.8</v>
      </c>
      <c r="K49" s="25">
        <v>18</v>
      </c>
      <c r="L49" s="25"/>
      <c r="M49" s="4"/>
    </row>
    <row r="50" spans="1:13" ht="15.75">
      <c r="A50" s="31" t="s">
        <v>53</v>
      </c>
      <c r="B50" s="10"/>
      <c r="C50" s="28">
        <v>0</v>
      </c>
      <c r="D50" s="33">
        <v>0</v>
      </c>
      <c r="E50" s="42"/>
      <c r="F50" s="42"/>
      <c r="G50" s="42"/>
      <c r="H50" s="42"/>
      <c r="I50" s="27"/>
      <c r="J50" s="22">
        <v>0</v>
      </c>
      <c r="K50" s="25">
        <v>0.5</v>
      </c>
      <c r="L50" s="25"/>
      <c r="M50" s="4"/>
    </row>
    <row r="51" spans="1:13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25"/>
      <c r="L51" s="25"/>
      <c r="M51" s="4"/>
    </row>
    <row r="52" spans="1:13" ht="15.75">
      <c r="A52" s="1"/>
      <c r="B52" s="11" t="s">
        <v>10</v>
      </c>
      <c r="C52" s="30">
        <v>341828.6399999999</v>
      </c>
      <c r="D52" s="30">
        <v>17853</v>
      </c>
      <c r="E52" s="30">
        <v>341833.54999999987</v>
      </c>
      <c r="F52" s="30">
        <v>17853</v>
      </c>
      <c r="G52" s="44"/>
      <c r="H52" s="44"/>
      <c r="I52" s="29"/>
      <c r="J52" s="21">
        <v>8200877.0246999981</v>
      </c>
      <c r="K52" s="26"/>
      <c r="L52" s="26"/>
      <c r="M52" s="4"/>
    </row>
    <row r="53" spans="1:13">
      <c r="A53" s="5"/>
      <c r="B53" s="5"/>
      <c r="C53" s="1"/>
      <c r="D53" s="1"/>
      <c r="E53" s="1"/>
      <c r="F53" s="1"/>
      <c r="G53" s="1"/>
      <c r="H53" s="1"/>
      <c r="I53" s="20"/>
      <c r="J53" s="20"/>
      <c r="K53" s="5"/>
      <c r="L53" s="5"/>
      <c r="M53" s="1"/>
    </row>
    <row r="54" spans="1:13">
      <c r="A54" s="5"/>
      <c r="B54" s="5"/>
      <c r="C54" s="1"/>
      <c r="D54" s="1"/>
      <c r="E54" s="1"/>
      <c r="F54" s="1"/>
      <c r="G54" s="1"/>
      <c r="H54" s="1"/>
      <c r="I54" s="20"/>
      <c r="J54" s="20"/>
      <c r="K54" s="5"/>
      <c r="L54" s="5"/>
      <c r="M54" s="1"/>
    </row>
    <row r="55" spans="1:13">
      <c r="A55" s="5"/>
      <c r="B55" s="5"/>
      <c r="C55" s="1"/>
      <c r="D55" s="1"/>
      <c r="E55" s="1"/>
      <c r="F55" s="1"/>
      <c r="G55" s="1"/>
      <c r="H55" s="1"/>
      <c r="I55" s="20"/>
      <c r="J55" s="20"/>
      <c r="K55" s="5"/>
      <c r="L55" s="5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20"/>
      <c r="J56" s="20"/>
      <c r="K56" s="5"/>
      <c r="L56" s="5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I57" s="20"/>
      <c r="J57" s="20"/>
      <c r="K57" s="5"/>
      <c r="L57" s="5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I58" s="20"/>
      <c r="J58" s="20"/>
      <c r="K58" s="5"/>
      <c r="L58" s="5"/>
      <c r="M5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"/>
  <sheetViews>
    <sheetView topLeftCell="A28" workbookViewId="0">
      <selection activeCell="G47" sqref="G47"/>
    </sheetView>
  </sheetViews>
  <sheetFormatPr baseColWidth="10" defaultRowHeight="15"/>
  <cols>
    <col min="1" max="1" width="41" customWidth="1"/>
    <col min="2" max="2" width="11.42578125" hidden="1" customWidth="1"/>
    <col min="3" max="3" width="13.85546875" bestFit="1" customWidth="1"/>
    <col min="4" max="4" width="12.7109375" bestFit="1" customWidth="1"/>
    <col min="5" max="5" width="13.85546875" bestFit="1" customWidth="1"/>
    <col min="7" max="7" width="13.85546875" bestFit="1" customWidth="1"/>
    <col min="8" max="8" width="5.7109375" bestFit="1" customWidth="1"/>
    <col min="9" max="9" width="13.28515625" style="46" bestFit="1" customWidth="1"/>
    <col min="10" max="10" width="15.85546875" style="46" bestFit="1" customWidth="1"/>
  </cols>
  <sheetData>
    <row r="1" spans="1:13">
      <c r="C1" s="45"/>
    </row>
    <row r="2" spans="1:13" ht="20.25">
      <c r="B2" s="47" t="s">
        <v>0</v>
      </c>
    </row>
    <row r="3" spans="1:13">
      <c r="A3" s="48"/>
      <c r="C3" s="45"/>
    </row>
    <row r="4" spans="1:13">
      <c r="A4" s="48"/>
      <c r="C4" s="45"/>
    </row>
    <row r="5" spans="1:13" ht="18">
      <c r="B5" s="49" t="s">
        <v>1</v>
      </c>
    </row>
    <row r="7" spans="1:13" ht="15.75">
      <c r="B7" s="50"/>
      <c r="C7" s="51" t="s">
        <v>2</v>
      </c>
      <c r="D7" s="52">
        <v>39721</v>
      </c>
      <c r="E7" s="53"/>
      <c r="F7" s="53"/>
      <c r="G7" s="53"/>
      <c r="H7" s="53"/>
      <c r="I7" s="54"/>
    </row>
    <row r="8" spans="1:13" ht="16.5" thickBot="1">
      <c r="C8" t="s">
        <v>54</v>
      </c>
      <c r="E8" t="s">
        <v>55</v>
      </c>
      <c r="G8" t="s">
        <v>5</v>
      </c>
      <c r="I8" s="55"/>
      <c r="J8" s="54"/>
      <c r="K8" s="56"/>
      <c r="L8" s="50"/>
    </row>
    <row r="9" spans="1:13" ht="17.25" thickTop="1" thickBot="1">
      <c r="A9" s="57" t="s">
        <v>6</v>
      </c>
      <c r="B9" s="58"/>
      <c r="C9" s="59" t="s">
        <v>7</v>
      </c>
      <c r="D9" s="60" t="s">
        <v>8</v>
      </c>
      <c r="E9" s="59" t="s">
        <v>7</v>
      </c>
      <c r="F9" s="60" t="s">
        <v>8</v>
      </c>
      <c r="G9" s="59" t="s">
        <v>7</v>
      </c>
      <c r="H9" s="60" t="s">
        <v>8</v>
      </c>
      <c r="I9" s="60" t="s">
        <v>9</v>
      </c>
      <c r="J9" s="60" t="s">
        <v>10</v>
      </c>
      <c r="K9" s="61" t="s">
        <v>11</v>
      </c>
      <c r="L9" s="62"/>
      <c r="M9" s="63"/>
    </row>
    <row r="10" spans="1:13" ht="15.75">
      <c r="A10" s="64" t="str">
        <f>'[1]BUCHE '!$C$5</f>
        <v xml:space="preserve">BUCHE </v>
      </c>
      <c r="B10" s="65"/>
      <c r="C10" s="66">
        <f>'[1]BUCHE '!$G$212</f>
        <v>2245.6499999999987</v>
      </c>
      <c r="D10" s="67">
        <f>'[1]BUCHE '!$H$212</f>
        <v>165</v>
      </c>
      <c r="E10" s="67">
        <v>2245.65</v>
      </c>
      <c r="F10" s="67">
        <v>165</v>
      </c>
      <c r="G10" s="68">
        <f>E10-C10</f>
        <v>0</v>
      </c>
      <c r="H10" s="67">
        <f>F10-D10</f>
        <v>0</v>
      </c>
      <c r="I10" s="69">
        <v>27.4</v>
      </c>
      <c r="J10" s="69">
        <f>I10*E10</f>
        <v>61530.81</v>
      </c>
      <c r="K10" s="70">
        <f t="shared" ref="K10:K50" si="0">I10+0.5</f>
        <v>27.9</v>
      </c>
      <c r="L10" s="70"/>
      <c r="M10" s="63"/>
    </row>
    <row r="11" spans="1:13" ht="15.75">
      <c r="A11" s="64" t="str">
        <f>'[1]CABEZA DE LOMO IBP'!$C$5</f>
        <v>CABEZA DE LOMO IBP</v>
      </c>
      <c r="B11" s="71"/>
      <c r="C11" s="66">
        <f>'[1]CABEZA DE LOMO IBP'!$G$211</f>
        <v>18021</v>
      </c>
      <c r="D11" s="67">
        <f>'[1]CABEZA DE LOMO IBP'!$H$211</f>
        <v>550</v>
      </c>
      <c r="E11" s="67">
        <v>18021</v>
      </c>
      <c r="F11" s="67">
        <v>550</v>
      </c>
      <c r="G11" s="68">
        <f t="shared" ref="G11:H48" si="1">E11-C11</f>
        <v>0</v>
      </c>
      <c r="H11" s="67">
        <f t="shared" si="1"/>
        <v>0</v>
      </c>
      <c r="I11" s="69">
        <v>26.5</v>
      </c>
      <c r="J11" s="69">
        <f t="shared" ref="J11:J48" si="2">I11*E11</f>
        <v>477556.5</v>
      </c>
      <c r="K11" s="70">
        <f t="shared" si="0"/>
        <v>27</v>
      </c>
      <c r="L11" s="70"/>
      <c r="M11" s="63"/>
    </row>
    <row r="12" spans="1:13" ht="15.75">
      <c r="A12" s="64" t="str">
        <f>'[1]CABEZA DE LOMO seaboard'!$C$5</f>
        <v>CABEZA DE LOMO SEABOARD</v>
      </c>
      <c r="B12" s="71"/>
      <c r="C12" s="66">
        <f>'[1]CABEZA DE LOMO seaboard'!$G$208</f>
        <v>0</v>
      </c>
      <c r="D12" s="67">
        <f>'[1]CABEZA DE LOMO seaboard'!$H$208</f>
        <v>0</v>
      </c>
      <c r="E12" s="67"/>
      <c r="F12" s="67"/>
      <c r="G12" s="68">
        <f t="shared" si="1"/>
        <v>0</v>
      </c>
      <c r="H12" s="67">
        <f t="shared" si="1"/>
        <v>0</v>
      </c>
      <c r="I12" s="69">
        <v>28.8</v>
      </c>
      <c r="J12" s="69">
        <f t="shared" si="2"/>
        <v>0</v>
      </c>
      <c r="K12" s="70">
        <f t="shared" si="0"/>
        <v>29.3</v>
      </c>
      <c r="L12" s="70"/>
      <c r="M12" s="63"/>
    </row>
    <row r="13" spans="1:13" ht="15.75">
      <c r="A13" s="64" t="str">
        <f>'[1]Cabeza lomo Smith'!$C$5</f>
        <v>CABEZA DE LOMO SMITHFIELD</v>
      </c>
      <c r="B13" s="71"/>
      <c r="C13" s="66">
        <f>'[1]Cabeza lomo Smith'!$G$208</f>
        <v>0</v>
      </c>
      <c r="D13" s="67">
        <f>'[1]Cabeza lomo Smith'!$H$208</f>
        <v>0</v>
      </c>
      <c r="E13" s="67"/>
      <c r="F13" s="67"/>
      <c r="G13" s="68">
        <f t="shared" si="1"/>
        <v>0</v>
      </c>
      <c r="H13" s="67">
        <f t="shared" si="1"/>
        <v>0</v>
      </c>
      <c r="I13" s="69">
        <v>24.2</v>
      </c>
      <c r="J13" s="69">
        <f t="shared" si="2"/>
        <v>0</v>
      </c>
      <c r="K13" s="70">
        <f t="shared" si="0"/>
        <v>24.7</v>
      </c>
      <c r="L13" s="70"/>
      <c r="M13" s="63"/>
    </row>
    <row r="14" spans="1:13" ht="15.75">
      <c r="A14" s="64" t="str">
        <f>'[1]Cabeza lomo Swift'!C5</f>
        <v>CABEZA DE LOMO SWIFT</v>
      </c>
      <c r="B14" s="71"/>
      <c r="C14" s="66">
        <f>'[1]Cabeza lomo Swift'!G207</f>
        <v>1745.5000000000023</v>
      </c>
      <c r="D14" s="72">
        <f>'[1]Cabeza lomo Swift'!H207</f>
        <v>52</v>
      </c>
      <c r="E14" s="72">
        <v>1745.5</v>
      </c>
      <c r="F14" s="72">
        <v>52</v>
      </c>
      <c r="G14" s="68">
        <f t="shared" si="1"/>
        <v>-2.2737367544323206E-12</v>
      </c>
      <c r="H14" s="67">
        <f t="shared" si="1"/>
        <v>0</v>
      </c>
      <c r="I14" s="69">
        <v>29.5</v>
      </c>
      <c r="J14" s="69">
        <f t="shared" si="2"/>
        <v>51492.25</v>
      </c>
      <c r="K14" s="70">
        <f t="shared" si="0"/>
        <v>30</v>
      </c>
      <c r="L14" s="70"/>
      <c r="M14" s="63"/>
    </row>
    <row r="15" spans="1:13" ht="15.75">
      <c r="A15" s="64" t="str">
        <f>'[1]Cab. de Lomo Vershoor'!$C$5</f>
        <v>CABEZA DE LOMO VERSHOOR</v>
      </c>
      <c r="B15" s="71"/>
      <c r="C15" s="66">
        <f>'[1]Cab. de Lomo Vershoor'!$G$209</f>
        <v>5777.9099999999989</v>
      </c>
      <c r="D15" s="67">
        <f>'[1]Cab. de Lomo Vershoor'!$H$209</f>
        <v>292</v>
      </c>
      <c r="E15" s="67">
        <v>5771.5</v>
      </c>
      <c r="F15" s="67">
        <v>292</v>
      </c>
      <c r="G15" s="68">
        <f t="shared" si="1"/>
        <v>-6.409999999998945</v>
      </c>
      <c r="H15" s="67">
        <f t="shared" si="1"/>
        <v>0</v>
      </c>
      <c r="I15" s="69">
        <v>19.399999999999999</v>
      </c>
      <c r="J15" s="69">
        <f t="shared" si="2"/>
        <v>111967.09999999999</v>
      </c>
      <c r="K15" s="70">
        <f t="shared" si="0"/>
        <v>19.899999999999999</v>
      </c>
      <c r="L15" s="70"/>
      <c r="M15" s="63"/>
    </row>
    <row r="16" spans="1:13" ht="15.75">
      <c r="A16" s="64" t="str">
        <f>[1]CARNERO!$C$5</f>
        <v>CARNERO</v>
      </c>
      <c r="B16" s="71"/>
      <c r="C16" s="66">
        <f>[1]CARNERO!$G$208</f>
        <v>5049.3699999999935</v>
      </c>
      <c r="D16" s="67">
        <f>[1]CARNERO!$H$208</f>
        <v>267</v>
      </c>
      <c r="E16" s="67">
        <v>5049</v>
      </c>
      <c r="F16" s="67">
        <v>267</v>
      </c>
      <c r="G16" s="68">
        <f t="shared" si="1"/>
        <v>-0.3699999999935244</v>
      </c>
      <c r="H16" s="67">
        <f t="shared" si="1"/>
        <v>0</v>
      </c>
      <c r="I16" s="69">
        <v>32</v>
      </c>
      <c r="J16" s="69">
        <f t="shared" si="2"/>
        <v>161568</v>
      </c>
      <c r="K16" s="70">
        <f t="shared" si="0"/>
        <v>32.5</v>
      </c>
      <c r="L16" s="70"/>
      <c r="M16" s="63" t="s">
        <v>19</v>
      </c>
    </row>
    <row r="17" spans="1:13" ht="15.75">
      <c r="A17" s="64" t="str">
        <f>'[1]CONTRA EXCEL'!$C$5</f>
        <v>CONTRA (GOOSENECK) EXCEL</v>
      </c>
      <c r="B17" s="71"/>
      <c r="C17" s="66">
        <f>'[1]CONTRA EXCEL'!$G$196</f>
        <v>9018.65</v>
      </c>
      <c r="D17" s="67">
        <f>'[1]CONTRA EXCEL'!$H$196</f>
        <v>328</v>
      </c>
      <c r="E17" s="67">
        <v>9018.65</v>
      </c>
      <c r="F17" s="67">
        <v>328</v>
      </c>
      <c r="G17" s="68">
        <f t="shared" si="1"/>
        <v>0</v>
      </c>
      <c r="H17" s="67">
        <f t="shared" si="1"/>
        <v>0</v>
      </c>
      <c r="I17" s="69">
        <v>39</v>
      </c>
      <c r="J17" s="69">
        <f t="shared" si="2"/>
        <v>351727.35</v>
      </c>
      <c r="K17" s="70">
        <f t="shared" si="0"/>
        <v>39.5</v>
      </c>
      <c r="L17" s="70"/>
      <c r="M17" s="63"/>
    </row>
    <row r="18" spans="1:13" ht="15.75">
      <c r="A18" s="64" t="str">
        <f>'[1]CONTRA SWIFT'!$C$5</f>
        <v>CONTRA (GOOSENECK) SWIFT</v>
      </c>
      <c r="B18" s="71"/>
      <c r="C18" s="66">
        <f>'[1]CONTRA SWIFT'!$G$197</f>
        <v>8477.0000000000018</v>
      </c>
      <c r="D18" s="67">
        <f>'[1]CONTRA SWIFT'!$H$197</f>
        <v>303</v>
      </c>
      <c r="E18" s="67">
        <v>8448.1</v>
      </c>
      <c r="F18" s="67">
        <v>303</v>
      </c>
      <c r="G18" s="68">
        <f t="shared" si="1"/>
        <v>-28.900000000001455</v>
      </c>
      <c r="H18" s="67">
        <f t="shared" si="1"/>
        <v>0</v>
      </c>
      <c r="I18" s="69">
        <v>40.5</v>
      </c>
      <c r="J18" s="69">
        <f t="shared" si="2"/>
        <v>342148.05</v>
      </c>
      <c r="K18" s="70">
        <f t="shared" si="0"/>
        <v>41</v>
      </c>
      <c r="L18" s="70"/>
      <c r="M18" s="63"/>
    </row>
    <row r="19" spans="1:13" ht="15.75">
      <c r="A19" s="64" t="str">
        <f>'[1]Corbata Curlys'!$C$5</f>
        <v>CORBATA CURLY'S</v>
      </c>
      <c r="B19" s="71"/>
      <c r="C19" s="66">
        <f>'[1]Corbata Curlys'!$G$208</f>
        <v>26036.569999999974</v>
      </c>
      <c r="D19" s="67">
        <f>'[1]Corbata Curlys'!$H$208</f>
        <v>1913</v>
      </c>
      <c r="E19" s="67">
        <v>26035.93</v>
      </c>
      <c r="F19" s="67">
        <v>1913</v>
      </c>
      <c r="G19" s="68">
        <f t="shared" si="1"/>
        <v>-0.63999999997395207</v>
      </c>
      <c r="H19" s="67">
        <f t="shared" si="1"/>
        <v>0</v>
      </c>
      <c r="I19" s="69">
        <v>29.36</v>
      </c>
      <c r="J19" s="69">
        <f t="shared" si="2"/>
        <v>764414.90480000002</v>
      </c>
      <c r="K19" s="70">
        <f t="shared" si="0"/>
        <v>29.86</v>
      </c>
      <c r="L19" s="70"/>
      <c r="M19" s="63"/>
    </row>
    <row r="20" spans="1:13" ht="15.75">
      <c r="A20" s="64" t="str">
        <f>'[1]CORBATA ibp'!$C$5</f>
        <v>CORBATA  IBP</v>
      </c>
      <c r="B20" s="71"/>
      <c r="C20" s="66">
        <f>'[1]CORBATA ibp'!$G$209</f>
        <v>0</v>
      </c>
      <c r="D20" s="67">
        <f>'[1]CORBATA ibp'!$H$209</f>
        <v>0</v>
      </c>
      <c r="E20" s="67"/>
      <c r="F20" s="67"/>
      <c r="G20" s="68">
        <f t="shared" si="1"/>
        <v>0</v>
      </c>
      <c r="H20" s="67">
        <f t="shared" si="1"/>
        <v>0</v>
      </c>
      <c r="I20" s="69">
        <v>18</v>
      </c>
      <c r="J20" s="69">
        <f t="shared" si="2"/>
        <v>0</v>
      </c>
      <c r="K20" s="70">
        <f t="shared" si="0"/>
        <v>18.5</v>
      </c>
      <c r="L20" s="70"/>
      <c r="M20" s="63"/>
    </row>
    <row r="21" spans="1:13" ht="15.75">
      <c r="A21" s="64" t="str">
        <f>'[1]Corbata Rupari'!$C$5</f>
        <v>CORBATA RUPARI (buena)</v>
      </c>
      <c r="B21" s="71"/>
      <c r="C21" s="66">
        <f>'[1]Corbata Rupari'!$G$206</f>
        <v>0</v>
      </c>
      <c r="D21" s="67">
        <f>'[1]Corbata Rupari'!$H$206</f>
        <v>0</v>
      </c>
      <c r="E21" s="67"/>
      <c r="F21" s="67"/>
      <c r="G21" s="68">
        <f t="shared" si="1"/>
        <v>0</v>
      </c>
      <c r="H21" s="67">
        <f t="shared" si="1"/>
        <v>0</v>
      </c>
      <c r="I21" s="69">
        <v>22.8</v>
      </c>
      <c r="J21" s="69">
        <f t="shared" si="2"/>
        <v>0</v>
      </c>
      <c r="K21" s="70">
        <f t="shared" si="0"/>
        <v>23.3</v>
      </c>
      <c r="L21" s="70"/>
      <c r="M21" s="63"/>
    </row>
    <row r="22" spans="1:13" ht="15.75">
      <c r="A22" s="64" t="str">
        <f>'[1]costilla Rupari'!$C$5</f>
        <v>COSTILLA RUPARI</v>
      </c>
      <c r="B22" s="71"/>
      <c r="C22" s="66">
        <f>'[1]costilla Rupari'!$G$208</f>
        <v>7386.5800000000008</v>
      </c>
      <c r="D22" s="67">
        <f>'[1]costilla Rupari'!$H$208</f>
        <v>1627</v>
      </c>
      <c r="E22" s="67">
        <v>7386.58</v>
      </c>
      <c r="F22" s="67">
        <v>1627</v>
      </c>
      <c r="G22" s="68">
        <f t="shared" si="1"/>
        <v>0</v>
      </c>
      <c r="H22" s="67">
        <f t="shared" si="1"/>
        <v>0</v>
      </c>
      <c r="I22" s="69">
        <v>10.89</v>
      </c>
      <c r="J22" s="69">
        <f t="shared" si="2"/>
        <v>80439.856200000009</v>
      </c>
      <c r="K22" s="70">
        <f t="shared" si="0"/>
        <v>11.39</v>
      </c>
      <c r="L22" s="70"/>
      <c r="M22" s="63"/>
    </row>
    <row r="23" spans="1:13" ht="15.75">
      <c r="A23" s="64" t="str">
        <f>'[1]CUERO CAB DE LOMO FARMLAD'!$C$5</f>
        <v>CUERO DE CABEZA DE LOMO</v>
      </c>
      <c r="B23" s="71"/>
      <c r="C23" s="66">
        <f>'[1]CUERO CAB DE LOMO FARMLAD'!$G$210</f>
        <v>0</v>
      </c>
      <c r="D23" s="67">
        <f>'[1]CUERO CAB DE LOMO FARMLAD'!$H$210</f>
        <v>0</v>
      </c>
      <c r="E23" s="67"/>
      <c r="F23" s="67"/>
      <c r="G23" s="68">
        <f t="shared" si="1"/>
        <v>0</v>
      </c>
      <c r="H23" s="67">
        <f t="shared" si="1"/>
        <v>0</v>
      </c>
      <c r="I23" s="69">
        <v>10.85</v>
      </c>
      <c r="J23" s="69">
        <f t="shared" si="2"/>
        <v>0</v>
      </c>
      <c r="K23" s="70">
        <f t="shared" si="0"/>
        <v>11.35</v>
      </c>
      <c r="L23" s="70"/>
      <c r="M23" s="63"/>
    </row>
    <row r="24" spans="1:13" ht="15.75">
      <c r="A24" s="64" t="str">
        <f>'[1]Cuero SM'!$C$5</f>
        <v>CUERO BELLY SAN MATEO</v>
      </c>
      <c r="B24" s="71"/>
      <c r="C24" s="66">
        <f>'[1]Cuero SM'!$G$208</f>
        <v>-2.9615476737632207E-12</v>
      </c>
      <c r="D24" s="67">
        <f>'[1]Cuero SM'!$H$208</f>
        <v>0</v>
      </c>
      <c r="E24" s="67"/>
      <c r="F24" s="67"/>
      <c r="G24" s="68">
        <f t="shared" si="1"/>
        <v>2.9615476737632207E-12</v>
      </c>
      <c r="H24" s="67">
        <f t="shared" si="1"/>
        <v>0</v>
      </c>
      <c r="I24" s="69">
        <v>9.5</v>
      </c>
      <c r="J24" s="69">
        <f t="shared" si="2"/>
        <v>0</v>
      </c>
      <c r="K24" s="70">
        <f t="shared" si="0"/>
        <v>10</v>
      </c>
      <c r="L24" s="70"/>
      <c r="M24" s="63"/>
    </row>
    <row r="25" spans="1:13" ht="15.75">
      <c r="A25" s="64" t="str">
        <f>'[1]CUERO PAPEL BELLY'!$C$5</f>
        <v>CUERO PAPEL BELLY FARMLAND</v>
      </c>
      <c r="B25" s="71"/>
      <c r="C25" s="66">
        <f>'[1]CUERO PAPEL BELLY'!$G$213</f>
        <v>63095.960000000028</v>
      </c>
      <c r="D25" s="67">
        <f>'[1]CUERO PAPEL BELLY'!$H$213</f>
        <v>2318</v>
      </c>
      <c r="E25" s="67">
        <v>63177.62</v>
      </c>
      <c r="F25" s="67">
        <v>2321</v>
      </c>
      <c r="G25" s="93">
        <f t="shared" si="1"/>
        <v>81.659999999974389</v>
      </c>
      <c r="H25" s="94">
        <f t="shared" si="1"/>
        <v>3</v>
      </c>
      <c r="I25" s="69">
        <v>13.5</v>
      </c>
      <c r="J25" s="69">
        <f t="shared" si="2"/>
        <v>852897.87</v>
      </c>
      <c r="K25" s="70">
        <f t="shared" si="0"/>
        <v>14</v>
      </c>
      <c r="L25" s="70" t="s">
        <v>56</v>
      </c>
      <c r="M25" s="63"/>
    </row>
    <row r="26" spans="1:13" ht="15.75">
      <c r="A26" s="64" t="str">
        <f>'[1]Espaldilla de Carnero'!C5</f>
        <v>ESPALDILLA DE CARNERO</v>
      </c>
      <c r="B26" s="71"/>
      <c r="C26" s="66">
        <f>'[1]Espaldilla de Carnero'!G209</f>
        <v>8612.4299999999985</v>
      </c>
      <c r="D26" s="73">
        <f>'[1]Espaldilla de Carnero'!H209</f>
        <v>385</v>
      </c>
      <c r="E26" s="68">
        <f>107.79+8504.64</f>
        <v>8612.43</v>
      </c>
      <c r="F26" s="73">
        <f>5+380</f>
        <v>385</v>
      </c>
      <c r="G26" s="68">
        <f t="shared" si="1"/>
        <v>0</v>
      </c>
      <c r="H26" s="67">
        <f t="shared" si="1"/>
        <v>0</v>
      </c>
      <c r="I26" s="69">
        <v>32</v>
      </c>
      <c r="J26" s="69">
        <f t="shared" si="2"/>
        <v>275597.76</v>
      </c>
      <c r="K26" s="70">
        <f t="shared" si="0"/>
        <v>32.5</v>
      </c>
      <c r="L26" s="70" t="s">
        <v>57</v>
      </c>
      <c r="M26" s="63"/>
    </row>
    <row r="27" spans="1:13" ht="15.75">
      <c r="A27" s="64" t="str">
        <f>'[1]Filete de pescado'!C5</f>
        <v>FILETE DE PESCADO POLLOCK</v>
      </c>
      <c r="B27" s="71"/>
      <c r="C27" s="66">
        <f>'[1]Filete de pescado'!G207</f>
        <v>4028.0500000000006</v>
      </c>
      <c r="D27" s="73">
        <f>'[1]Filete de pescado'!H207</f>
        <v>222</v>
      </c>
      <c r="E27" s="73">
        <v>4027.97</v>
      </c>
      <c r="F27" s="73">
        <v>222</v>
      </c>
      <c r="G27" s="68">
        <f t="shared" si="1"/>
        <v>-8.0000000000836735E-2</v>
      </c>
      <c r="H27" s="67">
        <f t="shared" si="1"/>
        <v>0</v>
      </c>
      <c r="I27" s="69">
        <v>23</v>
      </c>
      <c r="J27" s="69">
        <f t="shared" si="2"/>
        <v>92643.31</v>
      </c>
      <c r="K27" s="70">
        <f t="shared" si="0"/>
        <v>23.5</v>
      </c>
      <c r="L27" s="70"/>
      <c r="M27" s="63"/>
    </row>
    <row r="28" spans="1:13" ht="15.75">
      <c r="A28" s="64" t="str">
        <f>'[1]ESPALDILLA DE CORDERO '!$C$5</f>
        <v>ESPALDILLA DE CORDERO ALLIANZ</v>
      </c>
      <c r="B28" s="71"/>
      <c r="C28" s="66">
        <f>'[1]ESPALDILLA DE CORDERO '!$G$207</f>
        <v>0</v>
      </c>
      <c r="D28" s="67">
        <f>'[1]ESPALDILLA DE CORDERO '!$H$207</f>
        <v>0</v>
      </c>
      <c r="E28" s="67"/>
      <c r="F28" s="67"/>
      <c r="G28" s="68">
        <f t="shared" si="1"/>
        <v>0</v>
      </c>
      <c r="H28" s="67">
        <f t="shared" si="1"/>
        <v>0</v>
      </c>
      <c r="I28" s="69">
        <v>38</v>
      </c>
      <c r="J28" s="69">
        <f t="shared" si="2"/>
        <v>0</v>
      </c>
      <c r="K28" s="70">
        <f t="shared" si="0"/>
        <v>38.5</v>
      </c>
      <c r="L28" s="70"/>
      <c r="M28" s="63"/>
    </row>
    <row r="29" spans="1:13" ht="15.75">
      <c r="A29" s="64" t="str">
        <f>'[1]Labio Farmland'!$C$5</f>
        <v>LABIO FARMLAND</v>
      </c>
      <c r="B29" s="71"/>
      <c r="C29" s="66">
        <f>'[1]Labio Farmland'!$G$208</f>
        <v>2422.58</v>
      </c>
      <c r="D29" s="67">
        <f>'[1]Labio Farmland'!$H$208</f>
        <v>89</v>
      </c>
      <c r="E29" s="67">
        <v>2422.58</v>
      </c>
      <c r="F29" s="67">
        <v>89</v>
      </c>
      <c r="G29" s="68">
        <f t="shared" si="1"/>
        <v>0</v>
      </c>
      <c r="H29" s="67">
        <f t="shared" si="1"/>
        <v>0</v>
      </c>
      <c r="I29" s="69">
        <v>13.32</v>
      </c>
      <c r="J29" s="69">
        <f t="shared" si="2"/>
        <v>32268.765599999999</v>
      </c>
      <c r="K29" s="70">
        <f t="shared" si="0"/>
        <v>13.82</v>
      </c>
      <c r="L29" s="70"/>
      <c r="M29" s="63"/>
    </row>
    <row r="30" spans="1:13" ht="15.75">
      <c r="A30" s="64" t="str">
        <f>'[1]GRASA DE PUERCO'!$C$5</f>
        <v>GRASA DE PUERCO</v>
      </c>
      <c r="B30" s="71"/>
      <c r="C30" s="66">
        <f>'[1]GRASA DE PUERCO'!G207</f>
        <v>0</v>
      </c>
      <c r="D30" s="68">
        <f>'[1]GRASA DE PUERCO'!H207</f>
        <v>0</v>
      </c>
      <c r="E30" s="68"/>
      <c r="F30" s="68"/>
      <c r="G30" s="68">
        <f t="shared" si="1"/>
        <v>0</v>
      </c>
      <c r="H30" s="67">
        <f t="shared" si="1"/>
        <v>0</v>
      </c>
      <c r="I30" s="69">
        <v>9.5</v>
      </c>
      <c r="J30" s="69">
        <f t="shared" si="2"/>
        <v>0</v>
      </c>
      <c r="K30" s="70">
        <f t="shared" si="0"/>
        <v>10</v>
      </c>
      <c r="L30" s="70"/>
      <c r="M30" s="63"/>
    </row>
    <row r="31" spans="1:13" ht="15.75">
      <c r="A31" s="64" t="str">
        <f>'[1]Grasa en Combo'!$C$5</f>
        <v>GRASA EN COMBO</v>
      </c>
      <c r="B31" s="71"/>
      <c r="C31" s="66">
        <f>'[1]Grasa en Combo'!$G$207</f>
        <v>0</v>
      </c>
      <c r="D31" s="67">
        <f>'[1]Grasa en Combo'!$H$207</f>
        <v>0</v>
      </c>
      <c r="E31" s="67"/>
      <c r="F31" s="67"/>
      <c r="G31" s="68">
        <f t="shared" si="1"/>
        <v>0</v>
      </c>
      <c r="H31" s="67">
        <f t="shared" si="1"/>
        <v>0</v>
      </c>
      <c r="I31" s="69">
        <v>7.6</v>
      </c>
      <c r="J31" s="69">
        <f t="shared" si="2"/>
        <v>0</v>
      </c>
      <c r="K31" s="70">
        <f t="shared" si="0"/>
        <v>8.1</v>
      </c>
      <c r="L31" s="70"/>
      <c r="M31" s="63"/>
    </row>
    <row r="32" spans="1:13" ht="15.75">
      <c r="A32" s="64" t="str">
        <f>'[1]LENGUA DE CERDO '!$C$5</f>
        <v xml:space="preserve">LENGUA DE CERDO </v>
      </c>
      <c r="B32" s="71"/>
      <c r="C32" s="66">
        <f>'[1]LENGUA DE CERDO '!$G$214</f>
        <v>1224.9000000000008</v>
      </c>
      <c r="D32" s="67">
        <f>'[1]LENGUA DE CERDO '!$H$214</f>
        <v>87</v>
      </c>
      <c r="E32" s="67">
        <v>1143.24</v>
      </c>
      <c r="F32" s="67">
        <v>84</v>
      </c>
      <c r="G32" s="93">
        <f t="shared" si="1"/>
        <v>-81.660000000000764</v>
      </c>
      <c r="H32" s="94">
        <f t="shared" si="1"/>
        <v>-3</v>
      </c>
      <c r="I32" s="69">
        <v>33</v>
      </c>
      <c r="J32" s="69">
        <f t="shared" si="2"/>
        <v>37726.92</v>
      </c>
      <c r="K32" s="70">
        <f t="shared" si="0"/>
        <v>33.5</v>
      </c>
      <c r="L32" s="70" t="s">
        <v>56</v>
      </c>
      <c r="M32" s="63"/>
    </row>
    <row r="33" spans="1:13" ht="15.75">
      <c r="A33" s="64" t="str">
        <f>'[1]Lengua de Res'!$C$5</f>
        <v xml:space="preserve">LENGUA DE RES </v>
      </c>
      <c r="B33" s="71"/>
      <c r="C33" s="66">
        <f>'[1]Lengua de Res'!$G$211</f>
        <v>767.17</v>
      </c>
      <c r="D33" s="67">
        <f>'[1]Lengua de Res'!$H$211</f>
        <v>67</v>
      </c>
      <c r="E33" s="67">
        <v>767.17</v>
      </c>
      <c r="F33" s="67">
        <v>67</v>
      </c>
      <c r="G33" s="68">
        <f t="shared" si="1"/>
        <v>0</v>
      </c>
      <c r="H33" s="67">
        <f t="shared" si="1"/>
        <v>0</v>
      </c>
      <c r="I33" s="69">
        <v>47</v>
      </c>
      <c r="J33" s="69">
        <f t="shared" si="2"/>
        <v>36056.99</v>
      </c>
      <c r="K33" s="70">
        <f t="shared" si="0"/>
        <v>47.5</v>
      </c>
      <c r="L33" s="70" t="s">
        <v>58</v>
      </c>
      <c r="M33" s="63"/>
    </row>
    <row r="34" spans="1:13" ht="15.75">
      <c r="A34" s="64" t="str">
        <f>'[1]Marrana en Combo'!$C$5</f>
        <v>MARRANA EN COMBO</v>
      </c>
      <c r="B34" s="71"/>
      <c r="C34" s="66">
        <f>'[1]Marrana en Combo'!$G$207</f>
        <v>5204.9700000000012</v>
      </c>
      <c r="D34" s="67">
        <f>'[1]Marrana en Combo'!$H$207</f>
        <v>6</v>
      </c>
      <c r="E34" s="67">
        <v>5204.97</v>
      </c>
      <c r="F34" s="67">
        <v>6</v>
      </c>
      <c r="G34" s="68">
        <f t="shared" si="1"/>
        <v>0</v>
      </c>
      <c r="H34" s="67">
        <f t="shared" si="1"/>
        <v>0</v>
      </c>
      <c r="I34" s="69">
        <v>19.2</v>
      </c>
      <c r="J34" s="69">
        <f t="shared" si="2"/>
        <v>99935.423999999999</v>
      </c>
      <c r="K34" s="70">
        <f t="shared" si="0"/>
        <v>19.7</v>
      </c>
      <c r="L34" s="70"/>
      <c r="M34" s="63"/>
    </row>
    <row r="35" spans="1:13" ht="15.75">
      <c r="A35" s="64" t="str">
        <f>'[1]MENUDO EXCEL 86M'!$C$5</f>
        <v>MENUDO EXCEL 86M</v>
      </c>
      <c r="B35" s="71"/>
      <c r="C35" s="66">
        <f>'[1]MENUDO EXCEL 86M'!$G$210</f>
        <v>898.26000000000067</v>
      </c>
      <c r="D35" s="67">
        <f>'[1]MENUDO EXCEL 86M'!$H$210</f>
        <v>33</v>
      </c>
      <c r="E35" s="67">
        <v>871.04</v>
      </c>
      <c r="F35" s="67">
        <v>32</v>
      </c>
      <c r="G35" s="93">
        <f t="shared" si="1"/>
        <v>-27.220000000000709</v>
      </c>
      <c r="H35" s="94">
        <f t="shared" si="1"/>
        <v>-1</v>
      </c>
      <c r="I35" s="69">
        <v>13.3</v>
      </c>
      <c r="J35" s="69">
        <f t="shared" si="2"/>
        <v>11584.832</v>
      </c>
      <c r="K35" s="70">
        <f t="shared" si="0"/>
        <v>13.8</v>
      </c>
      <c r="L35" s="70" t="s">
        <v>56</v>
      </c>
      <c r="M35" s="63"/>
    </row>
    <row r="36" spans="1:13" ht="15.75">
      <c r="A36" s="64" t="str">
        <f>'[1]Menudo IBP'!$C$5</f>
        <v>MENUDO IBP</v>
      </c>
      <c r="B36" s="71"/>
      <c r="C36" s="66">
        <f>'[1]Menudo IBP'!$G$207</f>
        <v>80309.880000000077</v>
      </c>
      <c r="D36" s="67">
        <f>'[1]Menudo IBP'!$H$207</f>
        <v>3541</v>
      </c>
      <c r="E36" s="67">
        <v>80332.56</v>
      </c>
      <c r="F36" s="67">
        <v>3542</v>
      </c>
      <c r="G36" s="93">
        <f t="shared" si="1"/>
        <v>22.679999999920256</v>
      </c>
      <c r="H36" s="94">
        <f t="shared" si="1"/>
        <v>1</v>
      </c>
      <c r="I36" s="69">
        <v>18.8</v>
      </c>
      <c r="J36" s="69">
        <f t="shared" si="2"/>
        <v>1510252.128</v>
      </c>
      <c r="K36" s="70">
        <f t="shared" si="0"/>
        <v>19.3</v>
      </c>
      <c r="L36" s="70" t="s">
        <v>59</v>
      </c>
      <c r="M36" s="63"/>
    </row>
    <row r="37" spans="1:13" ht="15.75">
      <c r="A37" s="64" t="str">
        <f>'[1]Menudo Smithfield'!$C$5</f>
        <v>MENUDO SMITHFIELD</v>
      </c>
      <c r="B37" s="71"/>
      <c r="C37" s="66">
        <f>'[1]Menudo Smithfield'!$G$207</f>
        <v>3484.159999999998</v>
      </c>
      <c r="D37" s="67">
        <f>'[1]Menudo Smithfield'!$H$207</f>
        <v>128</v>
      </c>
      <c r="E37" s="67">
        <v>3484.16</v>
      </c>
      <c r="F37" s="67">
        <v>128</v>
      </c>
      <c r="G37" s="68">
        <f t="shared" si="1"/>
        <v>0</v>
      </c>
      <c r="H37" s="67">
        <f t="shared" si="1"/>
        <v>0</v>
      </c>
      <c r="I37" s="69">
        <v>16.5</v>
      </c>
      <c r="J37" s="69">
        <f t="shared" si="2"/>
        <v>57488.639999999999</v>
      </c>
      <c r="K37" s="70">
        <f t="shared" si="0"/>
        <v>17</v>
      </c>
      <c r="L37" s="70"/>
      <c r="M37" s="63"/>
    </row>
    <row r="38" spans="1:13" ht="15.75">
      <c r="A38" s="64" t="str">
        <f>'[1]NANA '!$C$5</f>
        <v xml:space="preserve">NANA </v>
      </c>
      <c r="B38" s="71"/>
      <c r="C38" s="66">
        <f>'[1]NANA '!$G$208</f>
        <v>2368.1400000000003</v>
      </c>
      <c r="D38" s="67">
        <f>'[1]NANA '!$H$208</f>
        <v>174</v>
      </c>
      <c r="E38" s="67">
        <v>2368.14</v>
      </c>
      <c r="F38" s="67">
        <v>174</v>
      </c>
      <c r="G38" s="68">
        <f t="shared" si="1"/>
        <v>0</v>
      </c>
      <c r="H38" s="67">
        <f t="shared" si="1"/>
        <v>0</v>
      </c>
      <c r="I38" s="69">
        <v>28.9</v>
      </c>
      <c r="J38" s="69">
        <f t="shared" si="2"/>
        <v>68439.245999999999</v>
      </c>
      <c r="K38" s="70">
        <f t="shared" si="0"/>
        <v>29.4</v>
      </c>
      <c r="L38" s="70"/>
      <c r="M38" s="63"/>
    </row>
    <row r="39" spans="1:13" ht="15.75">
      <c r="A39" s="64" t="str">
        <f>[1]PATITAS!$C$5</f>
        <v xml:space="preserve">PATITAS DE CERDO </v>
      </c>
      <c r="B39" s="71"/>
      <c r="C39" s="74">
        <f>[1]PATITAS!$G$208</f>
        <v>1499.41</v>
      </c>
      <c r="D39" s="75">
        <f>[1]PATITAS!$H$208</f>
        <v>100</v>
      </c>
      <c r="E39" s="75">
        <v>1500</v>
      </c>
      <c r="F39" s="75">
        <v>100</v>
      </c>
      <c r="G39" s="68">
        <f t="shared" si="1"/>
        <v>0.58999999999991815</v>
      </c>
      <c r="H39" s="67">
        <f t="shared" si="1"/>
        <v>0</v>
      </c>
      <c r="I39" s="69">
        <v>14.29</v>
      </c>
      <c r="J39" s="69">
        <f t="shared" si="2"/>
        <v>21435</v>
      </c>
      <c r="K39" s="70">
        <f t="shared" si="0"/>
        <v>14.79</v>
      </c>
      <c r="L39" s="70"/>
      <c r="M39" s="63"/>
    </row>
    <row r="40" spans="1:13" ht="15.75">
      <c r="A40" s="64" t="str">
        <f>'[1]Pavo Crudo'!C5</f>
        <v>PAVO CRUDO</v>
      </c>
      <c r="B40" s="71"/>
      <c r="C40" s="74">
        <f>'[1]Pavo Crudo'!G207</f>
        <v>13319.43</v>
      </c>
      <c r="D40" s="76">
        <f>'[1]Pavo Crudo'!H207</f>
        <v>677</v>
      </c>
      <c r="E40" s="77">
        <v>13319.43</v>
      </c>
      <c r="F40" s="77">
        <v>677</v>
      </c>
      <c r="G40" s="68">
        <f t="shared" si="1"/>
        <v>0</v>
      </c>
      <c r="H40" s="67">
        <f t="shared" si="1"/>
        <v>0</v>
      </c>
      <c r="I40" s="78">
        <v>25.5</v>
      </c>
      <c r="J40" s="69">
        <f t="shared" si="2"/>
        <v>339645.46500000003</v>
      </c>
      <c r="K40" s="70">
        <f t="shared" si="0"/>
        <v>26</v>
      </c>
      <c r="L40" s="70"/>
      <c r="M40" s="63"/>
    </row>
    <row r="41" spans="1:13" ht="15.75">
      <c r="A41" s="64" t="str">
        <f>'[1]PERNIL CON PIEL'!$C$5</f>
        <v>PERNIL CON PIEL</v>
      </c>
      <c r="B41" s="71"/>
      <c r="C41" s="74">
        <f>'[1]PERNIL CON PIEL'!G1303</f>
        <v>2616.7800000000011</v>
      </c>
      <c r="D41" s="79">
        <f>'[1]PERNIL CON PIEL'!H1303</f>
        <v>3</v>
      </c>
      <c r="E41" s="80">
        <v>2616.7800000000002</v>
      </c>
      <c r="F41" s="80">
        <v>3</v>
      </c>
      <c r="G41" s="68">
        <f t="shared" si="1"/>
        <v>0</v>
      </c>
      <c r="H41" s="67">
        <f t="shared" si="1"/>
        <v>0</v>
      </c>
      <c r="I41" s="78">
        <v>23.55</v>
      </c>
      <c r="J41" s="69">
        <f t="shared" si="2"/>
        <v>61625.169000000009</v>
      </c>
      <c r="K41" s="70">
        <f t="shared" si="0"/>
        <v>24.05</v>
      </c>
      <c r="L41" s="70"/>
      <c r="M41" s="63"/>
    </row>
    <row r="42" spans="1:13" ht="15.75">
      <c r="A42" s="64" t="str">
        <f>'[1]Pulpa Negra'!$C$5</f>
        <v>PULPA NEGRA</v>
      </c>
      <c r="B42" s="71"/>
      <c r="C42" s="74">
        <f>'[1]Pulpa Negra'!$G$207</f>
        <v>0</v>
      </c>
      <c r="D42" s="79">
        <f>'[1]Pulpa Negra'!$H$207</f>
        <v>0</v>
      </c>
      <c r="E42" s="80"/>
      <c r="F42" s="80"/>
      <c r="G42" s="68">
        <f t="shared" si="1"/>
        <v>0</v>
      </c>
      <c r="H42" s="67">
        <f t="shared" si="1"/>
        <v>0</v>
      </c>
      <c r="I42" s="78">
        <v>45.5</v>
      </c>
      <c r="J42" s="69">
        <f t="shared" si="2"/>
        <v>0</v>
      </c>
      <c r="K42" s="70">
        <f t="shared" si="0"/>
        <v>46</v>
      </c>
      <c r="L42" s="70"/>
      <c r="M42" s="63"/>
    </row>
    <row r="43" spans="1:13" ht="15.75">
      <c r="A43" s="64" t="str">
        <f>'[1]Recorte 80-20'!$C$5</f>
        <v>RECORTE 80-20</v>
      </c>
      <c r="B43" s="71"/>
      <c r="C43" s="74">
        <f>'[1]Recorte 80-20'!$G$207</f>
        <v>0</v>
      </c>
      <c r="D43" s="79">
        <f>'[1]Recorte 80-20'!$H$207</f>
        <v>0</v>
      </c>
      <c r="E43" s="80"/>
      <c r="F43" s="80"/>
      <c r="G43" s="68">
        <f t="shared" si="1"/>
        <v>0</v>
      </c>
      <c r="H43" s="67">
        <f t="shared" si="1"/>
        <v>0</v>
      </c>
      <c r="I43" s="78">
        <v>16</v>
      </c>
      <c r="J43" s="69">
        <f t="shared" si="2"/>
        <v>0</v>
      </c>
      <c r="K43" s="70">
        <f t="shared" si="0"/>
        <v>16.5</v>
      </c>
      <c r="L43" s="70"/>
      <c r="M43" s="63"/>
    </row>
    <row r="44" spans="1:13" ht="15.75">
      <c r="A44" s="64" t="str">
        <f>'[1]SESOS EN COPA '!$C$5</f>
        <v>SESOS EN COPA FARMLAND</v>
      </c>
      <c r="B44" s="71"/>
      <c r="C44" s="74">
        <f>'[1]SESOS EN COPA '!$G$213</f>
        <v>12736.73</v>
      </c>
      <c r="D44" s="79">
        <f>'[1]SESOS EN COPA '!$H$213</f>
        <v>2341</v>
      </c>
      <c r="E44" s="80">
        <v>12742.53</v>
      </c>
      <c r="F44" s="80">
        <v>2341</v>
      </c>
      <c r="G44" s="68">
        <f t="shared" si="1"/>
        <v>5.8000000000010914</v>
      </c>
      <c r="H44" s="67">
        <f t="shared" si="1"/>
        <v>0</v>
      </c>
      <c r="I44" s="78">
        <v>33.700000000000003</v>
      </c>
      <c r="J44" s="69">
        <f t="shared" si="2"/>
        <v>429423.26100000006</v>
      </c>
      <c r="K44" s="70">
        <f t="shared" si="0"/>
        <v>34.200000000000003</v>
      </c>
      <c r="L44" s="70"/>
      <c r="M44" s="63"/>
    </row>
    <row r="45" spans="1:13" ht="15.75">
      <c r="A45" s="64" t="str">
        <f>'[1]Sesos marqueta'!$C$5</f>
        <v>SESOS MARQUETA</v>
      </c>
      <c r="B45" s="71"/>
      <c r="C45" s="74">
        <f>'[1]Sesos marqueta'!$G$207</f>
        <v>8533.4699999999993</v>
      </c>
      <c r="D45" s="79">
        <f>'[1]Sesos marqueta'!$H$207</f>
        <v>627</v>
      </c>
      <c r="E45" s="80">
        <v>8533.4699999999993</v>
      </c>
      <c r="F45" s="80">
        <v>627</v>
      </c>
      <c r="G45" s="68">
        <f t="shared" si="1"/>
        <v>0</v>
      </c>
      <c r="H45" s="67">
        <f t="shared" si="1"/>
        <v>0</v>
      </c>
      <c r="I45" s="78">
        <v>30.76</v>
      </c>
      <c r="J45" s="69">
        <f t="shared" si="2"/>
        <v>262489.53720000002</v>
      </c>
      <c r="K45" s="70">
        <f t="shared" si="0"/>
        <v>31.26</v>
      </c>
      <c r="L45" s="70"/>
      <c r="M45" s="63"/>
    </row>
    <row r="46" spans="1:13" ht="15.75">
      <c r="A46" s="64" t="str">
        <f>'[1]Tocino IBP'!C5</f>
        <v>TOCINO IBP</v>
      </c>
      <c r="B46" s="71"/>
      <c r="C46" s="74">
        <f>'[1]Tocino IBP'!G207</f>
        <v>3333.84</v>
      </c>
      <c r="D46" s="76">
        <f>'[1]Tocino IBP'!H207</f>
        <v>120</v>
      </c>
      <c r="E46" s="77">
        <v>3333.84</v>
      </c>
      <c r="F46" s="77">
        <v>120</v>
      </c>
      <c r="G46" s="68">
        <f t="shared" si="1"/>
        <v>0</v>
      </c>
      <c r="H46" s="67">
        <f t="shared" si="1"/>
        <v>0</v>
      </c>
      <c r="I46" s="78">
        <v>22.5</v>
      </c>
      <c r="J46" s="69">
        <f t="shared" si="2"/>
        <v>75011.400000000009</v>
      </c>
      <c r="K46" s="70">
        <f t="shared" si="0"/>
        <v>23</v>
      </c>
      <c r="L46" s="70"/>
      <c r="M46" s="63"/>
    </row>
    <row r="47" spans="1:13" ht="15.75">
      <c r="A47" s="64" t="str">
        <f>'[1]Trompa Farmland'!$C$5</f>
        <v>TROMPA FARMLAND</v>
      </c>
      <c r="B47" s="71"/>
      <c r="C47" s="74">
        <f>'[1]Trompa Farmland'!G207</f>
        <v>2327.31</v>
      </c>
      <c r="D47" s="76">
        <f>'[1]Trompa Farmland'!H207</f>
        <v>171</v>
      </c>
      <c r="E47" s="77">
        <v>2327.31</v>
      </c>
      <c r="F47" s="77">
        <v>171</v>
      </c>
      <c r="G47" s="68">
        <f t="shared" si="1"/>
        <v>0</v>
      </c>
      <c r="H47" s="67">
        <f t="shared" si="1"/>
        <v>0</v>
      </c>
      <c r="I47" s="78">
        <v>18.489999999999998</v>
      </c>
      <c r="J47" s="69">
        <f t="shared" si="2"/>
        <v>43031.961899999995</v>
      </c>
      <c r="K47" s="70">
        <f t="shared" si="0"/>
        <v>18.989999999999998</v>
      </c>
      <c r="L47" s="70"/>
      <c r="M47" s="63"/>
    </row>
    <row r="48" spans="1:13" ht="15.75">
      <c r="A48" s="64" t="str">
        <f>'[1]Trompa Excel'!$C$5</f>
        <v>TROMPA EXCEL</v>
      </c>
      <c r="B48" s="71"/>
      <c r="C48" s="74">
        <f>'[1]Trompa Excel'!$G$208</f>
        <v>2994.2</v>
      </c>
      <c r="D48" s="79">
        <f>'[1]Trompa Excel'!$H$208</f>
        <v>110</v>
      </c>
      <c r="E48" s="80">
        <v>2994.2</v>
      </c>
      <c r="F48" s="80">
        <v>110</v>
      </c>
      <c r="G48" s="68">
        <f t="shared" si="1"/>
        <v>0</v>
      </c>
      <c r="H48" s="67">
        <f t="shared" si="1"/>
        <v>0</v>
      </c>
      <c r="I48" s="78">
        <v>21.4</v>
      </c>
      <c r="J48" s="69">
        <f t="shared" si="2"/>
        <v>64075.87999999999</v>
      </c>
      <c r="K48" s="70">
        <f t="shared" si="0"/>
        <v>21.9</v>
      </c>
      <c r="L48" s="70"/>
      <c r="M48" s="63"/>
    </row>
    <row r="49" spans="1:13" ht="15.75">
      <c r="A49" s="64" t="str">
        <f>'[1]Trompa John Morrell'!C5</f>
        <v>TROMPA JOHN MORRELL</v>
      </c>
      <c r="B49" s="71"/>
      <c r="C49" s="74">
        <f>'[1]Trompa John Morrell'!G207</f>
        <v>0</v>
      </c>
      <c r="D49" s="81">
        <f>'[1]Trompa John Morrell'!H207</f>
        <v>0</v>
      </c>
      <c r="E49" s="82"/>
      <c r="F49" s="82"/>
      <c r="G49" s="82"/>
      <c r="H49" s="82"/>
      <c r="I49" s="78">
        <v>17.5</v>
      </c>
      <c r="J49" s="69">
        <f>I49*C49</f>
        <v>0</v>
      </c>
      <c r="K49" s="70">
        <f t="shared" si="0"/>
        <v>18</v>
      </c>
      <c r="L49" s="70"/>
      <c r="M49" s="63"/>
    </row>
    <row r="50" spans="1:13" ht="15.75">
      <c r="A50" s="83" t="str">
        <f>'[1]Trompa Seaboard'!$C$5</f>
        <v>TROMPA SEABOARD</v>
      </c>
      <c r="B50" s="71"/>
      <c r="C50" s="74">
        <f>'[1]Trompa Seaboard'!$G$208</f>
        <v>0</v>
      </c>
      <c r="D50" s="79">
        <f>'[1]Trompa Seaboard'!$H$208</f>
        <v>0</v>
      </c>
      <c r="E50" s="80"/>
      <c r="F50" s="80"/>
      <c r="G50" s="80"/>
      <c r="H50" s="80"/>
      <c r="I50" s="78">
        <v>15</v>
      </c>
      <c r="J50" s="69">
        <f>I50*C50</f>
        <v>0</v>
      </c>
      <c r="K50" s="70">
        <f t="shared" si="0"/>
        <v>15.5</v>
      </c>
      <c r="L50" s="70"/>
      <c r="M50" s="63"/>
    </row>
    <row r="51" spans="1:13" ht="15.75">
      <c r="K51" s="70"/>
      <c r="L51" s="70"/>
      <c r="M51" s="63"/>
    </row>
    <row r="52" spans="1:13" ht="15.75">
      <c r="B52" s="84" t="s">
        <v>10</v>
      </c>
      <c r="C52" s="85">
        <f t="shared" ref="C52:J52" si="3">SUM(C10:C50)</f>
        <v>303535.90000000008</v>
      </c>
      <c r="D52" s="85">
        <f t="shared" si="3"/>
        <v>16696</v>
      </c>
      <c r="E52" s="85">
        <f t="shared" si="3"/>
        <v>303501.35000000009</v>
      </c>
      <c r="F52" s="85">
        <f t="shared" si="3"/>
        <v>16696</v>
      </c>
      <c r="G52" s="85">
        <f t="shared" si="3"/>
        <v>-34.550000000073844</v>
      </c>
      <c r="H52" s="85">
        <f t="shared" si="3"/>
        <v>0</v>
      </c>
      <c r="I52" s="85">
        <f t="shared" si="3"/>
        <v>966.51</v>
      </c>
      <c r="J52" s="86">
        <f t="shared" si="3"/>
        <v>6774474.3807000006</v>
      </c>
      <c r="K52" s="87"/>
      <c r="L52" s="87"/>
      <c r="M52" s="63"/>
    </row>
    <row r="53" spans="1:13">
      <c r="A53" s="50"/>
      <c r="B53" s="50"/>
      <c r="I53" s="54"/>
      <c r="J53" s="54"/>
      <c r="K53" s="50"/>
      <c r="L53" s="50"/>
    </row>
    <row r="54" spans="1:13">
      <c r="A54" s="50"/>
      <c r="B54" s="50"/>
      <c r="I54" s="54"/>
      <c r="J54" s="54"/>
      <c r="K54" s="50"/>
      <c r="L54" s="50"/>
    </row>
    <row r="55" spans="1:13">
      <c r="A55" s="50"/>
      <c r="B55" s="50"/>
      <c r="I55" s="54"/>
      <c r="J55" s="54"/>
      <c r="K55" s="50"/>
      <c r="L55" s="50"/>
    </row>
    <row r="56" spans="1:13">
      <c r="I56" s="54"/>
      <c r="J56" s="54"/>
      <c r="K56" s="50"/>
      <c r="L56" s="50"/>
    </row>
    <row r="57" spans="1:13">
      <c r="I57" s="54"/>
      <c r="J57" s="54"/>
      <c r="K57" s="50"/>
      <c r="L57" s="50"/>
    </row>
    <row r="58" spans="1:13">
      <c r="I58" s="54"/>
      <c r="J58" s="54"/>
      <c r="K58" s="50"/>
      <c r="L58" s="5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8"/>
  <sheetViews>
    <sheetView topLeftCell="A30" workbookViewId="0">
      <selection activeCell="G47" sqref="G47"/>
    </sheetView>
  </sheetViews>
  <sheetFormatPr baseColWidth="10" defaultRowHeight="15"/>
  <cols>
    <col min="2" max="2" width="29.85546875" customWidth="1"/>
    <col min="4" max="4" width="12.7109375" bestFit="1" customWidth="1"/>
    <col min="9" max="9" width="11.42578125" style="46"/>
    <col min="10" max="10" width="15.85546875" style="46" bestFit="1" customWidth="1"/>
  </cols>
  <sheetData>
    <row r="1" spans="1:13">
      <c r="C1" s="45"/>
    </row>
    <row r="2" spans="1:13" ht="20.25">
      <c r="B2" s="47" t="s">
        <v>0</v>
      </c>
    </row>
    <row r="3" spans="1:13">
      <c r="A3" s="48"/>
      <c r="C3" s="45"/>
    </row>
    <row r="4" spans="1:13">
      <c r="A4" s="48"/>
      <c r="C4" s="45"/>
    </row>
    <row r="5" spans="1:13" ht="18">
      <c r="B5" s="49" t="s">
        <v>1</v>
      </c>
    </row>
    <row r="7" spans="1:13" ht="15.75">
      <c r="B7" s="50"/>
      <c r="C7" s="51" t="s">
        <v>2</v>
      </c>
      <c r="D7" s="52">
        <v>39752</v>
      </c>
      <c r="E7" s="53"/>
      <c r="F7" s="53"/>
      <c r="G7" s="53"/>
      <c r="H7" s="53"/>
      <c r="I7" s="54"/>
    </row>
    <row r="8" spans="1:13" ht="16.5" thickBot="1">
      <c r="C8" t="s">
        <v>54</v>
      </c>
      <c r="E8" t="s">
        <v>4</v>
      </c>
      <c r="G8" t="s">
        <v>5</v>
      </c>
      <c r="I8" s="55"/>
      <c r="J8" s="54"/>
      <c r="K8" s="56"/>
      <c r="L8" s="50"/>
    </row>
    <row r="9" spans="1:13" ht="17.25" thickTop="1" thickBot="1">
      <c r="A9" s="57" t="s">
        <v>6</v>
      </c>
      <c r="B9" s="58"/>
      <c r="C9" s="59" t="s">
        <v>7</v>
      </c>
      <c r="D9" s="60" t="s">
        <v>8</v>
      </c>
      <c r="E9" s="59" t="s">
        <v>7</v>
      </c>
      <c r="F9" s="60" t="s">
        <v>8</v>
      </c>
      <c r="G9" s="59" t="s">
        <v>7</v>
      </c>
      <c r="H9" s="60" t="s">
        <v>8</v>
      </c>
      <c r="I9" s="60" t="s">
        <v>9</v>
      </c>
      <c r="J9" s="60" t="s">
        <v>10</v>
      </c>
      <c r="K9" s="61" t="s">
        <v>11</v>
      </c>
      <c r="L9" s="62"/>
      <c r="M9" s="63"/>
    </row>
    <row r="10" spans="1:13" ht="15.75">
      <c r="A10" s="64" t="str">
        <f>'[2]BUCHE '!$C$5</f>
        <v xml:space="preserve">BUCHE </v>
      </c>
      <c r="B10" s="65"/>
      <c r="C10" s="66">
        <f>'[2]BUCHE '!$G$212</f>
        <v>2585.9000000000005</v>
      </c>
      <c r="D10" s="67">
        <f>'[2]BUCHE '!$H$212</f>
        <v>190</v>
      </c>
      <c r="E10" s="88">
        <v>2585.9</v>
      </c>
      <c r="F10" s="67">
        <v>190</v>
      </c>
      <c r="G10" s="68">
        <f>E10-C10</f>
        <v>0</v>
      </c>
      <c r="H10" s="67">
        <f>F10-D10</f>
        <v>0</v>
      </c>
      <c r="I10" s="69">
        <v>28.5</v>
      </c>
      <c r="J10" s="69">
        <f>I10*E10</f>
        <v>73698.150000000009</v>
      </c>
      <c r="K10" s="70">
        <f t="shared" ref="K10:K50" si="0">I10+0.5</f>
        <v>29</v>
      </c>
      <c r="L10" s="70"/>
      <c r="M10" s="63"/>
    </row>
    <row r="11" spans="1:13" ht="15.75">
      <c r="A11" s="64" t="str">
        <f>'[2]CABEZA DE LOMO IBP'!$C$5</f>
        <v>CABEZA DE LOMO IBP</v>
      </c>
      <c r="B11" s="71"/>
      <c r="C11" s="66">
        <f>'[2]CABEZA DE LOMO IBP'!$G$211</f>
        <v>0</v>
      </c>
      <c r="D11" s="67">
        <f>'[2]CABEZA DE LOMO IBP'!$H$211</f>
        <v>0</v>
      </c>
      <c r="E11" s="88"/>
      <c r="F11" s="67"/>
      <c r="G11" s="68">
        <f t="shared" ref="G11:H48" si="1">E11-C11</f>
        <v>0</v>
      </c>
      <c r="H11" s="67">
        <f t="shared" si="1"/>
        <v>0</v>
      </c>
      <c r="I11" s="69">
        <v>22</v>
      </c>
      <c r="J11" s="69">
        <f t="shared" ref="J11:J48" si="2">I11*E11</f>
        <v>0</v>
      </c>
      <c r="K11" s="70">
        <f t="shared" si="0"/>
        <v>22.5</v>
      </c>
      <c r="L11" s="70"/>
      <c r="M11" s="63"/>
    </row>
    <row r="12" spans="1:13" ht="15.75">
      <c r="A12" s="64" t="str">
        <f>'[2]CABEZA DE LOMO seaboard'!$C$5</f>
        <v>CABEZA DE LOMO SEABOARD</v>
      </c>
      <c r="B12" s="71"/>
      <c r="C12" s="66">
        <f>'[2]CABEZA DE LOMO seaboard'!$G$208</f>
        <v>17296.949999999997</v>
      </c>
      <c r="D12" s="67">
        <f>'[2]CABEZA DE LOMO seaboard'!$H$208</f>
        <v>575</v>
      </c>
      <c r="E12" s="88">
        <v>17296.95</v>
      </c>
      <c r="F12" s="67">
        <v>575</v>
      </c>
      <c r="G12" s="68">
        <f t="shared" si="1"/>
        <v>0</v>
      </c>
      <c r="H12" s="67">
        <f t="shared" si="1"/>
        <v>0</v>
      </c>
      <c r="I12" s="69">
        <v>26.5</v>
      </c>
      <c r="J12" s="69">
        <f t="shared" si="2"/>
        <v>458369.17500000005</v>
      </c>
      <c r="K12" s="70">
        <f t="shared" si="0"/>
        <v>27</v>
      </c>
      <c r="L12" s="70"/>
      <c r="M12" s="63"/>
    </row>
    <row r="13" spans="1:13" ht="15.75">
      <c r="A13" s="64" t="str">
        <f>'[2]Cabeza lomo Smith'!$C$5</f>
        <v>CABEZA DE LOMO SMITHFIELD</v>
      </c>
      <c r="B13" s="71"/>
      <c r="C13" s="66">
        <f>'[2]Cabeza lomo Smith'!$G$208</f>
        <v>0</v>
      </c>
      <c r="D13" s="67">
        <f>'[2]Cabeza lomo Smith'!$H$208</f>
        <v>0</v>
      </c>
      <c r="E13" s="88"/>
      <c r="F13" s="67"/>
      <c r="G13" s="68">
        <f t="shared" si="1"/>
        <v>0</v>
      </c>
      <c r="H13" s="67">
        <f t="shared" si="1"/>
        <v>0</v>
      </c>
      <c r="I13" s="69">
        <v>24.2</v>
      </c>
      <c r="J13" s="69">
        <f t="shared" si="2"/>
        <v>0</v>
      </c>
      <c r="K13" s="70">
        <f t="shared" si="0"/>
        <v>24.7</v>
      </c>
      <c r="L13" s="70"/>
      <c r="M13" s="63"/>
    </row>
    <row r="14" spans="1:13" ht="15.75">
      <c r="A14" s="64" t="str">
        <f>'[2]Cabeza lomo Swift'!C5</f>
        <v>CABEZA DE LOMO SWIFT</v>
      </c>
      <c r="B14" s="71"/>
      <c r="C14" s="66">
        <f>'[2]Cabeza lomo Swift'!G207</f>
        <v>7.4399999999999409</v>
      </c>
      <c r="D14" s="72">
        <f>'[2]Cabeza lomo Swift'!H207</f>
        <v>0</v>
      </c>
      <c r="E14" s="88">
        <v>0</v>
      </c>
      <c r="F14" s="72">
        <v>0</v>
      </c>
      <c r="G14" s="68">
        <f t="shared" si="1"/>
        <v>-7.4399999999999409</v>
      </c>
      <c r="H14" s="67">
        <f t="shared" si="1"/>
        <v>0</v>
      </c>
      <c r="I14" s="69">
        <v>29.5</v>
      </c>
      <c r="J14" s="69">
        <f t="shared" si="2"/>
        <v>0</v>
      </c>
      <c r="K14" s="70">
        <f t="shared" si="0"/>
        <v>30</v>
      </c>
      <c r="L14" s="70"/>
      <c r="M14" s="63"/>
    </row>
    <row r="15" spans="1:13" ht="15.75">
      <c r="A15" s="64" t="str">
        <f>'[2]Cab. de Lomo Vershoor'!$C$5</f>
        <v>CABEZA DE LOMO VERSHOOR</v>
      </c>
      <c r="B15" s="71"/>
      <c r="C15" s="66">
        <f>'[2]Cab. de Lomo Vershoor'!$G$208</f>
        <v>4125</v>
      </c>
      <c r="D15" s="67">
        <f>'[2]Cab. de Lomo Vershoor'!$H$208</f>
        <v>208</v>
      </c>
      <c r="E15" s="88">
        <v>4119</v>
      </c>
      <c r="F15" s="67">
        <v>208</v>
      </c>
      <c r="G15" s="68">
        <f t="shared" si="1"/>
        <v>-6</v>
      </c>
      <c r="H15" s="67">
        <f t="shared" si="1"/>
        <v>0</v>
      </c>
      <c r="I15" s="69">
        <v>19.399999999999999</v>
      </c>
      <c r="J15" s="69">
        <f t="shared" si="2"/>
        <v>79908.599999999991</v>
      </c>
      <c r="K15" s="70">
        <f t="shared" si="0"/>
        <v>19.899999999999999</v>
      </c>
      <c r="L15" s="70"/>
      <c r="M15" s="63"/>
    </row>
    <row r="16" spans="1:13" ht="15.75">
      <c r="A16" s="64" t="str">
        <f>[2]CARNERO!$C$5</f>
        <v>CARNERO</v>
      </c>
      <c r="B16" s="71"/>
      <c r="C16" s="66">
        <f>[2]CARNERO!$G$208</f>
        <v>1577.0000000000007</v>
      </c>
      <c r="D16" s="67">
        <f>[2]CARNERO!$H$208</f>
        <v>81</v>
      </c>
      <c r="E16" s="88">
        <v>1577</v>
      </c>
      <c r="F16" s="67">
        <v>81</v>
      </c>
      <c r="G16" s="68">
        <f t="shared" si="1"/>
        <v>0</v>
      </c>
      <c r="H16" s="67">
        <f t="shared" si="1"/>
        <v>0</v>
      </c>
      <c r="I16" s="69">
        <v>32.5</v>
      </c>
      <c r="J16" s="69">
        <f t="shared" si="2"/>
        <v>51252.5</v>
      </c>
      <c r="K16" s="70">
        <f t="shared" si="0"/>
        <v>33</v>
      </c>
      <c r="L16" s="70"/>
      <c r="M16" s="63" t="s">
        <v>19</v>
      </c>
    </row>
    <row r="17" spans="1:13" ht="15.75">
      <c r="A17" s="64" t="str">
        <f>'[2]CONTRA EXCEL'!$C$5</f>
        <v>CONTRA (GOOSENECK) EXCEL</v>
      </c>
      <c r="B17" s="71"/>
      <c r="C17" s="66">
        <f>'[2]CONTRA EXCEL'!$G$196</f>
        <v>10185.069999999998</v>
      </c>
      <c r="D17" s="67">
        <f>'[2]CONTRA EXCEL'!$H$196</f>
        <v>366</v>
      </c>
      <c r="E17" s="88">
        <v>10188.26</v>
      </c>
      <c r="F17" s="67">
        <v>366</v>
      </c>
      <c r="G17" s="68">
        <f t="shared" si="1"/>
        <v>3.1900000000023283</v>
      </c>
      <c r="H17" s="67">
        <f t="shared" si="1"/>
        <v>0</v>
      </c>
      <c r="I17" s="69">
        <v>50.5</v>
      </c>
      <c r="J17" s="69">
        <f t="shared" si="2"/>
        <v>514507.13</v>
      </c>
      <c r="K17" s="70">
        <f t="shared" si="0"/>
        <v>51</v>
      </c>
      <c r="L17" s="70"/>
      <c r="M17" s="63"/>
    </row>
    <row r="18" spans="1:13" ht="15.75">
      <c r="A18" s="64" t="str">
        <f>'[2]CONTRA IBP'!$C$5</f>
        <v>CONTRA (GOOSENECK) IBP</v>
      </c>
      <c r="B18" s="71"/>
      <c r="C18" s="66">
        <f>'[2]CONTRA IBP'!$G$196</f>
        <v>10745.84</v>
      </c>
      <c r="D18" s="67">
        <f>'[2]CONTRA IBP'!$H$196</f>
        <v>250</v>
      </c>
      <c r="E18" s="88">
        <v>10745.84</v>
      </c>
      <c r="F18" s="67">
        <v>250</v>
      </c>
      <c r="G18" s="68">
        <f t="shared" si="1"/>
        <v>0</v>
      </c>
      <c r="H18" s="67">
        <f t="shared" si="1"/>
        <v>0</v>
      </c>
      <c r="I18" s="69">
        <v>50.5</v>
      </c>
      <c r="J18" s="69">
        <f t="shared" si="2"/>
        <v>542664.92000000004</v>
      </c>
      <c r="K18" s="70">
        <f t="shared" si="0"/>
        <v>51</v>
      </c>
      <c r="L18" s="70"/>
      <c r="M18" s="63"/>
    </row>
    <row r="19" spans="1:13" ht="15.75">
      <c r="A19" s="64" t="str">
        <f>'[2]Corbata Curlys'!$C$5</f>
        <v>CORBATA CURLY'S</v>
      </c>
      <c r="B19" s="71"/>
      <c r="C19" s="66">
        <f>'[2]Corbata Curlys'!$G$208</f>
        <v>16454.489999999998</v>
      </c>
      <c r="D19" s="67">
        <f>'[2]Corbata Curlys'!$H$208</f>
        <v>1209</v>
      </c>
      <c r="E19" s="88">
        <v>16454.490000000002</v>
      </c>
      <c r="F19" s="67">
        <v>1209</v>
      </c>
      <c r="G19" s="68">
        <f t="shared" si="1"/>
        <v>0</v>
      </c>
      <c r="H19" s="67">
        <f t="shared" si="1"/>
        <v>0</v>
      </c>
      <c r="I19" s="69">
        <v>29.36</v>
      </c>
      <c r="J19" s="69">
        <f t="shared" si="2"/>
        <v>483103.82640000002</v>
      </c>
      <c r="K19" s="70">
        <f t="shared" si="0"/>
        <v>29.86</v>
      </c>
      <c r="L19" s="70"/>
      <c r="M19" s="63"/>
    </row>
    <row r="20" spans="1:13" ht="15.75">
      <c r="A20" s="64" t="str">
        <f>'[2]CORBATA ibp'!$C$5</f>
        <v>CORBATA  IBP</v>
      </c>
      <c r="B20" s="71"/>
      <c r="C20" s="66">
        <f>'[2]CORBATA ibp'!$G$209</f>
        <v>16587.3</v>
      </c>
      <c r="D20" s="67">
        <f>'[2]CORBATA ibp'!$H$209</f>
        <v>1230</v>
      </c>
      <c r="E20" s="88">
        <v>16587.3</v>
      </c>
      <c r="F20" s="67">
        <v>1230</v>
      </c>
      <c r="G20" s="68">
        <f t="shared" si="1"/>
        <v>0</v>
      </c>
      <c r="H20" s="67">
        <f t="shared" si="1"/>
        <v>0</v>
      </c>
      <c r="I20" s="69">
        <v>23</v>
      </c>
      <c r="J20" s="69">
        <f t="shared" si="2"/>
        <v>381507.89999999997</v>
      </c>
      <c r="K20" s="70">
        <f t="shared" si="0"/>
        <v>23.5</v>
      </c>
      <c r="L20" s="70"/>
      <c r="M20" s="63"/>
    </row>
    <row r="21" spans="1:13" ht="15.75">
      <c r="A21" s="64" t="str">
        <f>'[2]Corbata Rupari'!$C$5</f>
        <v>CORBATA RUPARI (buena)</v>
      </c>
      <c r="B21" s="71"/>
      <c r="C21" s="66">
        <f>'[2]Corbata Rupari'!$G$206</f>
        <v>0</v>
      </c>
      <c r="D21" s="67">
        <f>'[2]Corbata Rupari'!$H$206</f>
        <v>0</v>
      </c>
      <c r="E21" s="88"/>
      <c r="F21" s="67"/>
      <c r="G21" s="68">
        <f t="shared" si="1"/>
        <v>0</v>
      </c>
      <c r="H21" s="67">
        <f t="shared" si="1"/>
        <v>0</v>
      </c>
      <c r="I21" s="69">
        <v>22.8</v>
      </c>
      <c r="J21" s="69">
        <f t="shared" si="2"/>
        <v>0</v>
      </c>
      <c r="K21" s="70">
        <f t="shared" si="0"/>
        <v>23.3</v>
      </c>
      <c r="L21" s="70"/>
      <c r="M21" s="63"/>
    </row>
    <row r="22" spans="1:13" ht="15.75">
      <c r="A22" s="64" t="str">
        <f>'[2]costilla Rupari'!$C$5</f>
        <v>COSTILLA RUPARI</v>
      </c>
      <c r="B22" s="71"/>
      <c r="C22" s="66">
        <f>'[2]costilla Rupari'!$G$208</f>
        <v>7264.0000000000009</v>
      </c>
      <c r="D22" s="67">
        <f>'[2]costilla Rupari'!$H$208</f>
        <v>1600</v>
      </c>
      <c r="E22" s="88">
        <v>7264</v>
      </c>
      <c r="F22" s="67">
        <v>1600</v>
      </c>
      <c r="G22" s="68">
        <f t="shared" si="1"/>
        <v>0</v>
      </c>
      <c r="H22" s="67">
        <f t="shared" si="1"/>
        <v>0</v>
      </c>
      <c r="I22" s="69">
        <v>10.89</v>
      </c>
      <c r="J22" s="69">
        <f t="shared" si="2"/>
        <v>79104.960000000006</v>
      </c>
      <c r="K22" s="70">
        <f t="shared" si="0"/>
        <v>11.39</v>
      </c>
      <c r="L22" s="70"/>
      <c r="M22" s="63"/>
    </row>
    <row r="23" spans="1:13" ht="15.75">
      <c r="A23" s="64" t="str">
        <f>'[2]CUERO CAB DE LOMO FARMLAD'!$C$5</f>
        <v>CUERO DE CABEZA DE LOMO</v>
      </c>
      <c r="B23" s="71"/>
      <c r="C23" s="66">
        <f>'[2]CUERO CAB DE LOMO FARMLAD'!$G$210</f>
        <v>0</v>
      </c>
      <c r="D23" s="67">
        <f>'[2]CUERO CAB DE LOMO FARMLAD'!$H$210</f>
        <v>0</v>
      </c>
      <c r="E23" s="88"/>
      <c r="F23" s="67"/>
      <c r="G23" s="68">
        <f t="shared" si="1"/>
        <v>0</v>
      </c>
      <c r="H23" s="67">
        <f t="shared" si="1"/>
        <v>0</v>
      </c>
      <c r="I23" s="69">
        <v>10.85</v>
      </c>
      <c r="J23" s="69">
        <f t="shared" si="2"/>
        <v>0</v>
      </c>
      <c r="K23" s="70">
        <f t="shared" si="0"/>
        <v>11.35</v>
      </c>
      <c r="L23" s="70"/>
      <c r="M23" s="63"/>
    </row>
    <row r="24" spans="1:13" ht="15.75">
      <c r="A24" s="64" t="str">
        <f>'[2]Cuero SM'!$C$5</f>
        <v>CUERO BELLY SAN MATEO</v>
      </c>
      <c r="B24" s="71"/>
      <c r="C24" s="66">
        <f>'[2]Cuero SM'!$G$208</f>
        <v>0</v>
      </c>
      <c r="D24" s="67">
        <f>'[2]Cuero SM'!$H$208</f>
        <v>0</v>
      </c>
      <c r="E24" s="88"/>
      <c r="F24" s="67"/>
      <c r="G24" s="68">
        <f t="shared" si="1"/>
        <v>0</v>
      </c>
      <c r="H24" s="67">
        <f t="shared" si="1"/>
        <v>0</v>
      </c>
      <c r="I24" s="69">
        <v>9.5</v>
      </c>
      <c r="J24" s="69">
        <f t="shared" si="2"/>
        <v>0</v>
      </c>
      <c r="K24" s="70">
        <f t="shared" si="0"/>
        <v>10</v>
      </c>
      <c r="L24" s="70"/>
      <c r="M24" s="63"/>
    </row>
    <row r="25" spans="1:13" ht="15.75">
      <c r="A25" s="64" t="str">
        <f>'[2]CUERO PAPEL BELLY'!$C$5</f>
        <v>CUERO PAPEL BELLY FARMLAND</v>
      </c>
      <c r="B25" s="71"/>
      <c r="C25" s="66">
        <f>'[2]CUERO PAPEL BELLY'!$G$213</f>
        <v>33181.180000000015</v>
      </c>
      <c r="D25" s="67">
        <f>'[2]CUERO PAPEL BELLY'!$H$213</f>
        <v>1219</v>
      </c>
      <c r="E25" s="88">
        <v>33181.18</v>
      </c>
      <c r="F25" s="67">
        <v>1219</v>
      </c>
      <c r="G25" s="68">
        <f t="shared" si="1"/>
        <v>0</v>
      </c>
      <c r="H25" s="67">
        <f t="shared" si="1"/>
        <v>0</v>
      </c>
      <c r="I25" s="69">
        <v>13.5</v>
      </c>
      <c r="J25" s="69">
        <f t="shared" si="2"/>
        <v>447945.93</v>
      </c>
      <c r="K25" s="70">
        <f t="shared" si="0"/>
        <v>14</v>
      </c>
      <c r="L25" s="70"/>
      <c r="M25" s="63"/>
    </row>
    <row r="26" spans="1:13" ht="15.75">
      <c r="A26" s="64" t="str">
        <f>'[2]Espaldilla de Carnero'!C5</f>
        <v>ESPALDILLA DE CARNERO</v>
      </c>
      <c r="B26" s="71"/>
      <c r="C26" s="66">
        <f>'[2]Espaldilla de Carnero'!G207</f>
        <v>-0.36000000000001364</v>
      </c>
      <c r="D26" s="73">
        <f>'[2]Espaldilla de Carnero'!H207</f>
        <v>0</v>
      </c>
      <c r="E26" s="88"/>
      <c r="F26" s="73"/>
      <c r="G26" s="68">
        <f t="shared" si="1"/>
        <v>0.36000000000001364</v>
      </c>
      <c r="H26" s="67">
        <f t="shared" si="1"/>
        <v>0</v>
      </c>
      <c r="I26" s="69">
        <v>32</v>
      </c>
      <c r="J26" s="69">
        <f t="shared" si="2"/>
        <v>0</v>
      </c>
      <c r="K26" s="70">
        <f t="shared" si="0"/>
        <v>32.5</v>
      </c>
      <c r="L26" s="70"/>
      <c r="M26" s="63"/>
    </row>
    <row r="27" spans="1:13" ht="15.75">
      <c r="A27" s="64" t="str">
        <f>'[2]Filete de pescado'!C5</f>
        <v>FILETE DE PESCADO POLLOCK</v>
      </c>
      <c r="B27" s="71"/>
      <c r="C27" s="66">
        <f>'[2]Filete de pescado'!G207</f>
        <v>3193.5299999999997</v>
      </c>
      <c r="D27" s="73">
        <f>'[2]Filete de pescado'!H207</f>
        <v>176</v>
      </c>
      <c r="E27" s="88">
        <v>3193.34</v>
      </c>
      <c r="F27" s="73">
        <v>176</v>
      </c>
      <c r="G27" s="68">
        <f t="shared" si="1"/>
        <v>-0.18999999999959982</v>
      </c>
      <c r="H27" s="67">
        <f t="shared" si="1"/>
        <v>0</v>
      </c>
      <c r="I27" s="69">
        <v>23</v>
      </c>
      <c r="J27" s="69">
        <f t="shared" si="2"/>
        <v>73446.820000000007</v>
      </c>
      <c r="K27" s="70">
        <f t="shared" si="0"/>
        <v>23.5</v>
      </c>
      <c r="L27" s="70"/>
      <c r="M27" s="63"/>
    </row>
    <row r="28" spans="1:13" ht="15.75">
      <c r="A28" s="64" t="str">
        <f>'[2]ESPALDILLA DE CORDERO '!$C$5</f>
        <v>ESPALDILLA DE CORDERO ALLIANZ</v>
      </c>
      <c r="B28" s="71"/>
      <c r="C28" s="66">
        <f>'[2]ESPALDILLA DE CORDERO '!$G$207</f>
        <v>0</v>
      </c>
      <c r="D28" s="67">
        <f>'[2]ESPALDILLA DE CORDERO '!$H$207</f>
        <v>0</v>
      </c>
      <c r="E28" s="88"/>
      <c r="F28" s="67"/>
      <c r="G28" s="68">
        <f t="shared" si="1"/>
        <v>0</v>
      </c>
      <c r="H28" s="67">
        <f t="shared" si="1"/>
        <v>0</v>
      </c>
      <c r="I28" s="69">
        <v>38</v>
      </c>
      <c r="J28" s="69">
        <f t="shared" si="2"/>
        <v>0</v>
      </c>
      <c r="K28" s="70">
        <f t="shared" si="0"/>
        <v>38.5</v>
      </c>
      <c r="L28" s="70"/>
      <c r="M28" s="63"/>
    </row>
    <row r="29" spans="1:13" ht="15.75">
      <c r="A29" s="64" t="str">
        <f>'[2]Labio Farmland'!$C$5</f>
        <v>LABIO FARMLAND</v>
      </c>
      <c r="B29" s="71"/>
      <c r="C29" s="66">
        <f>'[2]Labio Farmland'!$G$208</f>
        <v>2422.58</v>
      </c>
      <c r="D29" s="67">
        <f>'[2]Labio Farmland'!$H$208</f>
        <v>89</v>
      </c>
      <c r="E29" s="88">
        <v>2422.58</v>
      </c>
      <c r="F29" s="67">
        <v>89</v>
      </c>
      <c r="G29" s="68">
        <f t="shared" si="1"/>
        <v>0</v>
      </c>
      <c r="H29" s="67">
        <f t="shared" si="1"/>
        <v>0</v>
      </c>
      <c r="I29" s="69">
        <v>13.32</v>
      </c>
      <c r="J29" s="69">
        <f t="shared" si="2"/>
        <v>32268.765599999999</v>
      </c>
      <c r="K29" s="70">
        <f t="shared" si="0"/>
        <v>13.82</v>
      </c>
      <c r="L29" s="70"/>
      <c r="M29" s="63"/>
    </row>
    <row r="30" spans="1:13" ht="15.75">
      <c r="A30" s="64" t="str">
        <f>'[2]GRASA DE PUERCO'!$C$5</f>
        <v>GRASA DE PUERCO</v>
      </c>
      <c r="B30" s="71"/>
      <c r="C30" s="66">
        <f>'[2]GRASA DE PUERCO'!G207</f>
        <v>0</v>
      </c>
      <c r="D30" s="68">
        <f>'[2]GRASA DE PUERCO'!H207</f>
        <v>0</v>
      </c>
      <c r="E30" s="88"/>
      <c r="F30" s="68"/>
      <c r="G30" s="68">
        <f t="shared" si="1"/>
        <v>0</v>
      </c>
      <c r="H30" s="67">
        <f t="shared" si="1"/>
        <v>0</v>
      </c>
      <c r="I30" s="69">
        <v>9.5</v>
      </c>
      <c r="J30" s="69">
        <f t="shared" si="2"/>
        <v>0</v>
      </c>
      <c r="K30" s="70">
        <f t="shared" si="0"/>
        <v>10</v>
      </c>
      <c r="L30" s="70"/>
      <c r="M30" s="63"/>
    </row>
    <row r="31" spans="1:13" ht="15.75">
      <c r="A31" s="64" t="str">
        <f>'[2]Grasa en Combo'!$C$5</f>
        <v>GRASA EN COMBO</v>
      </c>
      <c r="B31" s="71"/>
      <c r="C31" s="66">
        <f>'[2]Grasa en Combo'!$G$207</f>
        <v>0</v>
      </c>
      <c r="D31" s="67">
        <f>'[2]Grasa en Combo'!$H$207</f>
        <v>0</v>
      </c>
      <c r="E31" s="88"/>
      <c r="F31" s="67"/>
      <c r="G31" s="68">
        <f t="shared" si="1"/>
        <v>0</v>
      </c>
      <c r="H31" s="67">
        <f t="shared" si="1"/>
        <v>0</v>
      </c>
      <c r="I31" s="69">
        <v>7.6</v>
      </c>
      <c r="J31" s="69">
        <f t="shared" si="2"/>
        <v>0</v>
      </c>
      <c r="K31" s="70">
        <f t="shared" si="0"/>
        <v>8.1</v>
      </c>
      <c r="L31" s="70"/>
      <c r="M31" s="63"/>
    </row>
    <row r="32" spans="1:13" ht="15.75">
      <c r="A32" s="64" t="str">
        <f>'[2]LENGUA DE CERDO '!$C$5</f>
        <v xml:space="preserve">LENGUA DE CERDO </v>
      </c>
      <c r="B32" s="71"/>
      <c r="C32" s="66">
        <f>'[2]LENGUA DE CERDO '!$G$214</f>
        <v>1755.69</v>
      </c>
      <c r="D32" s="67">
        <f>'[2]LENGUA DE CERDO '!$H$214</f>
        <v>129</v>
      </c>
      <c r="E32" s="88">
        <v>1755.69</v>
      </c>
      <c r="F32" s="67">
        <v>129</v>
      </c>
      <c r="G32" s="68">
        <f t="shared" si="1"/>
        <v>0</v>
      </c>
      <c r="H32" s="67">
        <f t="shared" si="1"/>
        <v>0</v>
      </c>
      <c r="I32" s="69">
        <v>38</v>
      </c>
      <c r="J32" s="69">
        <f t="shared" si="2"/>
        <v>66716.22</v>
      </c>
      <c r="K32" s="70">
        <f t="shared" si="0"/>
        <v>38.5</v>
      </c>
      <c r="L32" s="70"/>
      <c r="M32" s="63"/>
    </row>
    <row r="33" spans="1:13" ht="15.75">
      <c r="A33" s="64" t="str">
        <f>'[2]Lengua de Res'!$C$5</f>
        <v xml:space="preserve">LENGUA DE RES </v>
      </c>
      <c r="B33" s="71"/>
      <c r="C33" s="66">
        <f>'[2]Lengua de Res'!$G$211</f>
        <v>217.33000000000004</v>
      </c>
      <c r="D33" s="67">
        <f>'[2]Lengua de Res'!$H$211</f>
        <v>19</v>
      </c>
      <c r="E33" s="88">
        <v>217.33</v>
      </c>
      <c r="F33" s="67">
        <v>19</v>
      </c>
      <c r="G33" s="68">
        <f t="shared" si="1"/>
        <v>0</v>
      </c>
      <c r="H33" s="67">
        <f t="shared" si="1"/>
        <v>0</v>
      </c>
      <c r="I33" s="69">
        <v>47</v>
      </c>
      <c r="J33" s="69">
        <f t="shared" si="2"/>
        <v>10214.51</v>
      </c>
      <c r="K33" s="70">
        <f t="shared" si="0"/>
        <v>47.5</v>
      </c>
      <c r="L33" s="70"/>
      <c r="M33" s="63"/>
    </row>
    <row r="34" spans="1:13" ht="15.75">
      <c r="A34" s="64" t="str">
        <f>'[2]Marrana en Combo'!$C$5</f>
        <v>MARRANA EN COMBO</v>
      </c>
      <c r="B34" s="71"/>
      <c r="C34" s="66">
        <f>'[2]Marrana en Combo'!$G$207</f>
        <v>5204.97</v>
      </c>
      <c r="D34" s="67">
        <f>'[2]Marrana en Combo'!$H$207</f>
        <v>6</v>
      </c>
      <c r="E34" s="88">
        <v>5204.97</v>
      </c>
      <c r="F34" s="67">
        <v>6</v>
      </c>
      <c r="G34" s="68">
        <f t="shared" si="1"/>
        <v>0</v>
      </c>
      <c r="H34" s="67">
        <f t="shared" si="1"/>
        <v>0</v>
      </c>
      <c r="I34" s="69">
        <v>19.2</v>
      </c>
      <c r="J34" s="69">
        <f t="shared" si="2"/>
        <v>99935.423999999999</v>
      </c>
      <c r="K34" s="70">
        <f t="shared" si="0"/>
        <v>19.7</v>
      </c>
      <c r="L34" s="70"/>
      <c r="M34" s="63"/>
    </row>
    <row r="35" spans="1:13" ht="15.75">
      <c r="A35" s="64" t="str">
        <f>'[2]MENUDO EXCEL 86M'!$C$5</f>
        <v>MENUDO EXCEL</v>
      </c>
      <c r="B35" s="71"/>
      <c r="C35" s="66">
        <f>'[2]MENUDO EXCEL 86M'!$G$210</f>
        <v>35168.239999999998</v>
      </c>
      <c r="D35" s="67">
        <f>'[2]MENUDO EXCEL 86M'!$H$210</f>
        <v>1292</v>
      </c>
      <c r="E35" s="88">
        <v>35168.239999999998</v>
      </c>
      <c r="F35" s="67">
        <v>1292</v>
      </c>
      <c r="G35" s="68">
        <f t="shared" si="1"/>
        <v>0</v>
      </c>
      <c r="H35" s="67">
        <f t="shared" si="1"/>
        <v>0</v>
      </c>
      <c r="I35" s="69">
        <v>23</v>
      </c>
      <c r="J35" s="69">
        <f t="shared" si="2"/>
        <v>808869.5199999999</v>
      </c>
      <c r="K35" s="70">
        <f t="shared" si="0"/>
        <v>23.5</v>
      </c>
      <c r="L35" s="70"/>
      <c r="M35" s="63"/>
    </row>
    <row r="36" spans="1:13" ht="15.75">
      <c r="A36" s="64" t="str">
        <f>'[2]Menudo IBP'!$C$5</f>
        <v>MENUDO IBP</v>
      </c>
      <c r="B36" s="71"/>
      <c r="C36" s="66">
        <f>'[2]Menudo IBP'!$G$207</f>
        <v>52073.280000000028</v>
      </c>
      <c r="D36" s="67">
        <f>'[2]Menudo IBP'!$H$207</f>
        <v>2296</v>
      </c>
      <c r="E36" s="88">
        <v>52073.279999999999</v>
      </c>
      <c r="F36" s="67">
        <v>2296</v>
      </c>
      <c r="G36" s="68">
        <f t="shared" si="1"/>
        <v>0</v>
      </c>
      <c r="H36" s="67">
        <f t="shared" si="1"/>
        <v>0</v>
      </c>
      <c r="I36" s="69">
        <v>18.8</v>
      </c>
      <c r="J36" s="69">
        <f t="shared" si="2"/>
        <v>978977.66399999999</v>
      </c>
      <c r="K36" s="70">
        <f t="shared" si="0"/>
        <v>19.3</v>
      </c>
      <c r="L36" s="70"/>
      <c r="M36" s="63"/>
    </row>
    <row r="37" spans="1:13" ht="15.75">
      <c r="A37" s="64" t="str">
        <f>'[2]Menudo Smithfield'!$C$5</f>
        <v>MENUDO SMITHFIELD</v>
      </c>
      <c r="B37" s="71"/>
      <c r="C37" s="66">
        <f>'[2]Menudo Smithfield'!$G$207</f>
        <v>-2.2737367544323206E-13</v>
      </c>
      <c r="D37" s="67">
        <f>'[2]Menudo Smithfield'!$H$207</f>
        <v>0</v>
      </c>
      <c r="E37" s="88"/>
      <c r="F37" s="67"/>
      <c r="G37" s="68">
        <f t="shared" si="1"/>
        <v>2.2737367544323206E-13</v>
      </c>
      <c r="H37" s="67">
        <f t="shared" si="1"/>
        <v>0</v>
      </c>
      <c r="I37" s="69">
        <v>16.5</v>
      </c>
      <c r="J37" s="69">
        <f t="shared" si="2"/>
        <v>0</v>
      </c>
      <c r="K37" s="70">
        <f t="shared" si="0"/>
        <v>17</v>
      </c>
      <c r="L37" s="70"/>
      <c r="M37" s="63"/>
    </row>
    <row r="38" spans="1:13" ht="15.75">
      <c r="A38" s="64" t="str">
        <f>'[2]NANA '!$C$5</f>
        <v xml:space="preserve">NANA </v>
      </c>
      <c r="B38" s="71"/>
      <c r="C38" s="66">
        <f>'[2]NANA '!$G$208</f>
        <v>4273.5399999999991</v>
      </c>
      <c r="D38" s="67">
        <f>'[2]NANA '!$H$208</f>
        <v>314</v>
      </c>
      <c r="E38" s="88">
        <f>1551.54+2722</f>
        <v>4273.54</v>
      </c>
      <c r="F38" s="67">
        <f>114+200</f>
        <v>314</v>
      </c>
      <c r="G38" s="68">
        <f t="shared" si="1"/>
        <v>0</v>
      </c>
      <c r="H38" s="67">
        <f t="shared" si="1"/>
        <v>0</v>
      </c>
      <c r="I38" s="69">
        <v>35</v>
      </c>
      <c r="J38" s="69">
        <f t="shared" si="2"/>
        <v>149573.9</v>
      </c>
      <c r="K38" s="70">
        <f t="shared" si="0"/>
        <v>35.5</v>
      </c>
      <c r="L38" s="70" t="s">
        <v>60</v>
      </c>
      <c r="M38" s="63"/>
    </row>
    <row r="39" spans="1:13" ht="15.75">
      <c r="A39" s="64" t="str">
        <f>[2]PATITAS!$C$5</f>
        <v xml:space="preserve">PATITAS DE CERDO </v>
      </c>
      <c r="B39" s="71"/>
      <c r="C39" s="74">
        <f>[2]PATITAS!$G$208</f>
        <v>1319.88</v>
      </c>
      <c r="D39" s="75">
        <f>[2]PATITAS!$H$208</f>
        <v>88</v>
      </c>
      <c r="E39" s="89">
        <v>1320</v>
      </c>
      <c r="F39" s="75">
        <v>88</v>
      </c>
      <c r="G39" s="68">
        <f t="shared" si="1"/>
        <v>0.11999999999989086</v>
      </c>
      <c r="H39" s="67">
        <f t="shared" si="1"/>
        <v>0</v>
      </c>
      <c r="I39" s="69">
        <v>14.29</v>
      </c>
      <c r="J39" s="69">
        <f t="shared" si="2"/>
        <v>18862.8</v>
      </c>
      <c r="K39" s="70">
        <f t="shared" si="0"/>
        <v>14.79</v>
      </c>
      <c r="L39" s="70"/>
      <c r="M39" s="63"/>
    </row>
    <row r="40" spans="1:13" ht="15.75">
      <c r="A40" s="64" t="str">
        <f>'[2]Pavo Crudo'!C5</f>
        <v>PAVO CRUDO</v>
      </c>
      <c r="B40" s="71"/>
      <c r="C40" s="74">
        <f>'[2]Pavo Crudo'!G207</f>
        <v>13319.43</v>
      </c>
      <c r="D40" s="76">
        <f>'[2]Pavo Crudo'!H207</f>
        <v>677</v>
      </c>
      <c r="E40" s="90">
        <v>13319.43</v>
      </c>
      <c r="F40" s="77">
        <v>677</v>
      </c>
      <c r="G40" s="68">
        <f t="shared" si="1"/>
        <v>0</v>
      </c>
      <c r="H40" s="67">
        <f t="shared" si="1"/>
        <v>0</v>
      </c>
      <c r="I40" s="78">
        <v>25.5</v>
      </c>
      <c r="J40" s="69">
        <f t="shared" si="2"/>
        <v>339645.46500000003</v>
      </c>
      <c r="K40" s="70">
        <f t="shared" si="0"/>
        <v>26</v>
      </c>
      <c r="L40" s="70"/>
      <c r="M40" s="63"/>
    </row>
    <row r="41" spans="1:13" ht="15.75">
      <c r="A41" s="64" t="str">
        <f>'[2]PERNIL CON PIEL'!$C$5</f>
        <v>PERNIL CON PIEL</v>
      </c>
      <c r="B41" s="71"/>
      <c r="C41" s="74">
        <f>'[2]PERNIL CON PIEL'!G1303</f>
        <v>45646.820000000014</v>
      </c>
      <c r="D41" s="79">
        <f>'[2]PERNIL CON PIEL'!H1303</f>
        <v>52</v>
      </c>
      <c r="E41" s="90">
        <f>19777.9+25868.92</f>
        <v>45646.82</v>
      </c>
      <c r="F41" s="80">
        <f>22+30</f>
        <v>52</v>
      </c>
      <c r="G41" s="68">
        <f t="shared" si="1"/>
        <v>0</v>
      </c>
      <c r="H41" s="67">
        <f t="shared" si="1"/>
        <v>0</v>
      </c>
      <c r="I41" s="78">
        <v>20.95</v>
      </c>
      <c r="J41" s="69">
        <f t="shared" si="2"/>
        <v>956300.87899999996</v>
      </c>
      <c r="K41" s="70">
        <f t="shared" si="0"/>
        <v>21.45</v>
      </c>
      <c r="L41" s="70" t="s">
        <v>60</v>
      </c>
      <c r="M41" s="63"/>
    </row>
    <row r="42" spans="1:13" ht="15.75">
      <c r="A42" s="64" t="str">
        <f>'[2]Pulpa Negra'!$C$5</f>
        <v>PULPA NEGRA</v>
      </c>
      <c r="B42" s="71"/>
      <c r="C42" s="74">
        <f>'[2]Pulpa Negra'!$G$207</f>
        <v>0</v>
      </c>
      <c r="D42" s="79">
        <f>'[2]Pulpa Negra'!$H$207</f>
        <v>0</v>
      </c>
      <c r="E42" s="90"/>
      <c r="F42" s="80"/>
      <c r="G42" s="68">
        <f t="shared" si="1"/>
        <v>0</v>
      </c>
      <c r="H42" s="67">
        <f t="shared" si="1"/>
        <v>0</v>
      </c>
      <c r="I42" s="78">
        <v>45.5</v>
      </c>
      <c r="J42" s="69">
        <f t="shared" si="2"/>
        <v>0</v>
      </c>
      <c r="K42" s="70">
        <f t="shared" si="0"/>
        <v>46</v>
      </c>
      <c r="L42" s="70"/>
      <c r="M42" s="63"/>
    </row>
    <row r="43" spans="1:13" ht="15.75">
      <c r="A43" s="64" t="str">
        <f>'[2]Recorte 80-20'!$C$5</f>
        <v>RECORTE 80-20</v>
      </c>
      <c r="B43" s="71"/>
      <c r="C43" s="74">
        <f>'[2]Recorte 80-20'!$G$207</f>
        <v>0</v>
      </c>
      <c r="D43" s="79">
        <f>'[2]Recorte 80-20'!$H$207</f>
        <v>0</v>
      </c>
      <c r="E43" s="90"/>
      <c r="F43" s="80"/>
      <c r="G43" s="68">
        <f t="shared" si="1"/>
        <v>0</v>
      </c>
      <c r="H43" s="67">
        <f t="shared" si="1"/>
        <v>0</v>
      </c>
      <c r="I43" s="78">
        <v>16</v>
      </c>
      <c r="J43" s="69">
        <f t="shared" si="2"/>
        <v>0</v>
      </c>
      <c r="K43" s="70">
        <f t="shared" si="0"/>
        <v>16.5</v>
      </c>
      <c r="L43" s="70"/>
      <c r="M43" s="63"/>
    </row>
    <row r="44" spans="1:13" ht="15.75">
      <c r="A44" s="64" t="str">
        <f>'[2]SESOS EN COPA '!$C$5</f>
        <v>SESOS EN COPA FARMLAND</v>
      </c>
      <c r="B44" s="71"/>
      <c r="C44" s="74">
        <f>'[2]SESOS EN COPA '!$G$212</f>
        <v>9265.7300000000014</v>
      </c>
      <c r="D44" s="79">
        <f>'[2]SESOS EN COPA '!$H$212</f>
        <v>1703</v>
      </c>
      <c r="E44" s="90">
        <v>9269.77</v>
      </c>
      <c r="F44" s="80">
        <v>1703</v>
      </c>
      <c r="G44" s="68">
        <f t="shared" si="1"/>
        <v>4.0399999999990541</v>
      </c>
      <c r="H44" s="67">
        <f t="shared" si="1"/>
        <v>0</v>
      </c>
      <c r="I44" s="78">
        <v>33.700000000000003</v>
      </c>
      <c r="J44" s="69">
        <f t="shared" si="2"/>
        <v>312391.24900000007</v>
      </c>
      <c r="K44" s="70">
        <f t="shared" si="0"/>
        <v>34.200000000000003</v>
      </c>
      <c r="L44" s="70"/>
      <c r="M44" s="63"/>
    </row>
    <row r="45" spans="1:13" ht="15.75">
      <c r="A45" s="64" t="str">
        <f>'[2]Sesos marqueta'!$C$5</f>
        <v>SESOS MARQUETA</v>
      </c>
      <c r="B45" s="71"/>
      <c r="C45" s="74">
        <f>'[2]Sesos marqueta'!$G$207</f>
        <v>6505.579999999999</v>
      </c>
      <c r="D45" s="79">
        <f>'[2]Sesos marqueta'!$H$207</f>
        <v>478</v>
      </c>
      <c r="E45" s="90">
        <v>6505.58</v>
      </c>
      <c r="F45" s="80">
        <v>478</v>
      </c>
      <c r="G45" s="68">
        <f t="shared" si="1"/>
        <v>0</v>
      </c>
      <c r="H45" s="67">
        <f t="shared" si="1"/>
        <v>0</v>
      </c>
      <c r="I45" s="78">
        <v>30.76</v>
      </c>
      <c r="J45" s="69">
        <f t="shared" si="2"/>
        <v>200111.64079999999</v>
      </c>
      <c r="K45" s="70">
        <f t="shared" si="0"/>
        <v>31.26</v>
      </c>
      <c r="L45" s="70"/>
      <c r="M45" s="63"/>
    </row>
    <row r="46" spans="1:13" ht="15.75">
      <c r="A46" s="64" t="str">
        <f>'[2]Tocino IBP'!C5</f>
        <v>TOCINO IBP</v>
      </c>
      <c r="B46" s="71"/>
      <c r="C46" s="74">
        <f>'[2]Tocino IBP'!G207</f>
        <v>3333.84</v>
      </c>
      <c r="D46" s="76">
        <f>'[2]Tocino IBP'!H207</f>
        <v>120</v>
      </c>
      <c r="E46" s="90">
        <v>3333.84</v>
      </c>
      <c r="F46" s="77">
        <v>120</v>
      </c>
      <c r="G46" s="68">
        <f t="shared" si="1"/>
        <v>0</v>
      </c>
      <c r="H46" s="67">
        <f t="shared" si="1"/>
        <v>0</v>
      </c>
      <c r="I46" s="78">
        <v>22.5</v>
      </c>
      <c r="J46" s="69">
        <f t="shared" si="2"/>
        <v>75011.400000000009</v>
      </c>
      <c r="K46" s="70">
        <f t="shared" si="0"/>
        <v>23</v>
      </c>
      <c r="L46" s="70"/>
      <c r="M46" s="63"/>
    </row>
    <row r="47" spans="1:13" ht="15.75">
      <c r="A47" s="64" t="str">
        <f>'[2]Trompa Farmland'!$C$5</f>
        <v>TROMPA FARMLAND</v>
      </c>
      <c r="B47" s="71"/>
      <c r="C47" s="74">
        <f>'[2]Trompa Farmland'!G207</f>
        <v>1401.8300000000004</v>
      </c>
      <c r="D47" s="76">
        <f>'[2]Trompa Farmland'!H207</f>
        <v>103</v>
      </c>
      <c r="E47" s="90">
        <v>1401.83</v>
      </c>
      <c r="F47" s="77">
        <v>103</v>
      </c>
      <c r="G47" s="68">
        <f t="shared" si="1"/>
        <v>0</v>
      </c>
      <c r="H47" s="67">
        <f t="shared" si="1"/>
        <v>0</v>
      </c>
      <c r="I47" s="78">
        <v>18.489999999999998</v>
      </c>
      <c r="J47" s="69">
        <f t="shared" si="2"/>
        <v>25919.836699999996</v>
      </c>
      <c r="K47" s="70">
        <f t="shared" si="0"/>
        <v>18.989999999999998</v>
      </c>
      <c r="L47" s="70"/>
      <c r="M47" s="63"/>
    </row>
    <row r="48" spans="1:13" ht="15.75">
      <c r="A48" s="64" t="str">
        <f>'[2]Trompa Excel'!$C$5</f>
        <v>TROMPA EXCEL</v>
      </c>
      <c r="B48" s="71"/>
      <c r="C48" s="74">
        <f>'[2]Trompa Excel'!$G$208</f>
        <v>2994.2</v>
      </c>
      <c r="D48" s="79">
        <f>'[2]Trompa Excel'!$H$208</f>
        <v>110</v>
      </c>
      <c r="E48" s="90">
        <v>2994.2</v>
      </c>
      <c r="F48" s="80">
        <v>110</v>
      </c>
      <c r="G48" s="68">
        <f t="shared" si="1"/>
        <v>0</v>
      </c>
      <c r="H48" s="67">
        <f t="shared" si="1"/>
        <v>0</v>
      </c>
      <c r="I48" s="78">
        <v>21.4</v>
      </c>
      <c r="J48" s="69">
        <f t="shared" si="2"/>
        <v>64075.87999999999</v>
      </c>
      <c r="K48" s="70">
        <f t="shared" si="0"/>
        <v>21.9</v>
      </c>
      <c r="L48" s="70"/>
      <c r="M48" s="63"/>
    </row>
    <row r="49" spans="1:13" ht="15.75">
      <c r="A49" s="64" t="str">
        <f>'[2]Trompa John Morrell'!C5</f>
        <v>TROMPA JOHN MORRELL</v>
      </c>
      <c r="B49" s="71"/>
      <c r="C49" s="74">
        <f>'[2]Trompa John Morrell'!G207</f>
        <v>0</v>
      </c>
      <c r="D49" s="81">
        <f>'[2]Trompa John Morrell'!H207</f>
        <v>0</v>
      </c>
      <c r="E49" s="82"/>
      <c r="F49" s="82"/>
      <c r="G49" s="82"/>
      <c r="H49" s="82"/>
      <c r="I49" s="78">
        <v>17.5</v>
      </c>
      <c r="J49" s="69">
        <f>I49*C49</f>
        <v>0</v>
      </c>
      <c r="K49" s="70">
        <f t="shared" si="0"/>
        <v>18</v>
      </c>
      <c r="L49" s="70"/>
      <c r="M49" s="63"/>
    </row>
    <row r="50" spans="1:13" ht="15.75">
      <c r="A50" s="83" t="str">
        <f>'[2]Trompa Seaboard'!$C$5</f>
        <v>TROMPA SEABOARD</v>
      </c>
      <c r="B50" s="71"/>
      <c r="C50" s="74">
        <f>'[2]Trompa Seaboard'!$G$208</f>
        <v>0</v>
      </c>
      <c r="D50" s="79">
        <f>'[2]Trompa Seaboard'!$H$208</f>
        <v>0</v>
      </c>
      <c r="E50" s="80"/>
      <c r="F50" s="80"/>
      <c r="G50" s="80"/>
      <c r="H50" s="80"/>
      <c r="I50" s="78">
        <v>15</v>
      </c>
      <c r="J50" s="69">
        <f>I50*C50</f>
        <v>0</v>
      </c>
      <c r="K50" s="70">
        <f t="shared" si="0"/>
        <v>15.5</v>
      </c>
      <c r="L50" s="70"/>
      <c r="M50" s="63"/>
    </row>
    <row r="51" spans="1:13" ht="15.75">
      <c r="K51" s="70"/>
      <c r="L51" s="70"/>
      <c r="M51" s="63"/>
    </row>
    <row r="52" spans="1:13" ht="15.75">
      <c r="B52" s="84" t="s">
        <v>10</v>
      </c>
      <c r="C52" s="85">
        <f>SUM(C10:C50)</f>
        <v>308106.28000000009</v>
      </c>
      <c r="D52" s="85">
        <f>SUM(D10:D50)</f>
        <v>14580</v>
      </c>
      <c r="E52" s="91"/>
      <c r="F52" s="91"/>
      <c r="G52" s="91"/>
      <c r="H52" s="91"/>
      <c r="I52" s="92"/>
      <c r="J52" s="86">
        <f>SUM(J10:J50)</f>
        <v>7324385.0654999996</v>
      </c>
      <c r="K52" s="87"/>
      <c r="L52" s="87"/>
      <c r="M52" s="63"/>
    </row>
    <row r="53" spans="1:13">
      <c r="A53" s="50"/>
      <c r="B53" s="50"/>
      <c r="I53" s="54"/>
      <c r="J53" s="54"/>
      <c r="K53" s="50"/>
      <c r="L53" s="50"/>
    </row>
    <row r="54" spans="1:13">
      <c r="A54" s="50"/>
      <c r="B54" s="50"/>
      <c r="I54" s="54"/>
      <c r="J54" s="54"/>
      <c r="K54" s="50"/>
      <c r="L54" s="50"/>
    </row>
    <row r="55" spans="1:13">
      <c r="A55" s="50"/>
      <c r="B55" s="50"/>
      <c r="I55" s="54"/>
      <c r="J55" s="54"/>
      <c r="K55" s="50"/>
      <c r="L55" s="50"/>
    </row>
    <row r="56" spans="1:13">
      <c r="I56" s="54"/>
      <c r="J56" s="54"/>
      <c r="K56" s="50"/>
      <c r="L56" s="50"/>
    </row>
    <row r="57" spans="1:13">
      <c r="I57" s="54"/>
      <c r="J57" s="54"/>
      <c r="K57" s="50"/>
      <c r="L57" s="50"/>
    </row>
    <row r="58" spans="1:13">
      <c r="I58" s="54"/>
      <c r="J58" s="54"/>
      <c r="K58" s="50"/>
      <c r="L58" s="5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I41"/>
  <sheetViews>
    <sheetView tabSelected="1" topLeftCell="A4" workbookViewId="0">
      <selection activeCell="G6" sqref="G6"/>
    </sheetView>
  </sheetViews>
  <sheetFormatPr baseColWidth="10" defaultRowHeight="15"/>
  <cols>
    <col min="2" max="2" width="27" customWidth="1"/>
    <col min="6" max="6" width="13.85546875" bestFit="1" customWidth="1"/>
  </cols>
  <sheetData>
    <row r="2" spans="1:9">
      <c r="B2" s="95" t="s">
        <v>0</v>
      </c>
      <c r="C2" s="96"/>
      <c r="D2" s="95"/>
    </row>
    <row r="3" spans="1:9">
      <c r="B3" s="95"/>
      <c r="C3" s="96"/>
      <c r="D3" s="95"/>
    </row>
    <row r="4" spans="1:9">
      <c r="B4" s="95"/>
      <c r="C4" s="96"/>
      <c r="D4" s="95"/>
    </row>
    <row r="5" spans="1:9">
      <c r="B5" s="95" t="s">
        <v>1</v>
      </c>
      <c r="C5" s="96"/>
      <c r="D5" s="95"/>
    </row>
    <row r="6" spans="1:9">
      <c r="B6" s="95"/>
      <c r="C6" s="96"/>
      <c r="D6" s="95"/>
    </row>
    <row r="7" spans="1:9">
      <c r="B7" s="97"/>
      <c r="C7" s="96" t="s">
        <v>2</v>
      </c>
      <c r="D7" s="97">
        <v>39752</v>
      </c>
    </row>
    <row r="9" spans="1:9">
      <c r="A9" s="98" t="s">
        <v>6</v>
      </c>
      <c r="B9" s="99"/>
      <c r="C9" s="100" t="s">
        <v>7</v>
      </c>
      <c r="D9" s="101" t="s">
        <v>8</v>
      </c>
      <c r="E9" s="101" t="s">
        <v>9</v>
      </c>
      <c r="F9" s="101" t="s">
        <v>10</v>
      </c>
      <c r="G9" s="115" t="s">
        <v>61</v>
      </c>
      <c r="H9" s="116"/>
      <c r="I9" s="102" t="s">
        <v>62</v>
      </c>
    </row>
    <row r="10" spans="1:9">
      <c r="A10" s="98"/>
      <c r="B10" s="99"/>
      <c r="C10" s="100"/>
      <c r="D10" s="101"/>
      <c r="E10" s="101"/>
      <c r="F10" s="101"/>
      <c r="G10" s="103" t="s">
        <v>63</v>
      </c>
      <c r="H10" s="104">
        <v>3</v>
      </c>
      <c r="I10" s="95" t="s">
        <v>64</v>
      </c>
    </row>
    <row r="11" spans="1:9">
      <c r="A11" s="98" t="s">
        <v>65</v>
      </c>
      <c r="B11" s="99"/>
      <c r="C11" s="117">
        <f>13.61*D11</f>
        <v>2585.9</v>
      </c>
      <c r="D11" s="105">
        <f>72+72+46</f>
        <v>190</v>
      </c>
      <c r="E11" s="106">
        <v>28.5</v>
      </c>
      <c r="F11" s="107">
        <f t="shared" ref="F11:F38" si="0">E11*C11</f>
        <v>73698.150000000009</v>
      </c>
      <c r="G11" s="108" t="s">
        <v>66</v>
      </c>
      <c r="H11" s="108"/>
      <c r="I11" s="109">
        <f>E11+0.5</f>
        <v>29</v>
      </c>
    </row>
    <row r="12" spans="1:9">
      <c r="A12" s="98" t="s">
        <v>17</v>
      </c>
      <c r="B12" s="99"/>
      <c r="C12" s="118">
        <f>17.4+859.9+758.8+20.6+19.4+16.6+20.5+845.5+757.3+803</f>
        <v>4119</v>
      </c>
      <c r="D12" s="103">
        <f>1+40+43+4+40+40+40</f>
        <v>208</v>
      </c>
      <c r="E12" s="106">
        <v>19.399999999999999</v>
      </c>
      <c r="F12" s="107">
        <f t="shared" si="0"/>
        <v>79908.599999999991</v>
      </c>
      <c r="G12" s="111" t="s">
        <v>66</v>
      </c>
      <c r="H12" s="104"/>
      <c r="I12" s="109">
        <f t="shared" ref="I12:I38" si="1">E12+0.5</f>
        <v>19.899999999999999</v>
      </c>
    </row>
    <row r="13" spans="1:9">
      <c r="A13" s="98" t="s">
        <v>67</v>
      </c>
      <c r="B13" s="99"/>
      <c r="C13" s="118">
        <v>17296.95</v>
      </c>
      <c r="D13" s="103">
        <v>575</v>
      </c>
      <c r="E13" s="106">
        <v>26.5</v>
      </c>
      <c r="F13" s="107">
        <f t="shared" si="0"/>
        <v>458369.17500000005</v>
      </c>
      <c r="G13" s="111" t="s">
        <v>66</v>
      </c>
      <c r="H13" s="104"/>
      <c r="I13" s="109">
        <f t="shared" si="1"/>
        <v>27</v>
      </c>
    </row>
    <row r="14" spans="1:9">
      <c r="A14" s="98" t="s">
        <v>18</v>
      </c>
      <c r="B14" s="99"/>
      <c r="C14" s="118">
        <v>1577</v>
      </c>
      <c r="D14" s="103">
        <v>81</v>
      </c>
      <c r="E14" s="106">
        <v>32.5</v>
      </c>
      <c r="F14" s="107">
        <f t="shared" si="0"/>
        <v>51252.5</v>
      </c>
      <c r="G14" s="111" t="s">
        <v>66</v>
      </c>
      <c r="H14" s="104"/>
      <c r="I14" s="109">
        <f t="shared" si="1"/>
        <v>33</v>
      </c>
    </row>
    <row r="15" spans="1:9">
      <c r="A15" s="98" t="s">
        <v>68</v>
      </c>
      <c r="B15" s="99"/>
      <c r="C15" s="118">
        <v>10745.84</v>
      </c>
      <c r="D15" s="103">
        <v>250</v>
      </c>
      <c r="E15" s="106">
        <v>50.5</v>
      </c>
      <c r="F15" s="107">
        <f t="shared" si="0"/>
        <v>542664.92000000004</v>
      </c>
      <c r="G15" s="111" t="s">
        <v>66</v>
      </c>
      <c r="H15" s="104"/>
      <c r="I15" s="109">
        <f t="shared" si="1"/>
        <v>51</v>
      </c>
    </row>
    <row r="16" spans="1:9">
      <c r="A16" s="98" t="s">
        <v>69</v>
      </c>
      <c r="B16" s="99"/>
      <c r="C16" s="118">
        <f>8346.5+424.7+862.05+555.01</f>
        <v>10188.26</v>
      </c>
      <c r="D16" s="103">
        <f>300+16+30+20</f>
        <v>366</v>
      </c>
      <c r="E16" s="106">
        <v>50.5</v>
      </c>
      <c r="F16" s="107">
        <f t="shared" si="0"/>
        <v>514507.13</v>
      </c>
      <c r="G16" s="111" t="s">
        <v>66</v>
      </c>
      <c r="H16" s="104"/>
      <c r="I16" s="109">
        <f t="shared" si="1"/>
        <v>51</v>
      </c>
    </row>
    <row r="17" spans="1:9">
      <c r="A17" s="98" t="s">
        <v>70</v>
      </c>
      <c r="B17" s="99"/>
      <c r="C17" s="118">
        <f>13.61*D17</f>
        <v>16454.489999999998</v>
      </c>
      <c r="D17" s="103">
        <f>72+56+64+64+64+64+56+2*64+64*2+64+64+64+64+64*2+64*2+1</f>
        <v>1209</v>
      </c>
      <c r="E17" s="106">
        <v>29.36</v>
      </c>
      <c r="F17" s="107">
        <f t="shared" si="0"/>
        <v>483103.8263999999</v>
      </c>
      <c r="G17" s="111" t="s">
        <v>66</v>
      </c>
      <c r="H17" s="104"/>
      <c r="I17" s="109">
        <f t="shared" si="1"/>
        <v>29.86</v>
      </c>
    </row>
    <row r="18" spans="1:9">
      <c r="A18" s="98" t="s">
        <v>71</v>
      </c>
      <c r="B18" s="99"/>
      <c r="C18" s="118">
        <f>738.6+799.8+814.4+806.5+884.4+816.3+813.4+807.9+407.4+723.4+814.2+812.5+728.5+807.2+798.5+879.2+876.8+883.5+726.4+906.1+742.3</f>
        <v>16587.3</v>
      </c>
      <c r="D18" s="103">
        <f>54+60+60+60+66+60+60+60+30+54+60+60+54+60+60+66+66+66+54+66+54</f>
        <v>1230</v>
      </c>
      <c r="E18" s="106">
        <v>23</v>
      </c>
      <c r="F18" s="107">
        <f t="shared" si="0"/>
        <v>381507.89999999997</v>
      </c>
      <c r="G18" s="111" t="s">
        <v>66</v>
      </c>
      <c r="H18" s="104"/>
      <c r="I18" s="109">
        <f t="shared" si="1"/>
        <v>23.5</v>
      </c>
    </row>
    <row r="19" spans="1:9">
      <c r="A19" s="98" t="s">
        <v>25</v>
      </c>
      <c r="B19" s="99"/>
      <c r="C19" s="118">
        <f>4.54*D19</f>
        <v>7264</v>
      </c>
      <c r="D19" s="103">
        <f>160+160+160+97+4*180+2*140+23</f>
        <v>1600</v>
      </c>
      <c r="E19" s="106">
        <v>10.89</v>
      </c>
      <c r="F19" s="107">
        <f t="shared" si="0"/>
        <v>79104.960000000006</v>
      </c>
      <c r="G19" s="104" t="s">
        <v>66</v>
      </c>
      <c r="H19" s="104" t="s">
        <v>66</v>
      </c>
      <c r="I19" s="109">
        <f t="shared" si="1"/>
        <v>11.39</v>
      </c>
    </row>
    <row r="20" spans="1:9">
      <c r="A20" s="98" t="s">
        <v>72</v>
      </c>
      <c r="B20" s="99"/>
      <c r="C20" s="118">
        <f>27.22*D20</f>
        <v>33181.18</v>
      </c>
      <c r="D20" s="103">
        <v>1219</v>
      </c>
      <c r="E20" s="106">
        <v>13.5</v>
      </c>
      <c r="F20" s="107">
        <f t="shared" si="0"/>
        <v>447945.93</v>
      </c>
      <c r="G20" s="104" t="s">
        <v>66</v>
      </c>
      <c r="H20" s="104" t="s">
        <v>66</v>
      </c>
      <c r="I20" s="109">
        <f t="shared" si="1"/>
        <v>14</v>
      </c>
    </row>
    <row r="21" spans="1:9">
      <c r="A21" s="98" t="s">
        <v>30</v>
      </c>
      <c r="B21" s="99"/>
      <c r="C21" s="118">
        <f>D21*18.144</f>
        <v>3193.3439999999996</v>
      </c>
      <c r="D21" s="103">
        <f>45+46+45+14+11+15</f>
        <v>176</v>
      </c>
      <c r="E21" s="106">
        <v>23</v>
      </c>
      <c r="F21" s="107">
        <f t="shared" si="0"/>
        <v>73446.911999999997</v>
      </c>
      <c r="G21" s="104" t="s">
        <v>66</v>
      </c>
      <c r="H21" s="104" t="s">
        <v>66</v>
      </c>
      <c r="I21" s="109">
        <f t="shared" si="1"/>
        <v>23.5</v>
      </c>
    </row>
    <row r="22" spans="1:9">
      <c r="A22" s="98" t="s">
        <v>73</v>
      </c>
      <c r="B22" s="99"/>
      <c r="C22" s="118">
        <f>13.61*D22</f>
        <v>1755.6899999999998</v>
      </c>
      <c r="D22" s="103">
        <f>66+63</f>
        <v>129</v>
      </c>
      <c r="E22" s="106">
        <v>38</v>
      </c>
      <c r="F22" s="107">
        <f t="shared" si="0"/>
        <v>66716.219999999987</v>
      </c>
      <c r="G22" s="104" t="s">
        <v>66</v>
      </c>
      <c r="H22" s="104"/>
      <c r="I22" s="109">
        <f t="shared" si="1"/>
        <v>38.5</v>
      </c>
    </row>
    <row r="23" spans="1:9">
      <c r="A23" s="98" t="s">
        <v>74</v>
      </c>
      <c r="B23" s="99"/>
      <c r="C23" s="118">
        <v>217.33</v>
      </c>
      <c r="D23" s="103">
        <v>19</v>
      </c>
      <c r="E23" s="106">
        <v>47</v>
      </c>
      <c r="F23" s="107">
        <f t="shared" si="0"/>
        <v>10214.51</v>
      </c>
      <c r="G23" s="104" t="s">
        <v>66</v>
      </c>
      <c r="H23" s="104"/>
      <c r="I23" s="109">
        <f t="shared" si="1"/>
        <v>47.5</v>
      </c>
    </row>
    <row r="24" spans="1:9">
      <c r="A24" s="98" t="s">
        <v>75</v>
      </c>
      <c r="B24" s="99"/>
      <c r="C24" s="118">
        <f>27.22*D24</f>
        <v>2422.58</v>
      </c>
      <c r="D24" s="103">
        <f>40+49</f>
        <v>89</v>
      </c>
      <c r="E24" s="106">
        <v>13.32</v>
      </c>
      <c r="F24" s="107">
        <f t="shared" si="0"/>
        <v>32268.765599999999</v>
      </c>
      <c r="G24" s="104" t="s">
        <v>66</v>
      </c>
      <c r="H24" s="104"/>
      <c r="I24" s="109">
        <f t="shared" si="1"/>
        <v>13.82</v>
      </c>
    </row>
    <row r="25" spans="1:9">
      <c r="A25" s="98" t="s">
        <v>76</v>
      </c>
      <c r="B25" s="99" t="s">
        <v>77</v>
      </c>
      <c r="C25" s="118">
        <v>5204.97</v>
      </c>
      <c r="D25" s="103">
        <v>6</v>
      </c>
      <c r="E25" s="106">
        <v>19.2</v>
      </c>
      <c r="F25" s="107">
        <f t="shared" si="0"/>
        <v>99935.423999999999</v>
      </c>
      <c r="G25" s="104" t="s">
        <v>66</v>
      </c>
      <c r="H25" s="104"/>
      <c r="I25" s="109">
        <f t="shared" si="1"/>
        <v>19.7</v>
      </c>
    </row>
    <row r="26" spans="1:9">
      <c r="A26" s="98" t="s">
        <v>78</v>
      </c>
      <c r="B26" s="99"/>
      <c r="C26" s="118">
        <f>D26*27.22</f>
        <v>35168.239999999998</v>
      </c>
      <c r="D26" s="103">
        <f>16*32+37+38+674+31</f>
        <v>1292</v>
      </c>
      <c r="E26" s="106">
        <v>23</v>
      </c>
      <c r="F26" s="107">
        <f t="shared" si="0"/>
        <v>808869.5199999999</v>
      </c>
      <c r="G26" s="104" t="s">
        <v>66</v>
      </c>
      <c r="H26" s="104"/>
      <c r="I26" s="109">
        <f t="shared" si="1"/>
        <v>23.5</v>
      </c>
    </row>
    <row r="27" spans="1:9">
      <c r="A27" s="98" t="s">
        <v>39</v>
      </c>
      <c r="B27" s="99"/>
      <c r="C27" s="118">
        <f>22.68*D27</f>
        <v>52073.279999999999</v>
      </c>
      <c r="D27" s="103">
        <f>6*40+80+44*3+24+44+54+80+40+40+40+37+36+40+40+40+36+40+2*44+2*40+40+40+2*40+2*40+40+39+40+25+38+40+2*40+2*40+44+40+40+40+40+40+40+38+21+40+40+40</f>
        <v>2296</v>
      </c>
      <c r="E27" s="106">
        <v>18.8</v>
      </c>
      <c r="F27" s="107">
        <f t="shared" si="0"/>
        <v>978977.66399999999</v>
      </c>
      <c r="G27" s="104" t="s">
        <v>66</v>
      </c>
      <c r="H27" s="104" t="s">
        <v>66</v>
      </c>
      <c r="I27" s="109">
        <f t="shared" si="1"/>
        <v>19.3</v>
      </c>
    </row>
    <row r="28" spans="1:9">
      <c r="A28" s="98" t="s">
        <v>79</v>
      </c>
      <c r="B28" s="99"/>
      <c r="C28" s="118">
        <f>13.61*D28</f>
        <v>1551.54</v>
      </c>
      <c r="D28" s="103">
        <f>54+60</f>
        <v>114</v>
      </c>
      <c r="E28" s="106">
        <v>28.9</v>
      </c>
      <c r="F28" s="107">
        <f t="shared" si="0"/>
        <v>44839.505999999994</v>
      </c>
      <c r="G28" s="104" t="s">
        <v>66</v>
      </c>
      <c r="H28" s="104"/>
      <c r="I28" s="109">
        <f t="shared" si="1"/>
        <v>29.4</v>
      </c>
    </row>
    <row r="29" spans="1:9">
      <c r="A29" s="98" t="s">
        <v>80</v>
      </c>
      <c r="B29" s="99"/>
      <c r="C29" s="118">
        <f>13.61*D29</f>
        <v>2722</v>
      </c>
      <c r="D29" s="103">
        <v>200</v>
      </c>
      <c r="E29" s="106">
        <v>38.5</v>
      </c>
      <c r="F29" s="107">
        <f t="shared" si="0"/>
        <v>104797</v>
      </c>
      <c r="G29" s="104" t="s">
        <v>66</v>
      </c>
      <c r="H29" s="104"/>
      <c r="I29" s="109">
        <f t="shared" si="1"/>
        <v>39</v>
      </c>
    </row>
    <row r="30" spans="1:9">
      <c r="A30" s="98" t="s">
        <v>43</v>
      </c>
      <c r="B30" s="99"/>
      <c r="C30" s="118">
        <v>13319.43</v>
      </c>
      <c r="D30" s="103">
        <v>677</v>
      </c>
      <c r="E30" s="106">
        <v>25.5</v>
      </c>
      <c r="F30" s="107">
        <f t="shared" si="0"/>
        <v>339645.46500000003</v>
      </c>
      <c r="G30" s="104" t="s">
        <v>66</v>
      </c>
      <c r="H30" s="104"/>
      <c r="I30" s="109">
        <f t="shared" si="1"/>
        <v>26</v>
      </c>
    </row>
    <row r="31" spans="1:9">
      <c r="A31" s="98" t="s">
        <v>81</v>
      </c>
      <c r="B31" s="99"/>
      <c r="C31" s="118">
        <f>15*D31</f>
        <v>1320</v>
      </c>
      <c r="D31" s="103">
        <f>48+40</f>
        <v>88</v>
      </c>
      <c r="E31" s="106">
        <v>14.29</v>
      </c>
      <c r="F31" s="107">
        <f t="shared" si="0"/>
        <v>18862.8</v>
      </c>
      <c r="G31" s="104" t="s">
        <v>66</v>
      </c>
      <c r="H31" s="104"/>
      <c r="I31" s="109">
        <f t="shared" si="1"/>
        <v>14.79</v>
      </c>
    </row>
    <row r="32" spans="1:9">
      <c r="A32" s="98" t="s">
        <v>82</v>
      </c>
      <c r="B32" s="99"/>
      <c r="C32" s="118">
        <v>19777.900000000001</v>
      </c>
      <c r="D32" s="103">
        <v>22</v>
      </c>
      <c r="E32" s="106">
        <v>21.8</v>
      </c>
      <c r="F32" s="107">
        <f t="shared" si="0"/>
        <v>431158.22000000003</v>
      </c>
      <c r="G32" s="104" t="s">
        <v>66</v>
      </c>
      <c r="H32" s="104"/>
      <c r="I32" s="109">
        <f t="shared" si="1"/>
        <v>22.3</v>
      </c>
    </row>
    <row r="33" spans="1:9">
      <c r="A33" s="98" t="s">
        <v>83</v>
      </c>
      <c r="B33" s="99"/>
      <c r="C33" s="118">
        <f>19156+877.55+858.5+839.91+805.44+824.04+862.13+814.06+831.29</f>
        <v>25868.920000000002</v>
      </c>
      <c r="D33" s="103">
        <f>22+8</f>
        <v>30</v>
      </c>
      <c r="E33" s="106">
        <v>20.305</v>
      </c>
      <c r="F33" s="107">
        <f t="shared" si="0"/>
        <v>525268.42060000007</v>
      </c>
      <c r="G33" s="104" t="s">
        <v>66</v>
      </c>
      <c r="H33" s="104"/>
      <c r="I33" s="109">
        <f t="shared" si="1"/>
        <v>20.805</v>
      </c>
    </row>
    <row r="34" spans="1:9">
      <c r="A34" s="98" t="s">
        <v>47</v>
      </c>
      <c r="B34" s="99"/>
      <c r="C34" s="118">
        <f>D34*5.4432</f>
        <v>9269.7695999999996</v>
      </c>
      <c r="D34" s="103">
        <f>120+15+132+120+110+120+125+121+120+120+2*120+120+120+120</f>
        <v>1703</v>
      </c>
      <c r="E34" s="106">
        <v>33.700000000000003</v>
      </c>
      <c r="F34" s="107">
        <f t="shared" si="0"/>
        <v>312391.23551999999</v>
      </c>
      <c r="G34" s="104" t="s">
        <v>66</v>
      </c>
      <c r="H34" s="104"/>
      <c r="I34" s="109">
        <f t="shared" si="1"/>
        <v>34.200000000000003</v>
      </c>
    </row>
    <row r="35" spans="1:9">
      <c r="A35" s="98" t="s">
        <v>84</v>
      </c>
      <c r="B35" s="99"/>
      <c r="C35" s="118">
        <f>13.61*D35</f>
        <v>6505.58</v>
      </c>
      <c r="D35" s="103">
        <f>42+48+2*48+2*48+2*48+61+39</f>
        <v>478</v>
      </c>
      <c r="E35" s="106">
        <v>30.76</v>
      </c>
      <c r="F35" s="107">
        <f t="shared" si="0"/>
        <v>200111.64079999999</v>
      </c>
      <c r="G35" s="104" t="s">
        <v>66</v>
      </c>
      <c r="H35" s="104"/>
      <c r="I35" s="109">
        <f t="shared" si="1"/>
        <v>31.26</v>
      </c>
    </row>
    <row r="36" spans="1:9">
      <c r="A36" s="98" t="s">
        <v>85</v>
      </c>
      <c r="B36" s="99"/>
      <c r="C36" s="118">
        <f>27.22*D36</f>
        <v>2994.2</v>
      </c>
      <c r="D36" s="103">
        <f>18+32+32+28</f>
        <v>110</v>
      </c>
      <c r="E36" s="106">
        <v>21.4</v>
      </c>
      <c r="F36" s="107">
        <f t="shared" si="0"/>
        <v>64075.87999999999</v>
      </c>
      <c r="G36" s="104" t="s">
        <v>66</v>
      </c>
      <c r="H36" s="104"/>
      <c r="I36" s="109">
        <f t="shared" si="1"/>
        <v>21.9</v>
      </c>
    </row>
    <row r="37" spans="1:9">
      <c r="A37" s="98" t="s">
        <v>50</v>
      </c>
      <c r="B37" s="99"/>
      <c r="C37" s="118">
        <f>13.61*D37</f>
        <v>1401.83</v>
      </c>
      <c r="D37" s="103">
        <f>49+54</f>
        <v>103</v>
      </c>
      <c r="E37" s="106">
        <v>18.489999999999998</v>
      </c>
      <c r="F37" s="107">
        <f t="shared" si="0"/>
        <v>25919.836699999996</v>
      </c>
      <c r="G37" s="104" t="s">
        <v>66</v>
      </c>
      <c r="H37" s="104"/>
      <c r="I37" s="109">
        <f t="shared" si="1"/>
        <v>18.989999999999998</v>
      </c>
    </row>
    <row r="38" spans="1:9">
      <c r="A38" s="98" t="s">
        <v>49</v>
      </c>
      <c r="B38" s="99"/>
      <c r="C38" s="110">
        <f>664.23+891.27+890.75+887.59</f>
        <v>3333.84</v>
      </c>
      <c r="D38" s="103">
        <f>24+32*3</f>
        <v>120</v>
      </c>
      <c r="E38" s="106">
        <v>22.5</v>
      </c>
      <c r="F38" s="107">
        <f t="shared" si="0"/>
        <v>75011.400000000009</v>
      </c>
      <c r="G38" s="104"/>
      <c r="H38" s="104" t="s">
        <v>66</v>
      </c>
      <c r="I38" s="109">
        <f t="shared" si="1"/>
        <v>23</v>
      </c>
    </row>
    <row r="39" spans="1:9">
      <c r="C39" s="45"/>
      <c r="E39" s="112"/>
      <c r="F39" s="113"/>
    </row>
    <row r="40" spans="1:9">
      <c r="B40" s="95" t="s">
        <v>10</v>
      </c>
      <c r="C40" s="96">
        <f>SUM(C11:C39)</f>
        <v>308100.36360000004</v>
      </c>
      <c r="D40" s="95">
        <f>SUM(D11:D39)</f>
        <v>14580</v>
      </c>
      <c r="E40" s="112"/>
      <c r="F40" s="114">
        <f>SUM(F11:F39)</f>
        <v>7324573.5116199991</v>
      </c>
    </row>
    <row r="41" spans="1:9">
      <c r="E41" s="63"/>
    </row>
  </sheetData>
  <mergeCells count="1">
    <mergeCell ref="G9:H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Winxp</cp:lastModifiedBy>
  <dcterms:created xsi:type="dcterms:W3CDTF">2008-11-07T19:04:53Z</dcterms:created>
  <dcterms:modified xsi:type="dcterms:W3CDTF">2008-11-10T20:20:38Z</dcterms:modified>
</cp:coreProperties>
</file>