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 ABRIL  2017\"/>
    </mc:Choice>
  </mc:AlternateContent>
  <bookViews>
    <workbookView xWindow="0" yWindow="0" windowWidth="24000" windowHeight="9735" firstSheet="4" activeTab="8"/>
  </bookViews>
  <sheets>
    <sheet name="E N E R O  2 0 1 7     " sheetId="1" r:id="rId1"/>
    <sheet name="REMISIONES ENERO 2017   " sheetId="2" r:id="rId2"/>
    <sheet name="F E B R E R O   2 0 1 7     " sheetId="3" r:id="rId3"/>
    <sheet name="REMISIONES  FEBRERO  2017    " sheetId="4" r:id="rId4"/>
    <sheet name="M A R Z O  2 0 1 7     " sheetId="6" r:id="rId5"/>
    <sheet name="REMISIONES MARZO 2017  " sheetId="7" r:id="rId6"/>
    <sheet name="A B R I L   2 0 1 7      " sheetId="8" r:id="rId7"/>
    <sheet name="REMISIONES  ABRIL  2017     " sheetId="9" r:id="rId8"/>
    <sheet name="Hoja1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9" l="1"/>
  <c r="T12" i="9"/>
  <c r="Y12" i="9"/>
  <c r="V12" i="9"/>
  <c r="T7" i="9"/>
  <c r="T5" i="9"/>
  <c r="E3" i="9" l="1"/>
  <c r="L52" i="9" l="1"/>
  <c r="J45" i="9" l="1"/>
  <c r="J46" i="9"/>
  <c r="J41" i="9"/>
  <c r="J42" i="9"/>
  <c r="J39" i="9"/>
  <c r="J37" i="9" l="1"/>
  <c r="J35" i="9"/>
  <c r="J33" i="9"/>
  <c r="O52" i="9"/>
  <c r="J51" i="9" l="1"/>
  <c r="O24" i="9" l="1"/>
  <c r="E17" i="7"/>
  <c r="J13" i="9"/>
  <c r="J12" i="9"/>
  <c r="J10" i="9"/>
  <c r="F20" i="9"/>
  <c r="F21" i="9"/>
  <c r="F22" i="9"/>
  <c r="F23" i="9"/>
  <c r="J9" i="9"/>
  <c r="J8" i="9"/>
  <c r="J7" i="9"/>
  <c r="J5" i="9" l="1"/>
  <c r="C67" i="9" l="1"/>
  <c r="K47" i="8"/>
  <c r="K47" i="3" l="1"/>
  <c r="K47" i="6"/>
  <c r="C74" i="7" l="1"/>
  <c r="J4" i="9" l="1"/>
  <c r="L24" i="9" l="1"/>
  <c r="J23" i="9"/>
  <c r="E26" i="9" l="1"/>
  <c r="C26" i="9"/>
  <c r="F25" i="9"/>
  <c r="F24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6" i="9" l="1"/>
  <c r="L38" i="8"/>
  <c r="I38" i="8"/>
  <c r="F38" i="8"/>
  <c r="C38" i="8"/>
  <c r="M37" i="8"/>
  <c r="N36" i="8"/>
  <c r="S7" i="8"/>
  <c r="K40" i="8" l="1"/>
  <c r="F41" i="8" s="1"/>
  <c r="F44" i="8" s="1"/>
  <c r="F48" i="8" s="1"/>
  <c r="K44" i="8" s="1"/>
  <c r="K49" i="8" s="1"/>
  <c r="F17" i="7"/>
  <c r="F18" i="7"/>
  <c r="F19" i="7"/>
  <c r="F20" i="7"/>
  <c r="F21" i="7"/>
  <c r="F22" i="7"/>
  <c r="F23" i="7"/>
  <c r="F24" i="7"/>
  <c r="F25" i="7"/>
  <c r="F26" i="7"/>
  <c r="F27" i="7"/>
  <c r="E15" i="7"/>
  <c r="S6" i="7"/>
  <c r="S5" i="7"/>
  <c r="S14" i="7" s="1"/>
  <c r="S4" i="7"/>
  <c r="X15" i="7"/>
  <c r="U15" i="7"/>
  <c r="E3" i="7" l="1"/>
  <c r="L41" i="7"/>
  <c r="J35" i="7"/>
  <c r="J33" i="7"/>
  <c r="J31" i="7"/>
  <c r="J29" i="7"/>
  <c r="J28" i="7"/>
  <c r="J26" i="7"/>
  <c r="J27" i="7"/>
  <c r="J25" i="7"/>
  <c r="O41" i="7"/>
  <c r="J40" i="7" l="1"/>
  <c r="E20" i="4"/>
  <c r="J7" i="7"/>
  <c r="J6" i="7"/>
  <c r="J5" i="7"/>
  <c r="J4" i="7" l="1"/>
  <c r="J14" i="7" l="1"/>
  <c r="O15" i="7"/>
  <c r="L15" i="7"/>
  <c r="E17" i="4" l="1"/>
  <c r="C31" i="7"/>
  <c r="F30" i="7"/>
  <c r="F29" i="7"/>
  <c r="F28" i="7"/>
  <c r="F16" i="7"/>
  <c r="F15" i="7"/>
  <c r="F14" i="7"/>
  <c r="F13" i="7"/>
  <c r="F12" i="7"/>
  <c r="E31" i="7"/>
  <c r="F10" i="7"/>
  <c r="F9" i="7"/>
  <c r="F8" i="7"/>
  <c r="F7" i="7"/>
  <c r="F6" i="7"/>
  <c r="F5" i="7"/>
  <c r="F4" i="7"/>
  <c r="F3" i="7"/>
  <c r="L38" i="6"/>
  <c r="I38" i="6"/>
  <c r="F38" i="6"/>
  <c r="C38" i="6"/>
  <c r="M37" i="6"/>
  <c r="N36" i="6"/>
  <c r="S7" i="6"/>
  <c r="F11" i="7" l="1"/>
  <c r="F31" i="7" s="1"/>
  <c r="K40" i="6"/>
  <c r="F41" i="6" s="1"/>
  <c r="F44" i="6" s="1"/>
  <c r="F48" i="6" s="1"/>
  <c r="K44" i="6" s="1"/>
  <c r="K49" i="6" s="1"/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<sst xmlns="http://schemas.openxmlformats.org/spreadsheetml/2006/main" count="848" uniqueCount="349">
  <si>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</si>
  <si>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</si>
  <si>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</si>
  <si>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</si>
  <si>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</si>
  <si>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</si>
  <si>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</si>
  <si>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</si>
  <si>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</si>
  <si>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</si>
  <si>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</si>
  <si>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</si>
  <si>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</si>
  <si>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</si>
  <si>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</si>
  <si>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</si>
  <si>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</si>
  <si>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</si>
  <si>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</si>
  <si>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</si>
  <si>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</si>
  <si>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</si>
  <si>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</si>
  <si>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</si>
  <si>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</si>
  <si>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</si>
  <si>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</si>
  <si>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</si>
  <si>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</si>
  <si>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</si>
  <si>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</si>
  <si>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</si>
  <si>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</si>
  <si>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</si>
  <si>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</si>
  <si>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</si>
  <si>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</si>
  <si>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</si>
  <si>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</si>
  <si>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</si>
  <si>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</si>
  <si>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</si>
  <si>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</si>
  <si>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</si>
  <si>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</si>
  <si>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</si>
  <si>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</si>
  <si>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</si>
  <si>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</si>
  <si>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</si>
  <si>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</si>
  <si>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</si>
  <si>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</si>
  <si>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</si>
  <si>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</si>
  <si>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</si>
  <si>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</si>
  <si>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</si>
  <si>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</si>
  <si>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</si>
  <si>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</si>
  <si>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</si>
  <si>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</si>
  <si>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</si>
  <si>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</si>
  <si>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</si>
  <si>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</si>
  <si>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</si>
  <si>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</si>
  <si>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</si>
  <si>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</si>
  <si>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</si>
  <si>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</si>
  <si>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</si>
  <si>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</si>
  <si>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</si>
  <si>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</si>
  <si>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</si>
  <si>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</si>
  <si>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</si>
  <si>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</si>
  <si>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</si>
  <si>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</si>
  <si>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</si>
  <si>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</si>
  <si>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</si>
  <si>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</si>
  <si>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</si>
  <si>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</si>
  <si>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</si>
  <si>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</si>
  <si>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</si>
  <si>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</si>
  <si>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</si>
  <si>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</si>
  <si>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</si>
  <si>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</si>
  <si>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</si>
  <si>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</si>
  <si>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</si>
  <si>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</si>
  <si>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</si>
  <si>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</si>
  <si>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</si>
  <si>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</si>
  <si>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</si>
  <si>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</si>
  <si>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</si>
  <si>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</si>
  <si>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</si>
  <si>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</si>
  <si>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</si>
  <si>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</si>
  <si>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</si>
  <si>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</si>
  <si>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</si>
  <si>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</si>
  <si>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</si>
  <si>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</si>
  <si>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</si>
  <si>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</si>
  <si>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</si>
  <si>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</si>
  <si>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</si>
  <si>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</si>
  <si>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</si>
  <si>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</si>
  <si>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</si>
  <si>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</si>
  <si>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</si>
  <si>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</si>
  <si>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</si>
  <si>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</si>
  <si>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</si>
  <si>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</si>
  <si>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</si>
  <si>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</si>
  <si>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</si>
  <si>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</si>
  <si>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</si>
  <si>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</si>
  <si>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</si>
  <si>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</si>
  <si>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</si>
  <si>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</si>
  <si>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</si>
  <si>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</si>
  <si>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</si>
  <si>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</si>
  <si>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</si>
  <si>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</si>
  <si>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</si>
  <si>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</si>
  <si>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</si>
  <si>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</si>
  <si>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</si>
  <si>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</si>
  <si>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</si>
  <si>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</si>
  <si>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</si>
  <si>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</si>
  <si>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</si>
  <si>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</si>
  <si>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</si>
  <si>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</si>
  <si>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</si>
  <si>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</si>
  <si>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</si>
  <si>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</si>
  <si>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</si>
  <si>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</si>
  <si>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</si>
  <si>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</si>
  <si>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</si>
  <si>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</si>
  <si>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</si>
  <si>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</si>
  <si>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</si>
  <si>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</si>
  <si>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</si>
  <si>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</si>
  <si>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</si>
  <si>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</si>
  <si>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</si>
  <si>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</si>
  <si>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</si>
  <si>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</si>
  <si>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</si>
  <si>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</si>
  <si>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</si>
  <si>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</si>
  <si>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</si>
  <si>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</si>
  <si>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</si>
  <si>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</si>
  <si>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</si>
  <si>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</si>
  <si>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</si>
  <si>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</si>
  <si>
    <t>R-1707</t>
  </si>
  <si>
    <t xml:space="preserve">REMISIONES  11 SUR   M A R Z O       2 0 1 7 </t>
  </si>
  <si>
    <t>01-Marzo,</t>
  </si>
  <si>
    <t>R-1707-salsa arabe</t>
  </si>
  <si>
    <t>abono</t>
  </si>
  <si>
    <t>25-Feb--03-mar</t>
  </si>
  <si>
    <t>02789 D</t>
  </si>
  <si>
    <t>02956 D</t>
  </si>
  <si>
    <t>02957 D</t>
  </si>
  <si>
    <t>03116 D</t>
  </si>
  <si>
    <t>03126 D</t>
  </si>
  <si>
    <t>03213 D</t>
  </si>
  <si>
    <t>03388 D</t>
  </si>
  <si>
    <t>03396 D</t>
  </si>
  <si>
    <t>R-1707-POLLO</t>
  </si>
  <si>
    <t>R-1707--1881</t>
  </si>
  <si>
    <t>R-2324-1881--MAIZ-POLLO</t>
  </si>
  <si>
    <t>Elias  05-MAR</t>
  </si>
  <si>
    <t>R-2324-2447</t>
  </si>
  <si>
    <t>R-2447-chorizo</t>
  </si>
  <si>
    <t>08-MARZO.,</t>
  </si>
  <si>
    <t>R-2447</t>
  </si>
  <si>
    <t xml:space="preserve">03-Mar --13-Mar </t>
  </si>
  <si>
    <t>03615 D</t>
  </si>
  <si>
    <t>03732 D</t>
  </si>
  <si>
    <t>03923 D</t>
  </si>
  <si>
    <t>04006 D</t>
  </si>
  <si>
    <t>04297 D</t>
  </si>
  <si>
    <t>04570 D</t>
  </si>
  <si>
    <t>04946 D</t>
  </si>
  <si>
    <t>04948 D</t>
  </si>
  <si>
    <t>R-2789--2956-2*957--POLLO</t>
  </si>
  <si>
    <t>11-Mar.,</t>
  </si>
  <si>
    <t>R-2957-3126-3116</t>
  </si>
  <si>
    <t>R-3116</t>
  </si>
  <si>
    <t xml:space="preserve">Vacaciones Rosa </t>
  </si>
  <si>
    <t>R-3116-3213</t>
  </si>
  <si>
    <t>R-3213-3396-3388</t>
  </si>
  <si>
    <t>R-3388--3615--POLLO</t>
  </si>
  <si>
    <t>R-3615</t>
  </si>
  <si>
    <t>R-3615--POLLO-CHORIZO</t>
  </si>
  <si>
    <t>R-3615-3732-3923-MAIZ</t>
  </si>
  <si>
    <t>Elias  19-Mar</t>
  </si>
  <si>
    <t>Elias 12 Mar</t>
  </si>
  <si>
    <t>R-3923</t>
  </si>
  <si>
    <t>R-3923-4006-4297-POLLO</t>
  </si>
  <si>
    <t xml:space="preserve">13-Mar-23-Mar </t>
  </si>
  <si>
    <t>05330 D</t>
  </si>
  <si>
    <t>05537 D</t>
  </si>
  <si>
    <t>perdida</t>
  </si>
  <si>
    <t>R-4297</t>
  </si>
  <si>
    <t>05689 D</t>
  </si>
  <si>
    <t>05841 D</t>
  </si>
  <si>
    <t>05993 D</t>
  </si>
  <si>
    <t>06203 D</t>
  </si>
  <si>
    <t>06205 D</t>
  </si>
  <si>
    <t>R-4297-4570-maiz-pollo</t>
  </si>
  <si>
    <t>Elias  26-Mar</t>
  </si>
  <si>
    <t>06-12 MAR</t>
  </si>
  <si>
    <t>27-5 MAR</t>
  </si>
  <si>
    <t>13-19-,MAR</t>
  </si>
  <si>
    <t>R-4570-4948-4946</t>
  </si>
  <si>
    <t>R-4946</t>
  </si>
  <si>
    <t xml:space="preserve">23-Mar --30-Mar </t>
  </si>
  <si>
    <t>06387 D</t>
  </si>
  <si>
    <t xml:space="preserve">BALANCE       DE     M A R Z O           2 0 1 7        11  S U R   </t>
  </si>
  <si>
    <t xml:space="preserve">BALANCE       DE     A B R I L          2 0 1 7        11  S U R   </t>
  </si>
  <si>
    <t xml:space="preserve">REMISIONES  11 SUR   A B R I L        2 0 1 7 </t>
  </si>
  <si>
    <t>06683 D</t>
  </si>
  <si>
    <t>R-4946-POLLO--chorizo</t>
  </si>
  <si>
    <t>R-5330--4946</t>
  </si>
  <si>
    <t>R-5330-pollo</t>
  </si>
  <si>
    <t>salsa arabe</t>
  </si>
  <si>
    <t>pollo--maiz</t>
  </si>
  <si>
    <t>maiz</t>
  </si>
  <si>
    <t>maiz--pollo</t>
  </si>
  <si>
    <t>PERDIDA</t>
  </si>
  <si>
    <t xml:space="preserve">INVENTARIO </t>
  </si>
  <si>
    <t>INVENTARIO</t>
  </si>
  <si>
    <t>R-422--POLLO-MAIZ</t>
  </si>
  <si>
    <t>POLLO--MAIZ</t>
  </si>
  <si>
    <t>NOMINA 10</t>
  </si>
  <si>
    <t>NOMINA 11</t>
  </si>
  <si>
    <t>NOMINA 12</t>
  </si>
  <si>
    <t>NOMINA 09</t>
  </si>
  <si>
    <t>NOMINA 13</t>
  </si>
  <si>
    <t>NOMINA 14</t>
  </si>
  <si>
    <t>NOMINA 15</t>
  </si>
  <si>
    <t>NOMINA 16</t>
  </si>
  <si>
    <t>Elias  02-ABRIL</t>
  </si>
  <si>
    <t>06896 D</t>
  </si>
  <si>
    <t>07051 D</t>
  </si>
  <si>
    <t>07169 D</t>
  </si>
  <si>
    <t>07402 D</t>
  </si>
  <si>
    <t>07525 D</t>
  </si>
  <si>
    <t>07682 D</t>
  </si>
  <si>
    <t>BBVA</t>
  </si>
  <si>
    <t>06524 D</t>
  </si>
  <si>
    <t xml:space="preserve">30-Mar --13-Abril </t>
  </si>
  <si>
    <t>R-5330-5537-5689</t>
  </si>
  <si>
    <t>R-5689-5841</t>
  </si>
  <si>
    <t>R-5841</t>
  </si>
  <si>
    <t>R-5841-chorizo</t>
  </si>
  <si>
    <t>R-5841--5993</t>
  </si>
  <si>
    <t>R-5993--6205--6203</t>
  </si>
  <si>
    <t>R-6203--MAIZ</t>
  </si>
  <si>
    <t>07795 D</t>
  </si>
  <si>
    <t>07909 D</t>
  </si>
  <si>
    <t>20-26-MAR</t>
  </si>
  <si>
    <t>27-02-Abril</t>
  </si>
  <si>
    <t>03-09 Abril</t>
  </si>
  <si>
    <t>R-6203-6387</t>
  </si>
  <si>
    <t>R-6387--6524</t>
  </si>
  <si>
    <t>R-6524--Pollo-chorizo</t>
  </si>
  <si>
    <t>07943 D</t>
  </si>
  <si>
    <t>08414 D</t>
  </si>
  <si>
    <t>08162 D</t>
  </si>
  <si>
    <t>08502 D</t>
  </si>
  <si>
    <t>08544 D</t>
  </si>
  <si>
    <t>08685 D</t>
  </si>
  <si>
    <t>08727 D</t>
  </si>
  <si>
    <t>08846 D</t>
  </si>
  <si>
    <t>08972 D</t>
  </si>
  <si>
    <t>R-6524--6683</t>
  </si>
  <si>
    <t>R-6683-6896-7051</t>
  </si>
  <si>
    <t>R-7051-7169-7525-7402</t>
  </si>
  <si>
    <t>R-7402</t>
  </si>
  <si>
    <t xml:space="preserve">Elias  09-ABRIL </t>
  </si>
  <si>
    <t>Elias  16-ABRIL</t>
  </si>
  <si>
    <t xml:space="preserve">10-16-Abril </t>
  </si>
  <si>
    <t>R-7402--POLLO</t>
  </si>
  <si>
    <t>R-7402--7682--chorizo</t>
  </si>
  <si>
    <t>R-7682-7943</t>
  </si>
  <si>
    <t>R-7943-7909--POLLO</t>
  </si>
  <si>
    <t>R-7909-MAIZ</t>
  </si>
  <si>
    <t>R-7909-8162-8414</t>
  </si>
  <si>
    <t xml:space="preserve">Elias 23-Abril </t>
  </si>
  <si>
    <t xml:space="preserve">17--23 Abril </t>
  </si>
  <si>
    <t>R-8544-8502</t>
  </si>
  <si>
    <t>R-8502-8685--POLLO</t>
  </si>
  <si>
    <t xml:space="preserve">13 Abril --25-Abril </t>
  </si>
  <si>
    <t>09195 D</t>
  </si>
  <si>
    <t>09593 D</t>
  </si>
  <si>
    <t>R-7795-8685--CHORIZO</t>
  </si>
  <si>
    <t>R-8685-8727-8846</t>
  </si>
  <si>
    <t>R-8846-8972</t>
  </si>
  <si>
    <t>25-Abril--29-Abril q</t>
  </si>
  <si>
    <t>09969 D</t>
  </si>
  <si>
    <t>09798 D</t>
  </si>
  <si>
    <t>R-8972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</si>
</sst>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0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1" applyFont="1" applyFill="1"/>
    <xf numFmtId="44" fontId="31" fillId="0" borderId="46" xfId="1" applyFont="1" applyBorder="1"/>
    <xf numFmtId="164" fontId="28" fillId="0" borderId="46" xfId="0" applyNumberFormat="1" applyFont="1" applyFill="1" applyBorder="1"/>
    <xf numFmtId="164" fontId="2" fillId="5" borderId="9" xfId="1" applyNumberFormat="1" applyFont="1" applyFill="1" applyBorder="1" applyAlignment="1">
      <alignment horizontal="center"/>
    </xf>
    <xf numFmtId="0" fontId="0" fillId="0" borderId="48" xfId="0" applyBorder="1"/>
    <xf numFmtId="44" fontId="31" fillId="0" borderId="48" xfId="1" applyFont="1" applyBorder="1"/>
    <xf numFmtId="44" fontId="2" fillId="0" borderId="44" xfId="1" applyFont="1" applyBorder="1"/>
    <xf numFmtId="0" fontId="2" fillId="0" borderId="44" xfId="0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2" fillId="15" borderId="9" xfId="1" applyNumberFormat="1" applyFont="1" applyFill="1" applyBorder="1" applyAlignment="1">
      <alignment horizontal="center"/>
    </xf>
    <xf numFmtId="166" fontId="16" fillId="0" borderId="26" xfId="0" applyNumberFormat="1" applyFont="1" applyBorder="1" applyAlignment="1"/>
    <xf numFmtId="166" fontId="16" fillId="0" borderId="13" xfId="0" applyNumberFormat="1" applyFont="1" applyBorder="1" applyAlignment="1"/>
    <xf numFmtId="164" fontId="2" fillId="16" borderId="9" xfId="1" applyNumberFormat="1" applyFont="1" applyFill="1" applyBorder="1" applyAlignment="1">
      <alignment horizontal="center"/>
    </xf>
    <xf numFmtId="0" fontId="2" fillId="0" borderId="48" xfId="0" applyFont="1" applyBorder="1"/>
    <xf numFmtId="164" fontId="33" fillId="0" borderId="44" xfId="0" applyNumberFormat="1" applyFont="1" applyFill="1" applyBorder="1" applyAlignment="1">
      <alignment horizontal="center"/>
    </xf>
    <xf numFmtId="44" fontId="2" fillId="3" borderId="21" xfId="1" applyFont="1" applyFill="1" applyBorder="1"/>
    <xf numFmtId="165" fontId="34" fillId="0" borderId="0" xfId="0" applyNumberFormat="1" applyFont="1" applyFill="1"/>
    <xf numFmtId="165" fontId="35" fillId="0" borderId="0" xfId="0" applyNumberFormat="1" applyFont="1" applyFill="1"/>
    <xf numFmtId="165" fontId="8" fillId="0" borderId="0" xfId="0" applyNumberFormat="1" applyFont="1" applyFill="1"/>
    <xf numFmtId="165" fontId="27" fillId="0" borderId="0" xfId="0" applyNumberFormat="1" applyFont="1" applyFill="1"/>
    <xf numFmtId="44" fontId="2" fillId="3" borderId="0" xfId="1" applyFont="1" applyFill="1"/>
    <xf numFmtId="44" fontId="24" fillId="3" borderId="45" xfId="1" applyFont="1" applyFill="1" applyBorder="1"/>
    <xf numFmtId="164" fontId="2" fillId="17" borderId="9" xfId="1" applyNumberFormat="1" applyFont="1" applyFill="1" applyBorder="1" applyAlignment="1">
      <alignment horizontal="center"/>
    </xf>
    <xf numFmtId="44" fontId="28" fillId="0" borderId="48" xfId="1" applyFont="1" applyFill="1" applyBorder="1"/>
    <xf numFmtId="0" fontId="10" fillId="0" borderId="0" xfId="0" applyFont="1" applyBorder="1" applyAlignment="1">
      <alignment horizontal="center"/>
    </xf>
    <xf numFmtId="164" fontId="28" fillId="0" borderId="0" xfId="0" applyNumberFormat="1" applyFont="1" applyFill="1" applyBorder="1"/>
    <xf numFmtId="0" fontId="2" fillId="0" borderId="0" xfId="0" applyFont="1" applyBorder="1"/>
    <xf numFmtId="44" fontId="31" fillId="0" borderId="0" xfId="1" applyFont="1" applyBorder="1"/>
    <xf numFmtId="44" fontId="0" fillId="0" borderId="0" xfId="1" applyFont="1" applyBorder="1"/>
    <xf numFmtId="44" fontId="29" fillId="0" borderId="0" xfId="1" applyFont="1" applyFill="1" applyBorder="1"/>
    <xf numFmtId="44" fontId="1" fillId="0" borderId="50" xfId="1" applyFont="1" applyFill="1" applyBorder="1"/>
    <xf numFmtId="1" fontId="23" fillId="0" borderId="51" xfId="0" applyNumberFormat="1" applyFont="1" applyFill="1" applyBorder="1" applyAlignment="1">
      <alignment horizontal="center"/>
    </xf>
    <xf numFmtId="44" fontId="10" fillId="0" borderId="51" xfId="1" applyFont="1" applyFill="1" applyBorder="1" applyAlignment="1">
      <alignment horizontal="left"/>
    </xf>
    <xf numFmtId="0" fontId="10" fillId="0" borderId="51" xfId="0" applyFont="1" applyBorder="1" applyAlignment="1">
      <alignment horizontal="center"/>
    </xf>
    <xf numFmtId="44" fontId="30" fillId="0" borderId="51" xfId="1" applyFont="1" applyFill="1" applyBorder="1"/>
    <xf numFmtId="164" fontId="28" fillId="0" borderId="52" xfId="0" applyNumberFormat="1" applyFont="1" applyFill="1" applyBorder="1"/>
    <xf numFmtId="44" fontId="10" fillId="0" borderId="51" xfId="1" applyFont="1" applyFill="1" applyBorder="1"/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0000FF"/>
      <color rgb="FF6666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63" t="s">
        <v>0</v>
      </c>
      <c r="D1" s="263"/>
      <c r="E1" s="263"/>
      <c r="F1" s="263"/>
      <c r="G1" s="263"/>
      <c r="H1" s="263"/>
      <c r="I1" s="263"/>
      <c r="J1" s="263"/>
      <c r="K1" s="263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264" t="s">
        <v>4</v>
      </c>
      <c r="F4" s="265"/>
      <c r="I4" s="266" t="s">
        <v>5</v>
      </c>
      <c r="J4" s="267"/>
      <c r="K4" s="267"/>
      <c r="L4" s="267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268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269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270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270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259" t="s">
        <v>61</v>
      </c>
      <c r="I40" s="260"/>
      <c r="J40" s="101"/>
      <c r="K40" s="261">
        <f>I38+L38</f>
        <v>103445.36</v>
      </c>
      <c r="L40" s="262"/>
    </row>
    <row r="41" spans="1:17" ht="15.75" x14ac:dyDescent="0.25">
      <c r="B41" s="102"/>
      <c r="C41" s="77"/>
      <c r="D41" s="277" t="s">
        <v>62</v>
      </c>
      <c r="E41" s="277"/>
      <c r="F41" s="103">
        <f>F38-K40</f>
        <v>1062051.412</v>
      </c>
      <c r="I41" s="104"/>
      <c r="J41" s="104"/>
    </row>
    <row r="42" spans="1:17" ht="15.75" x14ac:dyDescent="0.25">
      <c r="D42" s="278" t="s">
        <v>63</v>
      </c>
      <c r="E42" s="278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279" t="s">
        <v>66</v>
      </c>
      <c r="J44" s="280"/>
      <c r="K44" s="283">
        <f>F48+L46</f>
        <v>161813.49199999991</v>
      </c>
      <c r="L44" s="284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281"/>
      <c r="J45" s="282"/>
      <c r="K45" s="285"/>
      <c r="L45" s="286"/>
    </row>
    <row r="46" spans="1:17" ht="17.25" thickTop="1" thickBot="1" x14ac:dyDescent="0.3">
      <c r="C46" s="94"/>
      <c r="D46" s="287" t="s">
        <v>69</v>
      </c>
      <c r="E46" s="287"/>
      <c r="F46" s="109">
        <v>263182.99</v>
      </c>
      <c r="I46" s="288"/>
      <c r="J46" s="288"/>
      <c r="K46" s="289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271">
        <v>-279978.36</v>
      </c>
      <c r="L47" s="271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272"/>
      <c r="E49" s="272"/>
      <c r="F49" s="77"/>
      <c r="I49" s="273" t="s">
        <v>248</v>
      </c>
      <c r="J49" s="274"/>
      <c r="K49" s="275">
        <f>K44+K47</f>
        <v>-118164.86800000007</v>
      </c>
      <c r="L49" s="2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73</v>
      </c>
      <c r="C1" s="119"/>
      <c r="D1" s="120"/>
      <c r="E1" s="119"/>
      <c r="F1" s="121"/>
      <c r="K1" t="s">
        <v>64</v>
      </c>
      <c r="L1" s="154" t="s">
        <v>106</v>
      </c>
      <c r="M1" s="155"/>
      <c r="N1" s="156"/>
      <c r="O1" s="157">
        <v>42749</v>
      </c>
      <c r="P1" s="158"/>
      <c r="U1" t="s">
        <v>64</v>
      </c>
      <c r="V1" s="154" t="s">
        <v>106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74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U3" s="163" t="s">
        <v>107</v>
      </c>
      <c r="V3" s="160" t="s">
        <v>108</v>
      </c>
      <c r="W3" s="159"/>
      <c r="X3" s="161" t="s">
        <v>109</v>
      </c>
      <c r="Y3" s="160" t="s">
        <v>110</v>
      </c>
      <c r="Z3" s="162"/>
    </row>
    <row r="4" spans="1:26" ht="15.75" x14ac:dyDescent="0.25">
      <c r="A4" s="129">
        <v>42739</v>
      </c>
      <c r="B4" s="126" t="s">
        <v>75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111</v>
      </c>
      <c r="L4" s="130">
        <v>29880.36</v>
      </c>
      <c r="M4" s="165" t="s">
        <v>112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80</v>
      </c>
      <c r="V4" s="130">
        <v>62984.800000000003</v>
      </c>
      <c r="W4" s="165" t="s">
        <v>112</v>
      </c>
      <c r="X4" s="166" t="s">
        <v>114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76</v>
      </c>
      <c r="C5" s="36">
        <v>120457.54</v>
      </c>
      <c r="D5" s="133" t="s">
        <v>77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113</v>
      </c>
      <c r="L5" s="130">
        <v>16463</v>
      </c>
      <c r="M5" s="165"/>
      <c r="N5" s="166" t="s">
        <v>114</v>
      </c>
      <c r="O5" s="167">
        <v>7700</v>
      </c>
      <c r="P5" s="168">
        <v>42731</v>
      </c>
      <c r="T5" s="164">
        <v>13659.8</v>
      </c>
      <c r="U5" s="126" t="s">
        <v>83</v>
      </c>
      <c r="V5" s="130">
        <v>13659.8</v>
      </c>
      <c r="W5" s="165"/>
      <c r="X5" s="166" t="s">
        <v>114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78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115</v>
      </c>
      <c r="L6" s="130">
        <v>183603.48</v>
      </c>
      <c r="M6" s="165"/>
      <c r="N6" s="166" t="s">
        <v>114</v>
      </c>
      <c r="O6" s="167">
        <v>23965</v>
      </c>
      <c r="P6" s="168">
        <v>42732</v>
      </c>
      <c r="T6" s="140">
        <f>8428.33+27566.87</f>
        <v>35995.199999999997</v>
      </c>
      <c r="U6" s="126" t="s">
        <v>84</v>
      </c>
      <c r="V6" s="130">
        <v>35995.199999999997</v>
      </c>
      <c r="W6" s="165"/>
      <c r="X6" s="166" t="s">
        <v>114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79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116</v>
      </c>
      <c r="L7" s="130">
        <v>1159.2</v>
      </c>
      <c r="M7" s="165"/>
      <c r="N7" s="166" t="s">
        <v>114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85</v>
      </c>
      <c r="V7" s="130">
        <v>69561.22</v>
      </c>
      <c r="W7" s="165"/>
      <c r="X7" s="166" t="s">
        <v>114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80</v>
      </c>
      <c r="C8" s="130">
        <v>77436.040999999997</v>
      </c>
      <c r="D8" s="127" t="s">
        <v>81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117</v>
      </c>
      <c r="L8" s="130">
        <v>131842.43</v>
      </c>
      <c r="M8" s="165"/>
      <c r="N8" s="166" t="s">
        <v>114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86</v>
      </c>
      <c r="V8" s="130">
        <v>131798.07</v>
      </c>
      <c r="W8" s="165"/>
      <c r="X8" s="166" t="s">
        <v>114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82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118</v>
      </c>
      <c r="L9" s="130">
        <v>18188.599999999999</v>
      </c>
      <c r="M9" s="165"/>
      <c r="N9" s="166" t="s">
        <v>114</v>
      </c>
      <c r="O9" s="167">
        <v>62062</v>
      </c>
      <c r="P9" s="168">
        <v>42734</v>
      </c>
      <c r="T9" s="140">
        <v>10002.700000000001</v>
      </c>
      <c r="U9" s="126" t="s">
        <v>87</v>
      </c>
      <c r="V9" s="130">
        <v>10002.700000000001</v>
      </c>
      <c r="W9" s="165"/>
      <c r="X9" s="166" t="s">
        <v>114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83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119</v>
      </c>
      <c r="L10" s="130">
        <v>85146.73</v>
      </c>
      <c r="M10" s="165"/>
      <c r="N10" s="166" t="s">
        <v>114</v>
      </c>
      <c r="O10" s="167">
        <v>3519.5</v>
      </c>
      <c r="P10" s="168">
        <v>42727</v>
      </c>
      <c r="T10" s="140">
        <f>19407.65+29414.38</f>
        <v>48822.03</v>
      </c>
      <c r="U10" s="126" t="s">
        <v>88</v>
      </c>
      <c r="V10" s="130">
        <v>48822.03</v>
      </c>
      <c r="W10" s="165"/>
      <c r="X10" s="166" t="s">
        <v>114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84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120</v>
      </c>
      <c r="L11" s="130">
        <v>32692.2</v>
      </c>
      <c r="M11" s="165"/>
      <c r="N11" s="166" t="s">
        <v>114</v>
      </c>
      <c r="O11" s="167">
        <v>10932</v>
      </c>
      <c r="P11" s="168">
        <v>42724</v>
      </c>
      <c r="T11" s="140">
        <f>18829.67+34891.37</f>
        <v>53721.04</v>
      </c>
      <c r="U11" s="126" t="s">
        <v>89</v>
      </c>
      <c r="V11" s="130">
        <v>53721.04</v>
      </c>
      <c r="W11" s="165"/>
      <c r="X11" s="166" t="s">
        <v>114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85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121</v>
      </c>
      <c r="L12" s="130">
        <v>4228.8</v>
      </c>
      <c r="M12" s="165"/>
      <c r="N12" s="166" t="s">
        <v>114</v>
      </c>
      <c r="O12" s="167">
        <v>1257.5</v>
      </c>
      <c r="P12" s="168">
        <v>42732</v>
      </c>
      <c r="T12" s="140">
        <v>3000.61</v>
      </c>
      <c r="U12" s="126" t="s">
        <v>90</v>
      </c>
      <c r="V12" s="130">
        <v>3649.64</v>
      </c>
      <c r="W12" s="183" t="s">
        <v>126</v>
      </c>
      <c r="X12" s="184" t="s">
        <v>114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86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122</v>
      </c>
      <c r="L13" s="130">
        <v>11014.8</v>
      </c>
      <c r="M13" s="165"/>
      <c r="N13" s="166" t="s">
        <v>114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114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87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123</v>
      </c>
      <c r="L14" s="130">
        <v>141361.57</v>
      </c>
      <c r="M14" s="165"/>
      <c r="N14" s="166" t="s">
        <v>114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114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88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124</v>
      </c>
      <c r="L15" s="130">
        <v>190171.7</v>
      </c>
      <c r="M15" s="165"/>
      <c r="N15" s="166" t="s">
        <v>114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114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89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125</v>
      </c>
      <c r="L16" s="130">
        <v>25191.200000000001</v>
      </c>
      <c r="M16" s="165"/>
      <c r="N16" s="166" t="s">
        <v>114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114</v>
      </c>
      <c r="Y16" s="188">
        <v>0</v>
      </c>
      <c r="Z16" s="186"/>
    </row>
    <row r="17" spans="1:26" ht="15.75" x14ac:dyDescent="0.25">
      <c r="A17" s="129">
        <v>42758</v>
      </c>
      <c r="B17" s="126" t="s">
        <v>90</v>
      </c>
      <c r="C17" s="130">
        <v>33530</v>
      </c>
      <c r="D17" s="136" t="s">
        <v>91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74</v>
      </c>
      <c r="L17" s="36">
        <v>33648.699999999997</v>
      </c>
      <c r="M17" s="165"/>
      <c r="N17" s="166" t="s">
        <v>114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114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92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75</v>
      </c>
      <c r="L18" s="130">
        <v>36932.800000000003</v>
      </c>
      <c r="M18" s="165"/>
      <c r="N18" s="166" t="s">
        <v>114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114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93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76</v>
      </c>
      <c r="L19" s="36">
        <v>5489.44</v>
      </c>
      <c r="M19" s="165" t="s">
        <v>126</v>
      </c>
      <c r="N19" s="166" t="s">
        <v>114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94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114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95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114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96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114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97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114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114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114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114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114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114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114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114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114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114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114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106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107</v>
      </c>
      <c r="L43" s="160" t="s">
        <v>108</v>
      </c>
      <c r="M43" s="159"/>
      <c r="N43" s="161" t="s">
        <v>109</v>
      </c>
      <c r="O43" s="160" t="s">
        <v>110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76</v>
      </c>
      <c r="L44" s="130">
        <v>114968.1</v>
      </c>
      <c r="M44" s="165" t="s">
        <v>112</v>
      </c>
      <c r="N44" s="166" t="s">
        <v>114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78</v>
      </c>
      <c r="L45" s="130">
        <v>102030.76</v>
      </c>
      <c r="M45" s="165"/>
      <c r="N45" s="166" t="s">
        <v>114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79</v>
      </c>
      <c r="L46" s="130">
        <v>37947.9</v>
      </c>
      <c r="M46" s="165"/>
      <c r="N46" s="166" t="s">
        <v>114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80</v>
      </c>
      <c r="L47" s="130">
        <v>14451.24</v>
      </c>
      <c r="M47" s="165" t="s">
        <v>126</v>
      </c>
      <c r="N47" s="166" t="s">
        <v>114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82</v>
      </c>
      <c r="L48" s="130">
        <v>4800</v>
      </c>
      <c r="M48" s="165"/>
      <c r="N48" s="166" t="s">
        <v>114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114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114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114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114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114</v>
      </c>
      <c r="O53" s="188"/>
      <c r="P53" s="186"/>
    </row>
    <row r="54" spans="1:16" ht="15.75" x14ac:dyDescent="0.25">
      <c r="K54" s="126"/>
      <c r="L54" s="130"/>
      <c r="M54" s="187"/>
      <c r="N54" s="184" t="s">
        <v>114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114</v>
      </c>
      <c r="O55" s="189"/>
      <c r="P55" s="186"/>
    </row>
    <row r="56" spans="1:16" ht="15.75" x14ac:dyDescent="0.25">
      <c r="K56" s="187"/>
      <c r="L56" s="187"/>
      <c r="M56" s="187"/>
      <c r="N56" s="184" t="s">
        <v>114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98</v>
      </c>
      <c r="K57" s="187"/>
      <c r="L57" s="187"/>
      <c r="M57" s="187"/>
      <c r="N57" s="184" t="s">
        <v>114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99</v>
      </c>
      <c r="J58" s="153"/>
      <c r="K58" s="171"/>
      <c r="L58" s="172">
        <v>0</v>
      </c>
      <c r="M58" s="171"/>
      <c r="N58" s="173" t="s">
        <v>114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100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101</v>
      </c>
    </row>
    <row r="61" spans="1:16" x14ac:dyDescent="0.25">
      <c r="B61" s="149">
        <v>42749</v>
      </c>
      <c r="C61" s="150">
        <v>1305</v>
      </c>
      <c r="D61" s="22" t="s">
        <v>102</v>
      </c>
    </row>
    <row r="62" spans="1:16" x14ac:dyDescent="0.25">
      <c r="B62" s="149">
        <v>42752</v>
      </c>
      <c r="C62" s="150">
        <v>618</v>
      </c>
      <c r="D62" s="22" t="s">
        <v>100</v>
      </c>
    </row>
    <row r="63" spans="1:16" x14ac:dyDescent="0.25">
      <c r="B63" s="149">
        <v>42755</v>
      </c>
      <c r="C63" s="150">
        <v>1131</v>
      </c>
      <c r="D63" s="22" t="s">
        <v>103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100</v>
      </c>
    </row>
    <row r="66" spans="2:4" x14ac:dyDescent="0.25">
      <c r="B66" s="149">
        <v>42758</v>
      </c>
      <c r="C66" s="150">
        <v>370</v>
      </c>
      <c r="D66" s="22" t="s">
        <v>104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98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100</v>
      </c>
    </row>
    <row r="74" spans="2:4" x14ac:dyDescent="0.25">
      <c r="B74" s="149">
        <v>42766</v>
      </c>
      <c r="C74" s="150">
        <v>361</v>
      </c>
      <c r="D74" s="22" t="s">
        <v>105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63" t="s">
        <v>127</v>
      </c>
      <c r="D1" s="263"/>
      <c r="E1" s="263"/>
      <c r="F1" s="263"/>
      <c r="G1" s="263"/>
      <c r="H1" s="263"/>
      <c r="I1" s="263"/>
      <c r="J1" s="263"/>
      <c r="K1" s="263"/>
      <c r="L1" s="2" t="s">
        <v>1</v>
      </c>
    </row>
    <row r="2" spans="1:19" ht="15.75" thickBot="1" x14ac:dyDescent="0.3">
      <c r="C2" s="151" t="s">
        <v>128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264" t="s">
        <v>4</v>
      </c>
      <c r="F4" s="265"/>
      <c r="I4" s="266" t="s">
        <v>5</v>
      </c>
      <c r="J4" s="267"/>
      <c r="K4" s="267"/>
      <c r="L4" s="267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129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130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131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132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133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134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135</v>
      </c>
      <c r="K9" s="37" t="s">
        <v>136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134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137</v>
      </c>
      <c r="K10" s="37" t="s">
        <v>138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139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183</v>
      </c>
      <c r="K11" s="37" t="s">
        <v>140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141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196</v>
      </c>
      <c r="K12" s="37" t="s">
        <v>142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143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144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145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146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177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178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178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178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179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181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184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186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4" t="s">
        <v>147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187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189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192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148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191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149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195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185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197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194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198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>
        <v>17837.93</v>
      </c>
      <c r="D32" s="19" t="s">
        <v>199</v>
      </c>
      <c r="E32" s="20">
        <v>42794</v>
      </c>
      <c r="F32" s="32">
        <v>18082.93</v>
      </c>
      <c r="G32" s="22"/>
      <c r="H32" s="34">
        <v>42794</v>
      </c>
      <c r="I32" s="55">
        <v>245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268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269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270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270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1183105.6000000001</v>
      </c>
      <c r="E38" s="192" t="s">
        <v>60</v>
      </c>
      <c r="F38" s="94">
        <f>SUM(F5:F37)</f>
        <v>1207027.3400000001</v>
      </c>
      <c r="H38" s="6" t="s">
        <v>60</v>
      </c>
      <c r="I38" s="4">
        <f>SUM(I5:I37)</f>
        <v>7327.6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259" t="s">
        <v>61</v>
      </c>
      <c r="I40" s="260"/>
      <c r="J40" s="191"/>
      <c r="K40" s="261">
        <f>I38+L38</f>
        <v>108856.45000000001</v>
      </c>
      <c r="L40" s="262"/>
    </row>
    <row r="41" spans="1:17" ht="15.75" x14ac:dyDescent="0.25">
      <c r="B41" s="102"/>
      <c r="C41" s="77"/>
      <c r="D41" s="277" t="s">
        <v>62</v>
      </c>
      <c r="E41" s="277"/>
      <c r="F41" s="103">
        <f>F38-K40</f>
        <v>1098170.8900000001</v>
      </c>
      <c r="I41" s="104"/>
      <c r="J41" s="104"/>
    </row>
    <row r="42" spans="1:17" ht="15.75" x14ac:dyDescent="0.25">
      <c r="D42" s="278" t="s">
        <v>63</v>
      </c>
      <c r="E42" s="278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-72547.709999999963</v>
      </c>
      <c r="I44" s="279" t="s">
        <v>66</v>
      </c>
      <c r="J44" s="280"/>
      <c r="K44" s="283">
        <f>F48+L46</f>
        <v>200580.19000000003</v>
      </c>
      <c r="L44" s="284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281"/>
      <c r="J45" s="282"/>
      <c r="K45" s="285"/>
      <c r="L45" s="286"/>
    </row>
    <row r="46" spans="1:17" ht="17.25" thickTop="1" thickBot="1" x14ac:dyDescent="0.3">
      <c r="C46" s="94"/>
      <c r="D46" s="287" t="s">
        <v>69</v>
      </c>
      <c r="E46" s="287"/>
      <c r="F46" s="109">
        <v>229801.74</v>
      </c>
      <c r="I46" s="288"/>
      <c r="J46" s="288"/>
      <c r="K46" s="289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276</v>
      </c>
      <c r="J47" s="193"/>
      <c r="K47" s="271">
        <f>-C4</f>
        <v>-263182.99</v>
      </c>
      <c r="L47" s="271"/>
      <c r="M47" s="114"/>
    </row>
    <row r="48" spans="1:17" ht="17.25" thickTop="1" thickBot="1" x14ac:dyDescent="0.3">
      <c r="E48" s="115" t="s">
        <v>71</v>
      </c>
      <c r="F48" s="116">
        <f>F44+F45+F46</f>
        <v>200580.19000000003</v>
      </c>
    </row>
    <row r="49" spans="2:14" ht="19.5" thickBot="1" x14ac:dyDescent="0.35">
      <c r="B49"/>
      <c r="C49"/>
      <c r="D49" s="272"/>
      <c r="E49" s="272"/>
      <c r="F49" s="77"/>
      <c r="I49" s="273" t="s">
        <v>275</v>
      </c>
      <c r="J49" s="274"/>
      <c r="K49" s="275">
        <f>K44+K47</f>
        <v>-62602.799999999959</v>
      </c>
      <c r="L49" s="2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opLeftCell="A22" workbookViewId="0">
      <selection activeCell="E25" sqref="E25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150</v>
      </c>
      <c r="C1" s="119"/>
      <c r="D1" s="120"/>
      <c r="E1" s="119"/>
      <c r="F1" s="121"/>
      <c r="G1" s="200"/>
      <c r="K1" t="s">
        <v>64</v>
      </c>
      <c r="L1" s="154" t="s">
        <v>106</v>
      </c>
      <c r="M1" s="155"/>
      <c r="N1" s="156"/>
      <c r="O1" s="208">
        <v>42780</v>
      </c>
      <c r="P1" s="158"/>
      <c r="T1" t="s">
        <v>64</v>
      </c>
      <c r="U1" s="154" t="s">
        <v>106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151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S3" s="151"/>
      <c r="T3" s="163" t="s">
        <v>107</v>
      </c>
      <c r="U3" s="160" t="s">
        <v>108</v>
      </c>
      <c r="V3" s="159"/>
      <c r="W3" s="161" t="s">
        <v>109</v>
      </c>
      <c r="X3" s="160" t="s">
        <v>110</v>
      </c>
      <c r="Y3" s="162"/>
    </row>
    <row r="4" spans="1:25" ht="15.75" x14ac:dyDescent="0.25">
      <c r="A4" s="129">
        <v>42767</v>
      </c>
      <c r="B4" s="126" t="s">
        <v>152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90</v>
      </c>
      <c r="L4" s="130">
        <v>29580.36</v>
      </c>
      <c r="M4" s="165" t="s">
        <v>112</v>
      </c>
      <c r="N4" s="166" t="s">
        <v>114</v>
      </c>
      <c r="O4" s="167">
        <v>27424</v>
      </c>
      <c r="P4" s="168">
        <v>42766</v>
      </c>
      <c r="S4" s="151">
        <v>32848.92</v>
      </c>
      <c r="T4" s="126" t="s">
        <v>155</v>
      </c>
      <c r="U4" s="130">
        <v>32848.92</v>
      </c>
      <c r="V4" s="165"/>
      <c r="W4" s="166" t="s">
        <v>114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153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92</v>
      </c>
      <c r="L5" s="130">
        <v>42260.1</v>
      </c>
      <c r="M5" s="165"/>
      <c r="N5" s="166" t="s">
        <v>114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165</v>
      </c>
      <c r="U5" s="130">
        <v>101376.79</v>
      </c>
      <c r="V5" s="165" t="s">
        <v>112</v>
      </c>
      <c r="W5" s="166" t="s">
        <v>114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154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93</v>
      </c>
      <c r="L6" s="130">
        <v>48906.53</v>
      </c>
      <c r="M6" s="165"/>
      <c r="N6" s="166" t="s">
        <v>114</v>
      </c>
      <c r="O6" s="167">
        <v>28870.5</v>
      </c>
      <c r="P6" s="168">
        <v>42767</v>
      </c>
      <c r="S6" s="151">
        <f>34076.39+30909.44+20954.87</f>
        <v>85940.7</v>
      </c>
      <c r="T6" s="126" t="s">
        <v>171</v>
      </c>
      <c r="U6" s="130">
        <v>85940.7</v>
      </c>
      <c r="V6" s="165"/>
      <c r="W6" s="166" t="s">
        <v>114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155</v>
      </c>
      <c r="C7" s="130">
        <v>32848.92</v>
      </c>
      <c r="D7" s="219">
        <v>42797</v>
      </c>
      <c r="E7" s="220">
        <v>32848.92</v>
      </c>
      <c r="F7" s="128">
        <f t="shared" si="0"/>
        <v>0</v>
      </c>
      <c r="G7" s="176"/>
      <c r="J7" s="140"/>
      <c r="K7" s="126" t="s">
        <v>94</v>
      </c>
      <c r="L7" s="130">
        <v>38425.1</v>
      </c>
      <c r="M7" s="165"/>
      <c r="N7" s="166" t="s">
        <v>114</v>
      </c>
      <c r="O7" s="167">
        <v>27608</v>
      </c>
      <c r="P7" s="168">
        <v>42768</v>
      </c>
      <c r="S7" s="151">
        <v>11484.6</v>
      </c>
      <c r="T7" s="126" t="s">
        <v>169</v>
      </c>
      <c r="U7" s="130">
        <v>11484.6</v>
      </c>
      <c r="V7" s="165"/>
      <c r="W7" s="166" t="s">
        <v>114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156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95</v>
      </c>
      <c r="L8" s="130">
        <v>23513.279999999999</v>
      </c>
      <c r="M8" s="165"/>
      <c r="N8" s="166" t="s">
        <v>114</v>
      </c>
      <c r="O8" s="167">
        <v>40478</v>
      </c>
      <c r="P8" s="168">
        <v>42769</v>
      </c>
      <c r="S8" s="151">
        <f>1279.72+17837.93</f>
        <v>19117.650000000001</v>
      </c>
      <c r="T8" s="126" t="s">
        <v>170</v>
      </c>
      <c r="U8" s="130">
        <v>19767</v>
      </c>
      <c r="V8" s="165" t="s">
        <v>203</v>
      </c>
      <c r="W8" s="166" t="s">
        <v>114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157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96</v>
      </c>
      <c r="L9" s="130">
        <v>151174.9</v>
      </c>
      <c r="M9" s="165"/>
      <c r="N9" s="166" t="s">
        <v>114</v>
      </c>
      <c r="O9" s="167">
        <v>43831.5</v>
      </c>
      <c r="P9" s="168">
        <v>42773</v>
      </c>
      <c r="S9" s="151"/>
      <c r="T9" s="126"/>
      <c r="U9" s="130"/>
      <c r="V9" s="165"/>
      <c r="W9" s="166" t="s">
        <v>114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158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97</v>
      </c>
      <c r="L10" s="130">
        <v>62978.38</v>
      </c>
      <c r="M10" s="165"/>
      <c r="N10" s="166" t="s">
        <v>114</v>
      </c>
      <c r="O10" s="167">
        <v>57352</v>
      </c>
      <c r="P10" s="168">
        <v>42773</v>
      </c>
      <c r="S10" s="151"/>
      <c r="T10" s="126"/>
      <c r="U10" s="130"/>
      <c r="V10" s="165"/>
      <c r="W10" s="166" t="s">
        <v>114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159</v>
      </c>
      <c r="C11" s="130">
        <v>40570.559999999998</v>
      </c>
      <c r="D11" s="213" t="s">
        <v>176</v>
      </c>
      <c r="E11" s="130">
        <f>16934.62+23635.94</f>
        <v>40570.559999999998</v>
      </c>
      <c r="F11" s="128">
        <f t="shared" si="0"/>
        <v>0</v>
      </c>
      <c r="J11" s="140"/>
      <c r="K11" s="126" t="s">
        <v>151</v>
      </c>
      <c r="L11" s="36">
        <v>4549.8999999999996</v>
      </c>
      <c r="M11" s="165"/>
      <c r="N11" s="166" t="s">
        <v>114</v>
      </c>
      <c r="O11" s="167">
        <v>40985.5</v>
      </c>
      <c r="P11" s="168">
        <v>42773</v>
      </c>
      <c r="S11" s="151"/>
      <c r="T11" s="126"/>
      <c r="U11" s="130"/>
      <c r="V11" s="165"/>
      <c r="W11" s="166" t="s">
        <v>114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160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152</v>
      </c>
      <c r="L12" s="130">
        <v>1064</v>
      </c>
      <c r="M12" s="183"/>
      <c r="N12" s="184" t="s">
        <v>114</v>
      </c>
      <c r="O12" s="185">
        <v>27325</v>
      </c>
      <c r="P12" s="186">
        <v>42773</v>
      </c>
      <c r="S12" s="151"/>
      <c r="T12" s="126"/>
      <c r="U12" s="130"/>
      <c r="V12" s="183"/>
      <c r="W12" s="184" t="s">
        <v>114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161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153</v>
      </c>
      <c r="L13" s="36">
        <v>6749.6</v>
      </c>
      <c r="M13" s="187"/>
      <c r="N13" s="184" t="s">
        <v>114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114</v>
      </c>
      <c r="X13" s="188"/>
      <c r="Y13" s="186"/>
    </row>
    <row r="14" spans="1:25" ht="15.75" x14ac:dyDescent="0.25">
      <c r="A14" s="129">
        <v>42777</v>
      </c>
      <c r="B14" s="126" t="s">
        <v>162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154</v>
      </c>
      <c r="L14" s="36">
        <v>20426.2</v>
      </c>
      <c r="M14" s="187"/>
      <c r="N14" s="184" t="s">
        <v>114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114</v>
      </c>
      <c r="X14" s="188"/>
      <c r="Y14" s="186"/>
    </row>
    <row r="15" spans="1:25" ht="16.5" thickBot="1" x14ac:dyDescent="0.3">
      <c r="A15" s="129">
        <v>42780</v>
      </c>
      <c r="B15" s="126" t="s">
        <v>163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156</v>
      </c>
      <c r="L15" s="130">
        <v>35977.449999999997</v>
      </c>
      <c r="M15" s="165"/>
      <c r="N15" s="184" t="s">
        <v>114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164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157</v>
      </c>
      <c r="L16" s="130">
        <v>86104.04</v>
      </c>
      <c r="M16" s="187"/>
      <c r="N16" s="184" t="s">
        <v>114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251418.00999999998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165</v>
      </c>
      <c r="C17" s="130">
        <v>146610.29999999999</v>
      </c>
      <c r="D17" s="138" t="s">
        <v>204</v>
      </c>
      <c r="E17" s="137">
        <f>45233.51+101376.79</f>
        <v>146610.29999999999</v>
      </c>
      <c r="F17" s="128">
        <f t="shared" si="0"/>
        <v>0</v>
      </c>
      <c r="K17" s="126" t="s">
        <v>158</v>
      </c>
      <c r="L17" s="130">
        <v>38879.040000000001</v>
      </c>
      <c r="M17" s="187"/>
      <c r="N17" s="184" t="s">
        <v>114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171</v>
      </c>
      <c r="C18" s="130">
        <v>85940.7</v>
      </c>
      <c r="D18" s="138">
        <v>42797</v>
      </c>
      <c r="E18" s="137">
        <v>85940.7</v>
      </c>
      <c r="F18" s="128">
        <f t="shared" si="0"/>
        <v>0</v>
      </c>
      <c r="J18" s="153"/>
      <c r="K18" s="205" t="s">
        <v>159</v>
      </c>
      <c r="L18" s="36">
        <v>16934.62</v>
      </c>
      <c r="M18" s="211" t="s">
        <v>126</v>
      </c>
      <c r="N18" s="206" t="s">
        <v>114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169</v>
      </c>
      <c r="C19" s="130">
        <v>11484.6</v>
      </c>
      <c r="D19" s="138">
        <v>42797</v>
      </c>
      <c r="E19" s="137">
        <v>11484.6</v>
      </c>
      <c r="F19" s="128">
        <f t="shared" si="0"/>
        <v>0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170</v>
      </c>
      <c r="C20" s="130">
        <v>96159</v>
      </c>
      <c r="D20" s="136" t="s">
        <v>221</v>
      </c>
      <c r="E20" s="137">
        <f>19767+76392</f>
        <v>96159</v>
      </c>
      <c r="F20" s="128">
        <f t="shared" si="0"/>
        <v>0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173</v>
      </c>
      <c r="C21" s="130">
        <v>22916.6</v>
      </c>
      <c r="D21" s="138">
        <v>42807</v>
      </c>
      <c r="E21" s="137">
        <v>22916.6</v>
      </c>
      <c r="F21" s="128">
        <f t="shared" si="0"/>
        <v>0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174</v>
      </c>
      <c r="C22" s="130">
        <v>80829.320000000007</v>
      </c>
      <c r="D22" s="138">
        <v>42807</v>
      </c>
      <c r="E22" s="137">
        <v>80829.320000000007</v>
      </c>
      <c r="F22" s="128">
        <f t="shared" si="0"/>
        <v>0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175</v>
      </c>
      <c r="C23" s="130">
        <v>102225.48</v>
      </c>
      <c r="D23" s="138">
        <v>42807</v>
      </c>
      <c r="E23" s="137">
        <v>102225.48</v>
      </c>
      <c r="F23" s="128">
        <f t="shared" si="0"/>
        <v>0</v>
      </c>
      <c r="G23" s="149"/>
    </row>
    <row r="24" spans="1:16" x14ac:dyDescent="0.25">
      <c r="A24" s="134">
        <v>42792</v>
      </c>
      <c r="B24" s="126" t="s">
        <v>190</v>
      </c>
      <c r="C24" s="130">
        <v>14086.5</v>
      </c>
      <c r="D24" s="138">
        <v>42807</v>
      </c>
      <c r="E24" s="137">
        <v>14086.5</v>
      </c>
      <c r="F24" s="128">
        <f t="shared" si="0"/>
        <v>0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106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107</v>
      </c>
      <c r="L29" s="160" t="s">
        <v>108</v>
      </c>
      <c r="M29" s="159"/>
      <c r="N29" s="161" t="s">
        <v>109</v>
      </c>
      <c r="O29" s="160" t="s">
        <v>110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114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159</v>
      </c>
      <c r="L31" s="130">
        <v>23635.94</v>
      </c>
      <c r="M31" s="165" t="s">
        <v>172</v>
      </c>
      <c r="N31" s="166" t="s">
        <v>114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160</v>
      </c>
      <c r="L32" s="130">
        <v>131945.18</v>
      </c>
      <c r="M32" s="165"/>
      <c r="N32" s="166" t="s">
        <v>114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161</v>
      </c>
      <c r="L33" s="130">
        <v>19194.599999999999</v>
      </c>
      <c r="M33" s="165"/>
      <c r="N33" s="166" t="s">
        <v>114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162</v>
      </c>
      <c r="L34" s="130">
        <v>141072.01999999999</v>
      </c>
      <c r="M34" s="165"/>
      <c r="N34" s="166" t="s">
        <v>114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163</v>
      </c>
      <c r="L35" s="130">
        <v>25712.65</v>
      </c>
      <c r="M35" s="165"/>
      <c r="N35" s="166" t="s">
        <v>114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164</v>
      </c>
      <c r="L36" s="130">
        <v>16306.1</v>
      </c>
      <c r="M36" s="165"/>
      <c r="N36" s="166" t="s">
        <v>114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165</v>
      </c>
      <c r="L37" s="130">
        <v>45233.51</v>
      </c>
      <c r="M37" s="165"/>
      <c r="N37" s="166" t="s">
        <v>114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1161652.7599999998</v>
      </c>
      <c r="F38" s="130">
        <f>SUM(F3:F37)</f>
        <v>0</v>
      </c>
      <c r="J38" s="151"/>
      <c r="K38" s="126"/>
      <c r="L38" s="130"/>
      <c r="M38" s="183"/>
      <c r="N38" s="184" t="s">
        <v>114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114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114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98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166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98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167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168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98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180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182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105</v>
      </c>
      <c r="E67"/>
    </row>
    <row r="68" spans="1:7" x14ac:dyDescent="0.25">
      <c r="B68" s="149">
        <v>42788</v>
      </c>
      <c r="C68" s="164">
        <v>1223</v>
      </c>
      <c r="D68" t="s">
        <v>188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193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105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15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3" workbookViewId="0">
      <selection activeCell="J13" sqref="J1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63" t="s">
        <v>264</v>
      </c>
      <c r="D1" s="263"/>
      <c r="E1" s="263"/>
      <c r="F1" s="263"/>
      <c r="G1" s="263"/>
      <c r="H1" s="263"/>
      <c r="I1" s="263"/>
      <c r="J1" s="263"/>
      <c r="K1" s="263"/>
      <c r="L1" s="2" t="s">
        <v>1</v>
      </c>
    </row>
    <row r="2" spans="1:19" ht="15.75" thickBot="1" x14ac:dyDescent="0.3">
      <c r="C2" s="151" t="s">
        <v>128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229801.74</v>
      </c>
      <c r="D4" s="13"/>
      <c r="E4" s="264" t="s">
        <v>4</v>
      </c>
      <c r="F4" s="265"/>
      <c r="I4" s="266" t="s">
        <v>5</v>
      </c>
      <c r="J4" s="267"/>
      <c r="K4" s="267"/>
      <c r="L4" s="267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42795</v>
      </c>
      <c r="C5" s="30">
        <v>32737.53</v>
      </c>
      <c r="D5" s="19" t="s">
        <v>202</v>
      </c>
      <c r="E5" s="20">
        <v>42795</v>
      </c>
      <c r="F5" s="32">
        <v>22645.89</v>
      </c>
      <c r="G5" s="22"/>
      <c r="H5" s="23">
        <v>42795</v>
      </c>
      <c r="I5" s="194">
        <v>695.68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42796</v>
      </c>
      <c r="C6" s="30">
        <v>33336</v>
      </c>
      <c r="D6" s="31" t="s">
        <v>213</v>
      </c>
      <c r="E6" s="20">
        <v>42796</v>
      </c>
      <c r="F6" s="32">
        <v>33436.269999999997</v>
      </c>
      <c r="G6" s="33"/>
      <c r="H6" s="23">
        <v>42796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42797</v>
      </c>
      <c r="C7" s="30">
        <v>32434.3</v>
      </c>
      <c r="D7" s="19" t="s">
        <v>214</v>
      </c>
      <c r="E7" s="20">
        <v>42797</v>
      </c>
      <c r="F7" s="32">
        <v>31411.1</v>
      </c>
      <c r="G7" s="22"/>
      <c r="H7" s="23">
        <v>42797</v>
      </c>
      <c r="I7" s="35">
        <v>184</v>
      </c>
      <c r="J7" s="36"/>
      <c r="K7" s="40" t="s">
        <v>132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42798</v>
      </c>
      <c r="C8" s="30">
        <v>59236.89</v>
      </c>
      <c r="D8" s="19" t="s">
        <v>215</v>
      </c>
      <c r="E8" s="20">
        <v>42798</v>
      </c>
      <c r="F8" s="32">
        <v>59336.89</v>
      </c>
      <c r="G8" s="22"/>
      <c r="H8" s="23">
        <v>42798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42799</v>
      </c>
      <c r="C9" s="30">
        <v>25221.41</v>
      </c>
      <c r="D9" s="19" t="s">
        <v>217</v>
      </c>
      <c r="E9" s="20">
        <v>42799</v>
      </c>
      <c r="F9" s="32">
        <v>31606.58</v>
      </c>
      <c r="G9" s="22"/>
      <c r="H9" s="23">
        <v>42799</v>
      </c>
      <c r="I9" s="35">
        <v>530</v>
      </c>
      <c r="J9" s="42" t="s">
        <v>258</v>
      </c>
      <c r="K9" s="37" t="s">
        <v>283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42800</v>
      </c>
      <c r="C10" s="30">
        <v>28437.82</v>
      </c>
      <c r="D10" s="31" t="s">
        <v>217</v>
      </c>
      <c r="E10" s="20">
        <v>42800</v>
      </c>
      <c r="F10" s="32">
        <v>28837.82</v>
      </c>
      <c r="G10" s="22"/>
      <c r="H10" s="23">
        <v>42800</v>
      </c>
      <c r="I10" s="35">
        <v>400</v>
      </c>
      <c r="J10" s="42" t="s">
        <v>257</v>
      </c>
      <c r="K10" s="37" t="s">
        <v>280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42801</v>
      </c>
      <c r="C11" s="30">
        <v>36725.29</v>
      </c>
      <c r="D11" s="45" t="s">
        <v>218</v>
      </c>
      <c r="E11" s="20">
        <v>42801</v>
      </c>
      <c r="F11" s="32">
        <v>27969.99</v>
      </c>
      <c r="G11" s="22"/>
      <c r="H11" s="23">
        <v>42801</v>
      </c>
      <c r="I11" s="35">
        <v>100</v>
      </c>
      <c r="J11" s="42" t="s">
        <v>259</v>
      </c>
      <c r="K11" s="37" t="s">
        <v>281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42802</v>
      </c>
      <c r="C12" s="30">
        <v>29085.759999999998</v>
      </c>
      <c r="D12" s="19" t="s">
        <v>220</v>
      </c>
      <c r="E12" s="20">
        <v>42802</v>
      </c>
      <c r="F12" s="32">
        <v>30055.79</v>
      </c>
      <c r="G12" s="22"/>
      <c r="H12" s="23">
        <v>42802</v>
      </c>
      <c r="I12" s="35">
        <v>100</v>
      </c>
      <c r="J12" s="42" t="s">
        <v>307</v>
      </c>
      <c r="K12" s="37" t="s">
        <v>282</v>
      </c>
      <c r="L12" s="32">
        <v>11892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42803</v>
      </c>
      <c r="C13" s="30">
        <v>27257.5</v>
      </c>
      <c r="D13" s="45" t="s">
        <v>220</v>
      </c>
      <c r="E13" s="20">
        <v>42803</v>
      </c>
      <c r="F13" s="32">
        <v>27875.42</v>
      </c>
      <c r="G13" s="22"/>
      <c r="H13" s="23">
        <v>42803</v>
      </c>
      <c r="I13" s="35">
        <v>618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42804</v>
      </c>
      <c r="C14" s="30">
        <v>37088.230000000003</v>
      </c>
      <c r="D14" s="19" t="s">
        <v>230</v>
      </c>
      <c r="E14" s="20">
        <v>42804</v>
      </c>
      <c r="F14" s="32">
        <v>37244.410000000003</v>
      </c>
      <c r="G14" s="22"/>
      <c r="H14" s="23">
        <v>42804</v>
      </c>
      <c r="I14" s="35">
        <v>156</v>
      </c>
      <c r="J14" s="42" t="s">
        <v>231</v>
      </c>
      <c r="K14" s="48" t="s">
        <v>234</v>
      </c>
      <c r="L14" s="32">
        <v>2500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42805</v>
      </c>
      <c r="C15" s="30">
        <v>69100.86</v>
      </c>
      <c r="D15" s="19" t="s">
        <v>232</v>
      </c>
      <c r="E15" s="20">
        <v>42805</v>
      </c>
      <c r="F15" s="32">
        <v>66893.94</v>
      </c>
      <c r="G15" s="22"/>
      <c r="H15" s="23">
        <v>42805</v>
      </c>
      <c r="I15" s="35">
        <v>100</v>
      </c>
      <c r="J15" s="42"/>
      <c r="K15" s="49" t="s">
        <v>31</v>
      </c>
      <c r="L15" s="32">
        <v>21564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42806</v>
      </c>
      <c r="C16" s="30">
        <v>14159.5</v>
      </c>
      <c r="D16" s="19" t="s">
        <v>233</v>
      </c>
      <c r="E16" s="20">
        <v>42806</v>
      </c>
      <c r="F16" s="32">
        <v>37851.25</v>
      </c>
      <c r="G16" s="22"/>
      <c r="H16" s="23">
        <v>42806</v>
      </c>
      <c r="I16" s="35">
        <v>400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42807</v>
      </c>
      <c r="C17" s="30">
        <v>32499.35</v>
      </c>
      <c r="D17" s="19" t="s">
        <v>235</v>
      </c>
      <c r="E17" s="20">
        <v>42807</v>
      </c>
      <c r="F17" s="32">
        <v>32599.35</v>
      </c>
      <c r="G17" s="22"/>
      <c r="H17" s="23">
        <v>42807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42808</v>
      </c>
      <c r="C18" s="30">
        <v>30486.18</v>
      </c>
      <c r="D18" s="19" t="s">
        <v>236</v>
      </c>
      <c r="E18" s="20">
        <v>42808</v>
      </c>
      <c r="F18" s="32">
        <v>30715.78</v>
      </c>
      <c r="G18" s="22"/>
      <c r="H18" s="23">
        <v>42808</v>
      </c>
      <c r="I18" s="35">
        <v>229.6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17">
        <v>42809</v>
      </c>
      <c r="C19" s="30">
        <v>31973.41</v>
      </c>
      <c r="D19" s="19" t="s">
        <v>237</v>
      </c>
      <c r="E19" s="20">
        <v>42809</v>
      </c>
      <c r="F19" s="32">
        <v>32073.41</v>
      </c>
      <c r="G19" s="22"/>
      <c r="H19" s="23">
        <v>42809</v>
      </c>
      <c r="I19" s="35">
        <v>100</v>
      </c>
      <c r="J19" s="42"/>
      <c r="K19" s="53" t="s">
        <v>201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42810</v>
      </c>
      <c r="C20" s="30">
        <v>24582</v>
      </c>
      <c r="D20" s="31" t="s">
        <v>238</v>
      </c>
      <c r="E20" s="20">
        <v>42810</v>
      </c>
      <c r="F20" s="32">
        <v>24681.759999999998</v>
      </c>
      <c r="G20" s="22"/>
      <c r="H20" s="23">
        <v>42810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42811</v>
      </c>
      <c r="C21" s="30">
        <v>40436.559999999998</v>
      </c>
      <c r="D21" s="19" t="s">
        <v>239</v>
      </c>
      <c r="E21" s="20">
        <v>42811</v>
      </c>
      <c r="F21" s="32">
        <v>40592.559999999998</v>
      </c>
      <c r="G21" s="22"/>
      <c r="H21" s="23">
        <v>42811</v>
      </c>
      <c r="I21" s="55">
        <v>156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42812</v>
      </c>
      <c r="C22" s="30">
        <v>61790.16</v>
      </c>
      <c r="D22" s="19" t="s">
        <v>240</v>
      </c>
      <c r="E22" s="20">
        <v>42812</v>
      </c>
      <c r="F22" s="32">
        <v>62100.160000000003</v>
      </c>
      <c r="G22" s="22"/>
      <c r="H22" s="23">
        <v>42812</v>
      </c>
      <c r="I22" s="55">
        <v>310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42813</v>
      </c>
      <c r="C23" s="30">
        <v>25925.967000000001</v>
      </c>
      <c r="D23" s="60" t="s">
        <v>243</v>
      </c>
      <c r="E23" s="20">
        <v>42813</v>
      </c>
      <c r="F23" s="32">
        <v>37532.93</v>
      </c>
      <c r="G23" s="22"/>
      <c r="H23" s="23">
        <v>42813</v>
      </c>
      <c r="I23" s="55">
        <v>1056.96</v>
      </c>
      <c r="J23" s="36"/>
      <c r="K23" s="61" t="s">
        <v>219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42814</v>
      </c>
      <c r="C24" s="30">
        <v>27612.71</v>
      </c>
      <c r="D24" s="19" t="s">
        <v>243</v>
      </c>
      <c r="E24" s="20">
        <v>42814</v>
      </c>
      <c r="F24" s="32">
        <v>27712.71</v>
      </c>
      <c r="G24" s="22"/>
      <c r="H24" s="23">
        <v>42814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42815</v>
      </c>
      <c r="C25" s="30">
        <v>42208.160000000003</v>
      </c>
      <c r="D25" s="60" t="s">
        <v>244</v>
      </c>
      <c r="E25" s="20">
        <v>42815</v>
      </c>
      <c r="F25" s="32">
        <v>42346.16</v>
      </c>
      <c r="G25" s="22"/>
      <c r="H25" s="23">
        <v>42815</v>
      </c>
      <c r="I25" s="55">
        <v>138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42816</v>
      </c>
      <c r="C26" s="30">
        <v>26160.48</v>
      </c>
      <c r="D26" s="19" t="s">
        <v>249</v>
      </c>
      <c r="E26" s="20">
        <v>42816</v>
      </c>
      <c r="F26" s="32">
        <v>26260.48</v>
      </c>
      <c r="G26" s="22"/>
      <c r="H26" s="23">
        <v>42816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42817</v>
      </c>
      <c r="C27" s="30">
        <v>18510</v>
      </c>
      <c r="D27" s="19" t="s">
        <v>249</v>
      </c>
      <c r="E27" s="20">
        <v>42817</v>
      </c>
      <c r="F27" s="32">
        <v>18609.75</v>
      </c>
      <c r="G27" s="22"/>
      <c r="H27" s="23">
        <v>42817</v>
      </c>
      <c r="I27" s="55">
        <v>100</v>
      </c>
      <c r="J27" s="36"/>
      <c r="K27" s="199" t="s">
        <v>216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42818</v>
      </c>
      <c r="C28" s="30">
        <v>46566.91</v>
      </c>
      <c r="D28" s="19" t="s">
        <v>249</v>
      </c>
      <c r="E28" s="20">
        <v>42818</v>
      </c>
      <c r="F28" s="32">
        <v>46750.91</v>
      </c>
      <c r="G28" s="22"/>
      <c r="H28" s="23">
        <v>42818</v>
      </c>
      <c r="I28" s="55">
        <v>184</v>
      </c>
      <c r="J28" s="36"/>
      <c r="K28" s="64" t="s">
        <v>242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42819</v>
      </c>
      <c r="C29" s="30">
        <v>61425.52</v>
      </c>
      <c r="D29" s="19" t="s">
        <v>255</v>
      </c>
      <c r="E29" s="20">
        <v>42819</v>
      </c>
      <c r="F29" s="32">
        <v>61645.52</v>
      </c>
      <c r="G29" s="22"/>
      <c r="H29" s="23">
        <v>42819</v>
      </c>
      <c r="I29" s="55">
        <v>220</v>
      </c>
      <c r="J29" s="36"/>
      <c r="K29" s="64" t="s">
        <v>241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42820</v>
      </c>
      <c r="C30" s="30">
        <v>39035.1</v>
      </c>
      <c r="D30" s="19" t="s">
        <v>260</v>
      </c>
      <c r="E30" s="20">
        <v>42820</v>
      </c>
      <c r="F30" s="32">
        <v>51473.51</v>
      </c>
      <c r="G30" s="22"/>
      <c r="H30" s="23">
        <v>42820</v>
      </c>
      <c r="I30" s="55">
        <v>1396.71</v>
      </c>
      <c r="J30" s="63"/>
      <c r="K30" s="64" t="s">
        <v>256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42821</v>
      </c>
      <c r="C31" s="30">
        <v>27026.79</v>
      </c>
      <c r="D31" s="19" t="s">
        <v>261</v>
      </c>
      <c r="E31" s="20">
        <v>42821</v>
      </c>
      <c r="F31" s="32">
        <v>27126.79</v>
      </c>
      <c r="G31" s="22"/>
      <c r="H31" s="23">
        <v>42821</v>
      </c>
      <c r="I31" s="55">
        <v>100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42822</v>
      </c>
      <c r="C32" s="30">
        <v>26992.73</v>
      </c>
      <c r="D32" s="19" t="s">
        <v>261</v>
      </c>
      <c r="E32" s="20">
        <v>42822</v>
      </c>
      <c r="F32" s="32">
        <v>27127.73</v>
      </c>
      <c r="G32" s="22"/>
      <c r="H32" s="23">
        <v>42822</v>
      </c>
      <c r="I32" s="55">
        <v>135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17">
        <v>42823</v>
      </c>
      <c r="C33" s="30">
        <v>30454.3</v>
      </c>
      <c r="D33" s="45" t="s">
        <v>268</v>
      </c>
      <c r="E33" s="20">
        <v>42823</v>
      </c>
      <c r="F33" s="32">
        <v>27907.54</v>
      </c>
      <c r="G33" s="22"/>
      <c r="H33" s="23">
        <v>42823</v>
      </c>
      <c r="I33" s="55">
        <v>667.56</v>
      </c>
      <c r="J33" s="36"/>
      <c r="K33" s="69"/>
      <c r="L33" s="232"/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17">
        <v>42824</v>
      </c>
      <c r="C34" s="30">
        <v>27602.06</v>
      </c>
      <c r="D34" s="19" t="s">
        <v>269</v>
      </c>
      <c r="E34" s="20">
        <v>42824</v>
      </c>
      <c r="F34" s="32">
        <v>28172.31</v>
      </c>
      <c r="G34" s="22"/>
      <c r="H34" s="23">
        <v>42824</v>
      </c>
      <c r="I34" s="55">
        <v>570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42825</v>
      </c>
      <c r="C35" s="30">
        <v>73488.895999999993</v>
      </c>
      <c r="D35" s="45" t="s">
        <v>270</v>
      </c>
      <c r="E35" s="20">
        <v>42825</v>
      </c>
      <c r="F35" s="32">
        <v>73644.86</v>
      </c>
      <c r="G35" s="22"/>
      <c r="H35" s="23">
        <v>42825</v>
      </c>
      <c r="I35" s="55">
        <v>156</v>
      </c>
      <c r="J35" s="36"/>
      <c r="K35" s="270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270"/>
      <c r="L36" s="41"/>
      <c r="M36" s="78">
        <v>0</v>
      </c>
      <c r="N36" s="79">
        <f>SUM(N5:N35)</f>
        <v>3100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1119598.3729999999</v>
      </c>
      <c r="E38" s="217" t="s">
        <v>60</v>
      </c>
      <c r="F38" s="94">
        <f>SUM(F5:F37)</f>
        <v>1154239.5700000003</v>
      </c>
      <c r="H38" s="6" t="s">
        <v>60</v>
      </c>
      <c r="I38" s="4">
        <f>SUM(I5:I37)</f>
        <v>9403.51</v>
      </c>
      <c r="J38" s="4"/>
      <c r="K38" s="95" t="s">
        <v>60</v>
      </c>
      <c r="L38" s="96">
        <f>SUM(L5:L37)</f>
        <v>114714</v>
      </c>
    </row>
    <row r="40" spans="1:17" ht="15.75" x14ac:dyDescent="0.25">
      <c r="A40" s="97"/>
      <c r="B40" s="98"/>
      <c r="C40" s="36"/>
      <c r="D40" s="99"/>
      <c r="E40" s="100"/>
      <c r="F40" s="77"/>
      <c r="H40" s="259" t="s">
        <v>61</v>
      </c>
      <c r="I40" s="260"/>
      <c r="J40" s="216"/>
      <c r="K40" s="261">
        <f>I38+L38</f>
        <v>124117.51</v>
      </c>
      <c r="L40" s="262"/>
    </row>
    <row r="41" spans="1:17" ht="15.75" x14ac:dyDescent="0.25">
      <c r="B41" s="102"/>
      <c r="C41" s="77"/>
      <c r="D41" s="277" t="s">
        <v>62</v>
      </c>
      <c r="E41" s="277"/>
      <c r="F41" s="103">
        <f>F38-K40</f>
        <v>1030122.0600000003</v>
      </c>
      <c r="I41" s="104"/>
      <c r="J41" s="104"/>
    </row>
    <row r="42" spans="1:17" ht="15.75" x14ac:dyDescent="0.25">
      <c r="D42" s="278" t="s">
        <v>63</v>
      </c>
      <c r="E42" s="278"/>
      <c r="F42" s="103">
        <v>-1136514.6499999999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-106392.58999999962</v>
      </c>
      <c r="I44" s="279" t="s">
        <v>66</v>
      </c>
      <c r="J44" s="280"/>
      <c r="K44" s="283">
        <f>F48+L46</f>
        <v>179821.11000000036</v>
      </c>
      <c r="L44" s="284"/>
    </row>
    <row r="45" spans="1:17" ht="15.75" thickBot="1" x14ac:dyDescent="0.3">
      <c r="D45" s="108" t="s">
        <v>67</v>
      </c>
      <c r="E45" s="97" t="s">
        <v>68</v>
      </c>
      <c r="F45" s="4">
        <v>30469.96</v>
      </c>
      <c r="I45" s="281"/>
      <c r="J45" s="282"/>
      <c r="K45" s="285"/>
      <c r="L45" s="286"/>
    </row>
    <row r="46" spans="1:17" ht="17.25" thickTop="1" thickBot="1" x14ac:dyDescent="0.3">
      <c r="C46" s="94"/>
      <c r="D46" s="287" t="s">
        <v>69</v>
      </c>
      <c r="E46" s="287"/>
      <c r="F46" s="109">
        <v>255743.74</v>
      </c>
      <c r="I46" s="288"/>
      <c r="J46" s="288"/>
      <c r="K46" s="289"/>
      <c r="L46" s="110"/>
    </row>
    <row r="47" spans="1:17" ht="19.5" thickBot="1" x14ac:dyDescent="0.35">
      <c r="C47" s="94"/>
      <c r="D47" s="217"/>
      <c r="E47" s="217"/>
      <c r="F47" s="111"/>
      <c r="H47" s="112"/>
      <c r="I47" s="218" t="s">
        <v>277</v>
      </c>
      <c r="J47" s="218"/>
      <c r="K47" s="271">
        <f>-C4</f>
        <v>-229801.74</v>
      </c>
      <c r="L47" s="271"/>
      <c r="M47" s="114"/>
    </row>
    <row r="48" spans="1:17" ht="17.25" thickTop="1" thickBot="1" x14ac:dyDescent="0.3">
      <c r="E48" s="115" t="s">
        <v>71</v>
      </c>
      <c r="F48" s="116">
        <f>F44+F45+F46</f>
        <v>179821.11000000036</v>
      </c>
    </row>
    <row r="49" spans="2:14" ht="19.5" thickBot="1" x14ac:dyDescent="0.35">
      <c r="B49"/>
      <c r="C49"/>
      <c r="D49" s="272"/>
      <c r="E49" s="272"/>
      <c r="F49" s="77"/>
      <c r="I49" s="273" t="s">
        <v>275</v>
      </c>
      <c r="J49" s="274"/>
      <c r="K49" s="275">
        <f>K44+K47</f>
        <v>-49980.629999999626</v>
      </c>
      <c r="L49" s="2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6">
    <mergeCell ref="H40:I40"/>
    <mergeCell ref="K40:L40"/>
    <mergeCell ref="C1:K1"/>
    <mergeCell ref="E4:F4"/>
    <mergeCell ref="I4:L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4"/>
  <sheetViews>
    <sheetView topLeftCell="A13" workbookViewId="0">
      <selection activeCell="E17" sqref="E17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4" customWidth="1"/>
    <col min="11" max="11" width="11.140625" customWidth="1"/>
    <col min="12" max="12" width="13.5703125" customWidth="1"/>
    <col min="15" max="15" width="20.140625" bestFit="1" customWidth="1"/>
    <col min="16" max="16" width="13.140625" bestFit="1" customWidth="1"/>
    <col min="19" max="19" width="13.85546875" bestFit="1" customWidth="1"/>
    <col min="21" max="21" width="15.14062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200</v>
      </c>
      <c r="C1" s="119"/>
      <c r="D1" s="120"/>
      <c r="E1" s="119"/>
      <c r="F1" s="121"/>
      <c r="G1" s="200"/>
      <c r="K1" t="s">
        <v>64</v>
      </c>
      <c r="L1" s="154" t="s">
        <v>106</v>
      </c>
      <c r="M1" s="155"/>
      <c r="N1" s="156"/>
      <c r="O1" s="208">
        <v>42807</v>
      </c>
      <c r="P1" s="158"/>
      <c r="T1" t="s">
        <v>64</v>
      </c>
      <c r="U1" s="154" t="s">
        <v>106</v>
      </c>
      <c r="V1" s="155"/>
      <c r="W1" s="156"/>
      <c r="X1" s="231">
        <v>42824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42795</v>
      </c>
      <c r="B3" s="126" t="s">
        <v>205</v>
      </c>
      <c r="C3" s="36">
        <v>12132.5</v>
      </c>
      <c r="D3" s="133" t="s">
        <v>245</v>
      </c>
      <c r="E3" s="36">
        <f>4594.6+7537.9</f>
        <v>12132.5</v>
      </c>
      <c r="F3" s="128">
        <f t="shared" ref="F3:F27" si="0"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T3" s="163" t="s">
        <v>107</v>
      </c>
      <c r="U3" s="160" t="s">
        <v>108</v>
      </c>
      <c r="V3" s="159"/>
      <c r="W3" s="161" t="s">
        <v>109</v>
      </c>
      <c r="X3" s="160" t="s">
        <v>110</v>
      </c>
      <c r="Y3" s="162"/>
    </row>
    <row r="4" spans="1:25" ht="15.75" x14ac:dyDescent="0.25">
      <c r="A4" s="129">
        <v>42796</v>
      </c>
      <c r="B4" s="126" t="s">
        <v>206</v>
      </c>
      <c r="C4" s="130">
        <v>11609.3</v>
      </c>
      <c r="D4" s="127">
        <v>42817</v>
      </c>
      <c r="E4" s="130">
        <v>11609.3</v>
      </c>
      <c r="F4" s="128">
        <f t="shared" si="0"/>
        <v>0</v>
      </c>
      <c r="G4" s="37"/>
      <c r="J4" s="164">
        <f>20175.21+11187.32+32746+12932.82</f>
        <v>77041.350000000006</v>
      </c>
      <c r="K4" s="126" t="s">
        <v>170</v>
      </c>
      <c r="L4" s="130">
        <v>76392</v>
      </c>
      <c r="M4" s="165" t="s">
        <v>112</v>
      </c>
      <c r="N4" s="166" t="s">
        <v>114</v>
      </c>
      <c r="O4" s="167">
        <v>20175</v>
      </c>
      <c r="P4" s="168">
        <v>42797</v>
      </c>
      <c r="S4" s="164">
        <f>26160+18510+46566.91+40922</f>
        <v>132158.91</v>
      </c>
      <c r="T4" s="126" t="s">
        <v>226</v>
      </c>
      <c r="U4" s="130">
        <v>131511.19</v>
      </c>
      <c r="V4" s="165" t="s">
        <v>112</v>
      </c>
      <c r="W4" s="166" t="s">
        <v>114</v>
      </c>
      <c r="X4" s="167">
        <v>26160</v>
      </c>
      <c r="Y4" s="168">
        <v>42817</v>
      </c>
    </row>
    <row r="5" spans="1:25" ht="15.75" x14ac:dyDescent="0.25">
      <c r="A5" s="129">
        <v>42796</v>
      </c>
      <c r="B5" s="132" t="s">
        <v>207</v>
      </c>
      <c r="C5" s="36">
        <v>30505.200000000001</v>
      </c>
      <c r="D5" s="127">
        <v>42817</v>
      </c>
      <c r="E5" s="36">
        <v>30505.200000000001</v>
      </c>
      <c r="F5" s="128">
        <f t="shared" si="0"/>
        <v>0</v>
      </c>
      <c r="G5" s="201"/>
      <c r="J5" s="164">
        <f>19501.48+3415.12</f>
        <v>22916.6</v>
      </c>
      <c r="K5" s="126" t="s">
        <v>173</v>
      </c>
      <c r="L5" s="130">
        <v>22916.6</v>
      </c>
      <c r="M5" s="165"/>
      <c r="N5" s="166" t="s">
        <v>114</v>
      </c>
      <c r="O5" s="167">
        <v>11187</v>
      </c>
      <c r="P5" s="168">
        <v>42793</v>
      </c>
      <c r="S5" s="164">
        <f>19357.52+9819.36+15419.02</f>
        <v>44595.9</v>
      </c>
      <c r="T5" s="126" t="s">
        <v>227</v>
      </c>
      <c r="U5" s="130">
        <v>44595.9</v>
      </c>
      <c r="V5" s="165"/>
      <c r="W5" s="166" t="s">
        <v>114</v>
      </c>
      <c r="X5" s="167">
        <v>18510</v>
      </c>
      <c r="Y5" s="168">
        <v>42818</v>
      </c>
    </row>
    <row r="6" spans="1:25" ht="15.75" x14ac:dyDescent="0.25">
      <c r="A6" s="134">
        <v>42797</v>
      </c>
      <c r="B6" s="126" t="s">
        <v>208</v>
      </c>
      <c r="C6" s="36">
        <v>51011.92</v>
      </c>
      <c r="D6" s="127">
        <v>42817</v>
      </c>
      <c r="E6" s="36">
        <v>51011.92</v>
      </c>
      <c r="F6" s="128">
        <f t="shared" si="0"/>
        <v>0</v>
      </c>
      <c r="G6" s="176"/>
      <c r="J6" s="140">
        <f>54751.77+24377.55+1700</f>
        <v>80829.319999999992</v>
      </c>
      <c r="K6" s="126" t="s">
        <v>174</v>
      </c>
      <c r="L6" s="130">
        <v>80829.320000000007</v>
      </c>
      <c r="M6" s="165"/>
      <c r="N6" s="166" t="s">
        <v>114</v>
      </c>
      <c r="O6" s="167">
        <v>32746</v>
      </c>
      <c r="P6" s="168">
        <v>42797</v>
      </c>
      <c r="S6" s="140">
        <f>12996.72+27026.79+26992.76</f>
        <v>67016.27</v>
      </c>
      <c r="T6" s="126" t="s">
        <v>228</v>
      </c>
      <c r="U6" s="130">
        <v>67664.61</v>
      </c>
      <c r="V6" s="165" t="s">
        <v>203</v>
      </c>
      <c r="W6" s="166" t="s">
        <v>114</v>
      </c>
      <c r="X6" s="167">
        <v>46567</v>
      </c>
      <c r="Y6" s="168">
        <v>42821</v>
      </c>
    </row>
    <row r="7" spans="1:25" ht="15.75" x14ac:dyDescent="0.25">
      <c r="A7" s="129">
        <v>42797</v>
      </c>
      <c r="B7" s="126" t="s">
        <v>209</v>
      </c>
      <c r="C7" s="130">
        <v>32047.62</v>
      </c>
      <c r="D7" s="127">
        <v>42817</v>
      </c>
      <c r="E7" s="130">
        <v>32047.62</v>
      </c>
      <c r="F7" s="128">
        <f t="shared" si="0"/>
        <v>0</v>
      </c>
      <c r="G7" s="176"/>
      <c r="J7" s="140">
        <f>843.86+26737.82+36333.29+29085.76+9224.75</f>
        <v>102225.48</v>
      </c>
      <c r="K7" s="126" t="s">
        <v>175</v>
      </c>
      <c r="L7" s="130">
        <v>102225.48</v>
      </c>
      <c r="M7" s="165"/>
      <c r="N7" s="166" t="s">
        <v>114</v>
      </c>
      <c r="O7" s="167">
        <v>32434</v>
      </c>
      <c r="P7" s="168">
        <v>42801</v>
      </c>
      <c r="S7" s="140">
        <v>800</v>
      </c>
      <c r="T7" s="126" t="s">
        <v>229</v>
      </c>
      <c r="U7" s="130">
        <v>800.8</v>
      </c>
      <c r="V7" s="165"/>
      <c r="W7" s="166" t="s">
        <v>114</v>
      </c>
      <c r="X7" s="167">
        <v>60279.5</v>
      </c>
      <c r="Y7" s="168">
        <v>42821</v>
      </c>
    </row>
    <row r="8" spans="1:25" ht="15.75" x14ac:dyDescent="0.25">
      <c r="A8" s="129">
        <v>42798</v>
      </c>
      <c r="B8" s="126" t="s">
        <v>210</v>
      </c>
      <c r="C8" s="130">
        <v>20043.2</v>
      </c>
      <c r="D8" s="127">
        <v>42817</v>
      </c>
      <c r="E8" s="130">
        <v>20043.2</v>
      </c>
      <c r="F8" s="128">
        <f t="shared" si="0"/>
        <v>0</v>
      </c>
      <c r="G8" s="176"/>
      <c r="J8" s="140">
        <v>14086.5</v>
      </c>
      <c r="K8" s="126" t="s">
        <v>190</v>
      </c>
      <c r="L8" s="130">
        <v>14086.5</v>
      </c>
      <c r="M8" s="165"/>
      <c r="N8" s="166" t="s">
        <v>114</v>
      </c>
      <c r="O8" s="167">
        <v>58167</v>
      </c>
      <c r="P8" s="168">
        <v>42801</v>
      </c>
      <c r="S8" s="140"/>
      <c r="T8" s="126"/>
      <c r="U8" s="130"/>
      <c r="V8" s="165"/>
      <c r="W8" s="166" t="s">
        <v>114</v>
      </c>
      <c r="X8" s="167">
        <v>29216</v>
      </c>
      <c r="Y8" s="168">
        <v>42821</v>
      </c>
    </row>
    <row r="9" spans="1:25" ht="15.75" x14ac:dyDescent="0.25">
      <c r="A9" s="129">
        <v>42800</v>
      </c>
      <c r="B9" s="126" t="s">
        <v>211</v>
      </c>
      <c r="C9" s="130">
        <v>46218.04</v>
      </c>
      <c r="D9" s="127">
        <v>42817</v>
      </c>
      <c r="E9" s="130">
        <v>46218.04</v>
      </c>
      <c r="F9" s="128">
        <f t="shared" si="0"/>
        <v>0</v>
      </c>
      <c r="G9" s="176"/>
      <c r="J9" s="140">
        <v>3946.25</v>
      </c>
      <c r="K9" s="126" t="s">
        <v>205</v>
      </c>
      <c r="L9" s="36">
        <v>4594.6000000000004</v>
      </c>
      <c r="M9" s="165" t="s">
        <v>126</v>
      </c>
      <c r="N9" s="166" t="s">
        <v>114</v>
      </c>
      <c r="O9" s="167">
        <v>25221.5</v>
      </c>
      <c r="P9" s="168">
        <v>42801</v>
      </c>
      <c r="S9" s="140"/>
      <c r="T9" s="126"/>
      <c r="U9" s="36"/>
      <c r="V9" s="165"/>
      <c r="W9" s="166" t="s">
        <v>114</v>
      </c>
      <c r="X9" s="167">
        <v>9820</v>
      </c>
      <c r="Y9" s="168">
        <v>42817</v>
      </c>
    </row>
    <row r="10" spans="1:25" ht="15.75" x14ac:dyDescent="0.25">
      <c r="A10" s="129">
        <v>42800</v>
      </c>
      <c r="B10" s="126" t="s">
        <v>212</v>
      </c>
      <c r="C10" s="130">
        <v>1339</v>
      </c>
      <c r="D10" s="127">
        <v>42817</v>
      </c>
      <c r="E10" s="130">
        <v>1339</v>
      </c>
      <c r="F10" s="128">
        <f t="shared" si="0"/>
        <v>0</v>
      </c>
      <c r="G10" s="37"/>
      <c r="J10" s="140"/>
      <c r="K10" s="126"/>
      <c r="L10" s="130"/>
      <c r="M10" s="165"/>
      <c r="N10" s="166" t="s">
        <v>114</v>
      </c>
      <c r="O10" s="167">
        <v>28438</v>
      </c>
      <c r="P10" s="168">
        <v>42801</v>
      </c>
      <c r="S10" s="140"/>
      <c r="T10" s="126"/>
      <c r="U10" s="130"/>
      <c r="V10" s="165"/>
      <c r="W10" s="166" t="s">
        <v>114</v>
      </c>
      <c r="X10" s="167">
        <v>27027</v>
      </c>
      <c r="Y10" s="168">
        <v>42822</v>
      </c>
    </row>
    <row r="11" spans="1:25" ht="15.75" x14ac:dyDescent="0.25">
      <c r="A11" s="129">
        <v>42802</v>
      </c>
      <c r="B11" s="126" t="s">
        <v>222</v>
      </c>
      <c r="C11" s="130">
        <v>101899.98</v>
      </c>
      <c r="D11" s="127">
        <v>42817</v>
      </c>
      <c r="E11" s="130">
        <v>101899.98</v>
      </c>
      <c r="F11" s="128">
        <f t="shared" si="0"/>
        <v>0</v>
      </c>
      <c r="J11" s="140"/>
      <c r="K11" s="126"/>
      <c r="L11" s="36"/>
      <c r="M11" s="165"/>
      <c r="N11" s="166" t="s">
        <v>114</v>
      </c>
      <c r="O11" s="167">
        <v>36333</v>
      </c>
      <c r="P11" s="168">
        <v>42802</v>
      </c>
      <c r="S11" s="140"/>
      <c r="T11" s="126"/>
      <c r="U11" s="36"/>
      <c r="V11" s="165"/>
      <c r="W11" s="166" t="s">
        <v>114</v>
      </c>
      <c r="X11" s="167">
        <v>26993</v>
      </c>
      <c r="Y11" s="168">
        <v>42823</v>
      </c>
    </row>
    <row r="12" spans="1:25" ht="15.75" x14ac:dyDescent="0.25">
      <c r="A12" s="129">
        <v>42803</v>
      </c>
      <c r="B12" s="126" t="s">
        <v>223</v>
      </c>
      <c r="C12" s="130">
        <v>30677.4</v>
      </c>
      <c r="D12" s="127">
        <v>42817</v>
      </c>
      <c r="E12" s="130">
        <v>30677.4</v>
      </c>
      <c r="F12" s="128">
        <f t="shared" si="0"/>
        <v>0</v>
      </c>
      <c r="J12" s="140"/>
      <c r="K12" s="126"/>
      <c r="L12" s="130"/>
      <c r="M12" s="183"/>
      <c r="N12" s="184" t="s">
        <v>114</v>
      </c>
      <c r="O12" s="185">
        <v>29086</v>
      </c>
      <c r="P12" s="186">
        <v>42803</v>
      </c>
      <c r="S12" s="140"/>
      <c r="T12" s="126"/>
      <c r="U12" s="130"/>
      <c r="V12" s="183"/>
      <c r="W12" s="184" t="s">
        <v>114</v>
      </c>
      <c r="X12" s="185"/>
      <c r="Y12" s="186"/>
    </row>
    <row r="13" spans="1:25" ht="15.75" x14ac:dyDescent="0.25">
      <c r="A13" s="129">
        <v>42804</v>
      </c>
      <c r="B13" s="126" t="s">
        <v>224</v>
      </c>
      <c r="C13" s="130">
        <v>92913.88</v>
      </c>
      <c r="D13" s="127">
        <v>42817</v>
      </c>
      <c r="E13" s="130">
        <v>92913.88</v>
      </c>
      <c r="F13" s="128">
        <f t="shared" si="0"/>
        <v>0</v>
      </c>
      <c r="K13" s="132"/>
      <c r="L13" s="36"/>
      <c r="M13" s="187"/>
      <c r="N13" s="184" t="s">
        <v>114</v>
      </c>
      <c r="O13" s="188">
        <v>27257</v>
      </c>
      <c r="P13" s="186">
        <v>42804</v>
      </c>
      <c r="T13" s="132"/>
      <c r="U13" s="36"/>
      <c r="V13" s="187"/>
      <c r="W13" s="184" t="s">
        <v>114</v>
      </c>
      <c r="X13" s="188"/>
      <c r="Y13" s="186"/>
    </row>
    <row r="14" spans="1:25" ht="16.5" thickBot="1" x14ac:dyDescent="0.3">
      <c r="A14" s="129">
        <v>42805</v>
      </c>
      <c r="B14" s="126" t="s">
        <v>225</v>
      </c>
      <c r="C14" s="130">
        <v>3555.2</v>
      </c>
      <c r="D14" s="127">
        <v>42817</v>
      </c>
      <c r="E14" s="130">
        <v>3555.2</v>
      </c>
      <c r="F14" s="128">
        <f t="shared" si="0"/>
        <v>0</v>
      </c>
      <c r="J14" s="177">
        <f>SUM(J4:J13)</f>
        <v>301045.5</v>
      </c>
      <c r="K14" s="207"/>
      <c r="L14" s="207"/>
      <c r="M14" s="207"/>
      <c r="N14" s="207"/>
      <c r="O14" s="221">
        <v>0</v>
      </c>
      <c r="P14" s="222"/>
      <c r="S14" s="177">
        <f>SUM(S4:S13)</f>
        <v>244571.08000000002</v>
      </c>
      <c r="T14" s="207"/>
      <c r="U14" s="207"/>
      <c r="V14" s="207"/>
      <c r="W14" s="207"/>
      <c r="X14" s="221">
        <v>0</v>
      </c>
      <c r="Y14" s="222"/>
    </row>
    <row r="15" spans="1:25" ht="17.25" thickTop="1" thickBot="1" x14ac:dyDescent="0.3">
      <c r="A15" s="134">
        <v>42808</v>
      </c>
      <c r="B15" s="126" t="s">
        <v>226</v>
      </c>
      <c r="C15" s="130">
        <v>135881.9</v>
      </c>
      <c r="D15" s="127" t="s">
        <v>262</v>
      </c>
      <c r="E15" s="130">
        <f>4370.71+131511.19</f>
        <v>135881.9</v>
      </c>
      <c r="F15" s="128">
        <f t="shared" si="0"/>
        <v>0</v>
      </c>
      <c r="G15" s="149"/>
      <c r="K15" s="177"/>
      <c r="L15" s="177">
        <f>SUM(L4:L13)</f>
        <v>301044.5</v>
      </c>
      <c r="M15" s="178"/>
      <c r="N15" s="179"/>
      <c r="O15" s="204">
        <f>SUM(O4:O14)</f>
        <v>301044.5</v>
      </c>
      <c r="P15" s="181"/>
      <c r="T15" s="177"/>
      <c r="U15" s="177">
        <f>SUM(U4:U13)</f>
        <v>244572.5</v>
      </c>
      <c r="V15" s="178"/>
      <c r="W15" s="179"/>
      <c r="X15" s="204">
        <f>SUM(X4:X14)</f>
        <v>244572.5</v>
      </c>
      <c r="Y15" s="181"/>
    </row>
    <row r="16" spans="1:25" x14ac:dyDescent="0.25">
      <c r="A16" s="134">
        <v>42810</v>
      </c>
      <c r="B16" s="126" t="s">
        <v>227</v>
      </c>
      <c r="C16" s="130">
        <v>44595.9</v>
      </c>
      <c r="D16" s="127">
        <v>42824</v>
      </c>
      <c r="E16" s="130">
        <v>44595.9</v>
      </c>
      <c r="F16" s="128">
        <f t="shared" si="0"/>
        <v>0</v>
      </c>
      <c r="G16" s="149"/>
    </row>
    <row r="17" spans="1:16" x14ac:dyDescent="0.25">
      <c r="A17" s="134">
        <v>42813</v>
      </c>
      <c r="B17" s="126" t="s">
        <v>228</v>
      </c>
      <c r="C17" s="130">
        <v>106205.4</v>
      </c>
      <c r="D17" s="136" t="s">
        <v>297</v>
      </c>
      <c r="E17" s="137">
        <f>67664.61+38540.79</f>
        <v>106205.4</v>
      </c>
      <c r="F17" s="128">
        <f t="shared" si="0"/>
        <v>0</v>
      </c>
      <c r="G17" s="202"/>
    </row>
    <row r="18" spans="1:16" x14ac:dyDescent="0.25">
      <c r="A18" s="134">
        <v>42813</v>
      </c>
      <c r="B18" s="126" t="s">
        <v>229</v>
      </c>
      <c r="C18" s="130">
        <v>800.8</v>
      </c>
      <c r="D18" s="127">
        <v>42824</v>
      </c>
      <c r="E18" s="130">
        <v>800.8</v>
      </c>
      <c r="F18" s="128">
        <f t="shared" si="0"/>
        <v>0</v>
      </c>
    </row>
    <row r="19" spans="1:16" ht="15.75" thickBot="1" x14ac:dyDescent="0.3">
      <c r="A19" s="134">
        <v>42816</v>
      </c>
      <c r="B19" s="126" t="s">
        <v>246</v>
      </c>
      <c r="C19" s="130">
        <v>129251.8</v>
      </c>
      <c r="D19" s="138">
        <v>42838</v>
      </c>
      <c r="E19" s="137">
        <v>129251.8</v>
      </c>
      <c r="F19" s="128">
        <f t="shared" si="0"/>
        <v>0</v>
      </c>
    </row>
    <row r="20" spans="1:16" ht="19.5" thickBot="1" x14ac:dyDescent="0.35">
      <c r="A20" s="134">
        <v>42818</v>
      </c>
      <c r="B20" s="126" t="s">
        <v>247</v>
      </c>
      <c r="C20" s="130">
        <v>17182.400000000001</v>
      </c>
      <c r="D20" s="138">
        <v>42838</v>
      </c>
      <c r="E20" s="137">
        <v>17182.400000000001</v>
      </c>
      <c r="F20" s="128">
        <f t="shared" si="0"/>
        <v>0</v>
      </c>
      <c r="K20" t="s">
        <v>64</v>
      </c>
      <c r="L20" s="154" t="s">
        <v>106</v>
      </c>
      <c r="M20" s="155"/>
      <c r="N20" s="156"/>
      <c r="O20" s="223">
        <v>42817</v>
      </c>
      <c r="P20" s="158"/>
    </row>
    <row r="21" spans="1:16" ht="15.75" x14ac:dyDescent="0.25">
      <c r="A21" s="134">
        <v>42819</v>
      </c>
      <c r="B21" s="126" t="s">
        <v>250</v>
      </c>
      <c r="C21" s="130">
        <v>30839.119999999999</v>
      </c>
      <c r="D21" s="138">
        <v>42838</v>
      </c>
      <c r="E21" s="137">
        <v>30839.119999999999</v>
      </c>
      <c r="F21" s="128">
        <f t="shared" si="0"/>
        <v>0</v>
      </c>
      <c r="K21" s="159"/>
      <c r="L21" s="160"/>
      <c r="M21" s="159"/>
      <c r="N21" s="161"/>
      <c r="O21" s="160"/>
      <c r="P21" s="162"/>
    </row>
    <row r="22" spans="1:16" ht="15.75" x14ac:dyDescent="0.25">
      <c r="A22" s="134">
        <v>42821</v>
      </c>
      <c r="B22" s="126" t="s">
        <v>251</v>
      </c>
      <c r="C22" s="130">
        <v>87604.800000000003</v>
      </c>
      <c r="D22" s="138">
        <v>42838</v>
      </c>
      <c r="E22" s="137">
        <v>87604.800000000003</v>
      </c>
      <c r="F22" s="128">
        <f t="shared" si="0"/>
        <v>0</v>
      </c>
      <c r="K22" s="163" t="s">
        <v>107</v>
      </c>
      <c r="L22" s="160" t="s">
        <v>108</v>
      </c>
      <c r="M22" s="159"/>
      <c r="N22" s="161" t="s">
        <v>109</v>
      </c>
      <c r="O22" s="160" t="s">
        <v>110</v>
      </c>
      <c r="P22" s="162"/>
    </row>
    <row r="23" spans="1:16" ht="15.75" x14ac:dyDescent="0.25">
      <c r="A23" s="134">
        <v>42822</v>
      </c>
      <c r="B23" s="126" t="s">
        <v>252</v>
      </c>
      <c r="C23" s="130">
        <v>31892</v>
      </c>
      <c r="D23" s="138">
        <v>42838</v>
      </c>
      <c r="E23" s="137">
        <v>31892</v>
      </c>
      <c r="F23" s="128">
        <f t="shared" si="0"/>
        <v>0</v>
      </c>
      <c r="J23" s="164">
        <v>8186.25</v>
      </c>
      <c r="K23" s="126" t="s">
        <v>205</v>
      </c>
      <c r="L23" s="36">
        <v>7537.9</v>
      </c>
      <c r="M23" s="165" t="s">
        <v>112</v>
      </c>
      <c r="N23" s="166" t="s">
        <v>114</v>
      </c>
      <c r="O23" s="167">
        <v>36297</v>
      </c>
      <c r="P23" s="168">
        <v>42807</v>
      </c>
    </row>
    <row r="24" spans="1:16" ht="15.75" x14ac:dyDescent="0.25">
      <c r="A24" s="129">
        <v>42824</v>
      </c>
      <c r="B24" s="126" t="s">
        <v>253</v>
      </c>
      <c r="C24" s="130">
        <v>95225.69</v>
      </c>
      <c r="D24" s="138">
        <v>42838</v>
      </c>
      <c r="E24" s="137">
        <v>95225.69</v>
      </c>
      <c r="F24" s="128">
        <f t="shared" si="0"/>
        <v>0</v>
      </c>
      <c r="J24" s="164">
        <v>11609.3</v>
      </c>
      <c r="K24" s="126" t="s">
        <v>206</v>
      </c>
      <c r="L24" s="130">
        <v>11609.3</v>
      </c>
      <c r="M24" s="165"/>
      <c r="N24" s="166" t="s">
        <v>114</v>
      </c>
      <c r="O24" s="167">
        <v>3080</v>
      </c>
      <c r="P24" s="168">
        <v>42803</v>
      </c>
    </row>
    <row r="25" spans="1:16" ht="15.75" x14ac:dyDescent="0.25">
      <c r="A25" s="129">
        <v>42824</v>
      </c>
      <c r="B25" s="126" t="s">
        <v>254</v>
      </c>
      <c r="C25" s="130">
        <v>8247.4</v>
      </c>
      <c r="D25" s="138">
        <v>42838</v>
      </c>
      <c r="E25" s="137">
        <v>8247.4</v>
      </c>
      <c r="F25" s="128">
        <f t="shared" si="0"/>
        <v>0</v>
      </c>
      <c r="J25" s="140">
        <f>16501.68+3080.32+7595.68+3327.52</f>
        <v>30505.200000000001</v>
      </c>
      <c r="K25" s="132" t="s">
        <v>207</v>
      </c>
      <c r="L25" s="36">
        <v>30505.200000000001</v>
      </c>
      <c r="M25" s="165"/>
      <c r="N25" s="166" t="s">
        <v>114</v>
      </c>
      <c r="O25" s="167">
        <v>7596</v>
      </c>
      <c r="P25" s="168">
        <v>42801</v>
      </c>
    </row>
    <row r="26" spans="1:16" ht="15.75" x14ac:dyDescent="0.25">
      <c r="A26" s="129">
        <v>42825</v>
      </c>
      <c r="B26" s="126" t="s">
        <v>263</v>
      </c>
      <c r="C26" s="130">
        <v>4087.2</v>
      </c>
      <c r="D26" s="138">
        <v>42838</v>
      </c>
      <c r="E26" s="137">
        <v>4087.2</v>
      </c>
      <c r="F26" s="128">
        <f t="shared" si="0"/>
        <v>0</v>
      </c>
      <c r="J26" s="140">
        <f>23049.72+14159.52+13802.68</f>
        <v>51011.920000000006</v>
      </c>
      <c r="K26" s="126" t="s">
        <v>208</v>
      </c>
      <c r="L26" s="36">
        <v>51011.92</v>
      </c>
      <c r="M26" s="165"/>
      <c r="N26" s="166" t="s">
        <v>114</v>
      </c>
      <c r="O26" s="167">
        <v>7477</v>
      </c>
      <c r="P26" s="168">
        <v>42800</v>
      </c>
    </row>
    <row r="27" spans="1:16" ht="15.75" x14ac:dyDescent="0.25">
      <c r="A27" s="129"/>
      <c r="B27" s="126"/>
      <c r="C27" s="130"/>
      <c r="D27" s="127"/>
      <c r="E27" s="130"/>
      <c r="F27" s="128">
        <f t="shared" si="0"/>
        <v>0</v>
      </c>
      <c r="J27" s="140">
        <f>7476.85+24570.77</f>
        <v>32047.620000000003</v>
      </c>
      <c r="K27" s="126" t="s">
        <v>209</v>
      </c>
      <c r="L27" s="130">
        <v>32047.62</v>
      </c>
      <c r="M27" s="165"/>
      <c r="N27" s="166" t="s">
        <v>114</v>
      </c>
      <c r="O27" s="167">
        <v>50948.35</v>
      </c>
      <c r="P27" s="168">
        <v>42807</v>
      </c>
    </row>
    <row r="28" spans="1:16" ht="15.75" x14ac:dyDescent="0.25">
      <c r="A28" s="129"/>
      <c r="B28" s="126"/>
      <c r="C28" s="130"/>
      <c r="D28" s="127"/>
      <c r="F28" s="128">
        <f t="shared" ref="F28:F30" si="1">C28-E28</f>
        <v>0</v>
      </c>
      <c r="J28" s="140">
        <f>18696.67+1346.53</f>
        <v>20043.199999999997</v>
      </c>
      <c r="K28" s="126" t="s">
        <v>210</v>
      </c>
      <c r="L28" s="130">
        <v>20043.2</v>
      </c>
      <c r="M28" s="165"/>
      <c r="N28" s="166" t="s">
        <v>114</v>
      </c>
      <c r="O28" s="167">
        <v>14159.5</v>
      </c>
      <c r="P28" s="168">
        <v>42807</v>
      </c>
    </row>
    <row r="29" spans="1:16" ht="15.75" x14ac:dyDescent="0.25">
      <c r="A29" s="129"/>
      <c r="B29" s="126"/>
      <c r="C29" s="130"/>
      <c r="D29" s="127"/>
      <c r="F29" s="128">
        <f t="shared" si="1"/>
        <v>0</v>
      </c>
      <c r="J29" s="140">
        <f>24032.45+3768.2+18417.39</f>
        <v>46218.04</v>
      </c>
      <c r="K29" s="126" t="s">
        <v>211</v>
      </c>
      <c r="L29" s="130">
        <v>46218.04</v>
      </c>
      <c r="M29" s="165"/>
      <c r="N29" s="166" t="s">
        <v>114</v>
      </c>
      <c r="O29" s="167">
        <v>32500</v>
      </c>
      <c r="P29" s="168">
        <v>42808</v>
      </c>
    </row>
    <row r="30" spans="1:16" ht="16.5" thickBot="1" x14ac:dyDescent="0.3">
      <c r="A30" s="142"/>
      <c r="B30" s="143"/>
      <c r="C30" s="144"/>
      <c r="D30" s="145"/>
      <c r="E30" s="146"/>
      <c r="F30" s="147">
        <f t="shared" si="1"/>
        <v>0</v>
      </c>
      <c r="J30" s="140">
        <v>1339</v>
      </c>
      <c r="K30" s="126" t="s">
        <v>212</v>
      </c>
      <c r="L30" s="130">
        <v>1339</v>
      </c>
      <c r="M30" s="165"/>
      <c r="N30" s="166" t="s">
        <v>114</v>
      </c>
      <c r="O30" s="167">
        <v>26717.5</v>
      </c>
      <c r="P30" s="168">
        <v>42809</v>
      </c>
    </row>
    <row r="31" spans="1:16" ht="16.5" thickTop="1" x14ac:dyDescent="0.25">
      <c r="B31" s="44"/>
      <c r="C31" s="130">
        <f>SUM(C3:C30)</f>
        <v>1125767.6500000001</v>
      </c>
      <c r="D31" s="148"/>
      <c r="E31" s="140">
        <f>SUM(E3:E30)</f>
        <v>1125767.6500000001</v>
      </c>
      <c r="F31" s="130">
        <f>SUM(F3:F30)</f>
        <v>0</v>
      </c>
      <c r="J31" s="140">
        <f>12674.02+24582+39291.56+25352.346</f>
        <v>101899.92600000001</v>
      </c>
      <c r="K31" s="126" t="s">
        <v>222</v>
      </c>
      <c r="L31" s="130">
        <v>101899.98</v>
      </c>
      <c r="M31" s="183"/>
      <c r="N31" s="184" t="s">
        <v>114</v>
      </c>
      <c r="O31" s="185">
        <v>3768</v>
      </c>
      <c r="P31" s="186">
        <v>42807</v>
      </c>
    </row>
    <row r="32" spans="1:16" ht="15.75" x14ac:dyDescent="0.25">
      <c r="A32"/>
      <c r="B32" s="16"/>
      <c r="C32" s="151"/>
      <c r="D32"/>
      <c r="E32"/>
      <c r="F32"/>
      <c r="G32"/>
      <c r="J32" s="151">
        <v>30677.4</v>
      </c>
      <c r="K32" s="126" t="s">
        <v>223</v>
      </c>
      <c r="L32" s="130">
        <v>30677.4</v>
      </c>
      <c r="M32" s="224"/>
      <c r="N32" s="184" t="s">
        <v>114</v>
      </c>
      <c r="O32" s="225">
        <v>31091</v>
      </c>
      <c r="P32" s="186">
        <v>42810</v>
      </c>
    </row>
    <row r="33" spans="1:16" ht="15.75" x14ac:dyDescent="0.25">
      <c r="A33"/>
      <c r="B33" s="16"/>
      <c r="C33" s="151"/>
      <c r="D33"/>
      <c r="E33"/>
      <c r="F33"/>
      <c r="G33"/>
      <c r="J33" s="151">
        <f>5240.3+25925.97+27612.71+7972.87+26162.03</f>
        <v>92913.87999999999</v>
      </c>
      <c r="K33" s="126" t="s">
        <v>224</v>
      </c>
      <c r="L33" s="130">
        <v>92913.88</v>
      </c>
      <c r="M33" s="187"/>
      <c r="N33" s="184" t="s">
        <v>114</v>
      </c>
      <c r="O33" s="226">
        <v>24582</v>
      </c>
      <c r="P33" s="186">
        <v>42811</v>
      </c>
    </row>
    <row r="34" spans="1:16" ht="15.75" x14ac:dyDescent="0.25">
      <c r="A34"/>
      <c r="B34" s="149"/>
      <c r="D34" s="149"/>
      <c r="J34" s="151">
        <v>3555.32</v>
      </c>
      <c r="K34" s="126" t="s">
        <v>225</v>
      </c>
      <c r="L34" s="130">
        <v>3555.2</v>
      </c>
      <c r="M34" s="187"/>
      <c r="N34" s="184" t="s">
        <v>114</v>
      </c>
      <c r="O34" s="226">
        <v>39291.5</v>
      </c>
      <c r="P34" s="186">
        <v>42815</v>
      </c>
    </row>
    <row r="35" spans="1:16" ht="15.75" x14ac:dyDescent="0.25">
      <c r="A35"/>
      <c r="B35" s="149"/>
      <c r="D35" s="149"/>
      <c r="J35" s="151">
        <f>3723.06</f>
        <v>3723.06</v>
      </c>
      <c r="K35" s="126" t="s">
        <v>226</v>
      </c>
      <c r="L35" s="130">
        <v>4370.71</v>
      </c>
      <c r="M35" s="227" t="s">
        <v>203</v>
      </c>
      <c r="N35" s="184" t="s">
        <v>114</v>
      </c>
      <c r="O35" s="226">
        <v>61269.5</v>
      </c>
      <c r="P35" s="186">
        <v>42815</v>
      </c>
    </row>
    <row r="36" spans="1:16" ht="15.75" x14ac:dyDescent="0.25">
      <c r="A36"/>
      <c r="B36" s="149"/>
      <c r="D36" s="149"/>
      <c r="J36" s="151"/>
      <c r="K36" s="187"/>
      <c r="L36" s="187"/>
      <c r="M36" s="187"/>
      <c r="N36" s="184" t="s">
        <v>114</v>
      </c>
      <c r="O36" s="226">
        <v>25926</v>
      </c>
      <c r="P36" s="186">
        <v>42815</v>
      </c>
    </row>
    <row r="37" spans="1:16" ht="15.75" x14ac:dyDescent="0.25">
      <c r="A37"/>
      <c r="B37" s="149"/>
      <c r="D37" s="149"/>
      <c r="J37" s="151"/>
      <c r="K37" s="187"/>
      <c r="L37" s="187"/>
      <c r="M37" s="187"/>
      <c r="N37" s="184" t="s">
        <v>114</v>
      </c>
      <c r="O37" s="226">
        <v>27613</v>
      </c>
      <c r="P37" s="186">
        <v>42815</v>
      </c>
    </row>
    <row r="38" spans="1:16" ht="15.75" x14ac:dyDescent="0.25">
      <c r="A38"/>
      <c r="B38" s="149"/>
      <c r="D38" s="149"/>
      <c r="J38" s="151"/>
      <c r="K38" s="187"/>
      <c r="L38" s="187"/>
      <c r="M38" s="187"/>
      <c r="N38" s="184" t="s">
        <v>114</v>
      </c>
      <c r="O38" s="226">
        <v>33440</v>
      </c>
      <c r="P38" s="186">
        <v>42816</v>
      </c>
    </row>
    <row r="39" spans="1:16" ht="15.75" x14ac:dyDescent="0.25">
      <c r="A39"/>
      <c r="B39" s="149"/>
      <c r="D39" s="149"/>
      <c r="J39" s="151"/>
      <c r="K39" s="187"/>
      <c r="L39" s="187"/>
      <c r="M39" s="187"/>
      <c r="N39" s="184">
        <v>3461809</v>
      </c>
      <c r="O39" s="226">
        <v>7973</v>
      </c>
      <c r="P39" s="186">
        <v>42812</v>
      </c>
    </row>
    <row r="40" spans="1:16" ht="16.5" thickBot="1" x14ac:dyDescent="0.3">
      <c r="A40"/>
      <c r="B40" s="149"/>
      <c r="D40" s="149"/>
      <c r="J40" s="177">
        <f>SUM(J23:J39)</f>
        <v>433730.11600000004</v>
      </c>
      <c r="K40" s="207"/>
      <c r="L40" s="207"/>
      <c r="M40" s="207"/>
      <c r="N40" s="184" t="s">
        <v>114</v>
      </c>
      <c r="O40" s="221">
        <v>0</v>
      </c>
      <c r="P40" s="222"/>
    </row>
    <row r="41" spans="1:16" ht="17.25" thickTop="1" thickBot="1" x14ac:dyDescent="0.3">
      <c r="A41"/>
      <c r="B41" s="149"/>
      <c r="D41" s="149"/>
      <c r="K41" s="177"/>
      <c r="L41" s="177">
        <f>SUM(L23:L39)</f>
        <v>433729.35000000009</v>
      </c>
      <c r="M41" s="178"/>
      <c r="N41" s="179"/>
      <c r="O41" s="204">
        <f>SUM(O23:O40)</f>
        <v>433729.35</v>
      </c>
      <c r="P41" s="181"/>
    </row>
    <row r="42" spans="1:16" x14ac:dyDescent="0.25">
      <c r="A42"/>
      <c r="B42" s="149"/>
      <c r="D42" s="149"/>
      <c r="F42"/>
      <c r="G42"/>
    </row>
    <row r="43" spans="1:16" x14ac:dyDescent="0.25">
      <c r="A43"/>
      <c r="B43" s="149">
        <v>42795</v>
      </c>
      <c r="C43" s="140">
        <v>1375</v>
      </c>
      <c r="D43" s="149" t="s">
        <v>271</v>
      </c>
      <c r="F43"/>
      <c r="G43"/>
    </row>
    <row r="44" spans="1:16" x14ac:dyDescent="0.25">
      <c r="A44"/>
      <c r="B44" s="149">
        <v>42796</v>
      </c>
      <c r="C44" s="140">
        <v>590</v>
      </c>
      <c r="D44" s="149" t="s">
        <v>100</v>
      </c>
      <c r="F44"/>
      <c r="G44"/>
    </row>
    <row r="45" spans="1:16" x14ac:dyDescent="0.25">
      <c r="A45"/>
      <c r="B45" s="149">
        <v>42797</v>
      </c>
      <c r="C45" s="140">
        <v>0</v>
      </c>
      <c r="D45" s="149"/>
      <c r="F45"/>
      <c r="G45"/>
    </row>
    <row r="46" spans="1:16" x14ac:dyDescent="0.25">
      <c r="A46"/>
      <c r="B46" s="149">
        <v>42798</v>
      </c>
      <c r="C46" s="140">
        <v>1070</v>
      </c>
      <c r="D46" s="149" t="s">
        <v>272</v>
      </c>
      <c r="F46"/>
      <c r="G46"/>
    </row>
    <row r="47" spans="1:16" x14ac:dyDescent="0.25">
      <c r="A47"/>
      <c r="B47" s="149">
        <v>42799</v>
      </c>
      <c r="C47" s="140">
        <v>0</v>
      </c>
      <c r="D47" s="149"/>
      <c r="F47"/>
      <c r="G47"/>
    </row>
    <row r="48" spans="1:16" x14ac:dyDescent="0.25">
      <c r="A48"/>
      <c r="B48" s="149">
        <v>42800</v>
      </c>
      <c r="C48" s="140">
        <v>0</v>
      </c>
      <c r="D48" s="149"/>
      <c r="F48"/>
      <c r="G48"/>
    </row>
    <row r="49" spans="1:7" x14ac:dyDescent="0.25">
      <c r="A49"/>
      <c r="B49" s="149">
        <v>42801</v>
      </c>
      <c r="C49" s="140">
        <v>392</v>
      </c>
      <c r="D49" s="149" t="s">
        <v>105</v>
      </c>
      <c r="F49"/>
      <c r="G49"/>
    </row>
    <row r="50" spans="1:7" x14ac:dyDescent="0.25">
      <c r="A50"/>
      <c r="B50" s="149">
        <v>42802</v>
      </c>
      <c r="C50" s="140">
        <v>0</v>
      </c>
      <c r="D50" s="149"/>
      <c r="F50"/>
      <c r="G50"/>
    </row>
    <row r="51" spans="1:7" x14ac:dyDescent="0.25">
      <c r="A51"/>
      <c r="B51" s="149">
        <v>42803</v>
      </c>
      <c r="C51" s="140">
        <v>791</v>
      </c>
      <c r="D51" s="149" t="s">
        <v>100</v>
      </c>
      <c r="E51"/>
      <c r="F51"/>
      <c r="G51"/>
    </row>
    <row r="52" spans="1:7" x14ac:dyDescent="0.25">
      <c r="A52"/>
      <c r="B52" s="149">
        <v>42804</v>
      </c>
      <c r="C52" s="140">
        <v>0</v>
      </c>
      <c r="D52"/>
      <c r="E52"/>
      <c r="F52"/>
      <c r="G52"/>
    </row>
    <row r="53" spans="1:7" x14ac:dyDescent="0.25">
      <c r="A53"/>
      <c r="B53" s="149">
        <v>42805</v>
      </c>
      <c r="C53" s="140">
        <v>0</v>
      </c>
      <c r="D53"/>
      <c r="E53"/>
      <c r="F53"/>
      <c r="G53"/>
    </row>
    <row r="54" spans="1:7" x14ac:dyDescent="0.25">
      <c r="A54"/>
      <c r="B54" s="149">
        <v>42806</v>
      </c>
      <c r="C54" s="140">
        <v>0</v>
      </c>
      <c r="D54"/>
      <c r="E54"/>
      <c r="F54"/>
      <c r="G54"/>
    </row>
    <row r="55" spans="1:7" x14ac:dyDescent="0.25">
      <c r="A55"/>
      <c r="B55" s="149">
        <v>42807</v>
      </c>
      <c r="C55" s="140">
        <v>0</v>
      </c>
      <c r="D55"/>
      <c r="E55"/>
      <c r="F55"/>
      <c r="G55"/>
    </row>
    <row r="56" spans="1:7" x14ac:dyDescent="0.25">
      <c r="A56"/>
      <c r="B56" s="149">
        <v>42808</v>
      </c>
      <c r="C56" s="140">
        <v>0</v>
      </c>
      <c r="D56"/>
      <c r="E56"/>
      <c r="F56"/>
      <c r="G56"/>
    </row>
    <row r="57" spans="1:7" x14ac:dyDescent="0.25">
      <c r="B57" s="149">
        <v>42809</v>
      </c>
      <c r="C57" s="140">
        <v>882</v>
      </c>
      <c r="D57" t="s">
        <v>100</v>
      </c>
      <c r="E57"/>
    </row>
    <row r="58" spans="1:7" x14ac:dyDescent="0.25">
      <c r="B58" s="149">
        <v>42810</v>
      </c>
      <c r="C58" s="140">
        <v>0</v>
      </c>
      <c r="D58"/>
      <c r="E58"/>
    </row>
    <row r="59" spans="1:7" x14ac:dyDescent="0.25">
      <c r="B59" s="149">
        <v>42811</v>
      </c>
      <c r="C59" s="140">
        <v>1145</v>
      </c>
      <c r="D59" t="s">
        <v>101</v>
      </c>
      <c r="E59"/>
    </row>
    <row r="60" spans="1:7" x14ac:dyDescent="0.25">
      <c r="B60" s="149">
        <v>42812</v>
      </c>
      <c r="C60" s="140">
        <v>520</v>
      </c>
      <c r="D60" t="s">
        <v>273</v>
      </c>
      <c r="E60"/>
    </row>
    <row r="61" spans="1:7" x14ac:dyDescent="0.25">
      <c r="B61" s="149">
        <v>42813</v>
      </c>
      <c r="C61" s="140">
        <v>0</v>
      </c>
      <c r="D61"/>
      <c r="E61"/>
    </row>
    <row r="62" spans="1:7" x14ac:dyDescent="0.25">
      <c r="B62" s="149">
        <v>42814</v>
      </c>
      <c r="C62" s="140">
        <v>0</v>
      </c>
      <c r="D62"/>
      <c r="E62"/>
    </row>
    <row r="63" spans="1:7" x14ac:dyDescent="0.25">
      <c r="B63" s="149">
        <v>42815</v>
      </c>
      <c r="C63" s="140">
        <v>795</v>
      </c>
      <c r="D63" t="s">
        <v>100</v>
      </c>
      <c r="E63"/>
    </row>
    <row r="64" spans="1:7" x14ac:dyDescent="0.25">
      <c r="B64" s="149">
        <v>42816</v>
      </c>
      <c r="C64" s="140">
        <v>0</v>
      </c>
      <c r="D64"/>
      <c r="E64"/>
    </row>
    <row r="65" spans="2:5" x14ac:dyDescent="0.25">
      <c r="B65" s="149">
        <v>42817</v>
      </c>
      <c r="C65" s="164">
        <v>0</v>
      </c>
      <c r="D65"/>
      <c r="E65"/>
    </row>
    <row r="66" spans="2:5" x14ac:dyDescent="0.25">
      <c r="B66" s="149">
        <v>42818</v>
      </c>
      <c r="C66" s="140">
        <v>0</v>
      </c>
    </row>
    <row r="67" spans="2:5" x14ac:dyDescent="0.25">
      <c r="B67" s="149">
        <v>42819</v>
      </c>
      <c r="C67" s="140">
        <v>1146</v>
      </c>
      <c r="D67" s="22" t="s">
        <v>274</v>
      </c>
    </row>
    <row r="68" spans="2:5" x14ac:dyDescent="0.25">
      <c r="B68" s="149">
        <v>42820</v>
      </c>
      <c r="C68" s="140">
        <v>0</v>
      </c>
      <c r="D68" s="22" t="s">
        <v>64</v>
      </c>
    </row>
    <row r="69" spans="2:5" x14ac:dyDescent="0.25">
      <c r="B69" s="149">
        <v>42821</v>
      </c>
      <c r="C69" s="140">
        <v>0</v>
      </c>
    </row>
    <row r="70" spans="2:5" x14ac:dyDescent="0.25">
      <c r="B70" s="149">
        <v>42822</v>
      </c>
      <c r="C70" s="140">
        <v>0</v>
      </c>
    </row>
    <row r="71" spans="2:5" x14ac:dyDescent="0.25">
      <c r="B71" s="149">
        <v>42823</v>
      </c>
      <c r="C71" s="140">
        <v>1139</v>
      </c>
      <c r="D71" s="22" t="s">
        <v>101</v>
      </c>
    </row>
    <row r="72" spans="2:5" x14ac:dyDescent="0.25">
      <c r="B72" s="149">
        <v>42824</v>
      </c>
      <c r="C72" s="140">
        <v>0</v>
      </c>
    </row>
    <row r="73" spans="2:5" x14ac:dyDescent="0.25">
      <c r="B73" s="149">
        <v>42825</v>
      </c>
      <c r="C73" s="140">
        <v>902</v>
      </c>
      <c r="D73" s="22" t="s">
        <v>100</v>
      </c>
    </row>
    <row r="74" spans="2:5" ht="18.75" x14ac:dyDescent="0.3">
      <c r="C74" s="215">
        <f>SUM(C43:C73)</f>
        <v>10747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A19" workbookViewId="0">
      <selection activeCell="D33" sqref="D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63" t="s">
        <v>265</v>
      </c>
      <c r="D1" s="263"/>
      <c r="E1" s="263"/>
      <c r="F1" s="263"/>
      <c r="G1" s="263"/>
      <c r="H1" s="263"/>
      <c r="I1" s="263"/>
      <c r="J1" s="263"/>
      <c r="K1" s="263"/>
      <c r="L1" s="2" t="s">
        <v>1</v>
      </c>
    </row>
    <row r="2" spans="1:19" ht="15.75" thickBot="1" x14ac:dyDescent="0.3">
      <c r="C2" s="151" t="s">
        <v>128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255743.74</v>
      </c>
      <c r="D4" s="13"/>
      <c r="E4" s="264" t="s">
        <v>4</v>
      </c>
      <c r="F4" s="265"/>
      <c r="I4" s="266" t="s">
        <v>5</v>
      </c>
      <c r="J4" s="267"/>
      <c r="K4" s="267"/>
      <c r="L4" s="267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42826</v>
      </c>
      <c r="C5" s="30">
        <v>37246.19</v>
      </c>
      <c r="D5" s="238" t="s">
        <v>278</v>
      </c>
      <c r="E5" s="20">
        <v>42826</v>
      </c>
      <c r="F5" s="32">
        <v>50718.19</v>
      </c>
      <c r="G5" s="22"/>
      <c r="H5" s="23">
        <v>42826</v>
      </c>
      <c r="I5" s="194">
        <v>500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42827</v>
      </c>
      <c r="C6" s="30">
        <v>36201.269999999997</v>
      </c>
      <c r="D6" s="239" t="s">
        <v>298</v>
      </c>
      <c r="E6" s="20">
        <v>42827</v>
      </c>
      <c r="F6" s="32">
        <v>42075.85</v>
      </c>
      <c r="G6" s="33"/>
      <c r="H6" s="23">
        <v>42827</v>
      </c>
      <c r="I6" s="35">
        <v>400</v>
      </c>
      <c r="J6" s="36"/>
      <c r="K6" s="37" t="s">
        <v>9</v>
      </c>
      <c r="L6" s="38">
        <v>0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42828</v>
      </c>
      <c r="C7" s="30">
        <v>22423.5</v>
      </c>
      <c r="D7" s="238" t="s">
        <v>299</v>
      </c>
      <c r="E7" s="20">
        <v>42828</v>
      </c>
      <c r="F7" s="32">
        <v>22012.45</v>
      </c>
      <c r="G7" s="22"/>
      <c r="H7" s="23">
        <v>42828</v>
      </c>
      <c r="I7" s="35">
        <v>100</v>
      </c>
      <c r="J7" s="36"/>
      <c r="K7" s="40" t="s">
        <v>132</v>
      </c>
      <c r="L7" s="38">
        <v>13172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42829</v>
      </c>
      <c r="C8" s="30">
        <v>19216</v>
      </c>
      <c r="D8" s="238" t="s">
        <v>300</v>
      </c>
      <c r="E8" s="20">
        <v>42829</v>
      </c>
      <c r="F8" s="32">
        <v>20061.03</v>
      </c>
      <c r="G8" s="22"/>
      <c r="H8" s="23">
        <v>42829</v>
      </c>
      <c r="I8" s="35">
        <v>844.95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42830</v>
      </c>
      <c r="C9" s="30">
        <v>48061.89</v>
      </c>
      <c r="D9" s="238" t="s">
        <v>301</v>
      </c>
      <c r="E9" s="20">
        <v>42830</v>
      </c>
      <c r="F9" s="32">
        <v>34435.54</v>
      </c>
      <c r="G9" s="22"/>
      <c r="H9" s="23">
        <v>42830</v>
      </c>
      <c r="I9" s="35">
        <v>100</v>
      </c>
      <c r="J9" s="42" t="s">
        <v>308</v>
      </c>
      <c r="K9" s="37" t="s">
        <v>284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42831</v>
      </c>
      <c r="C10" s="30">
        <v>27877</v>
      </c>
      <c r="D10" s="239" t="s">
        <v>302</v>
      </c>
      <c r="E10" s="20">
        <v>42831</v>
      </c>
      <c r="F10" s="32">
        <v>27976.73</v>
      </c>
      <c r="G10" s="22"/>
      <c r="H10" s="23">
        <v>42831</v>
      </c>
      <c r="I10" s="35">
        <v>100</v>
      </c>
      <c r="J10" s="42" t="s">
        <v>309</v>
      </c>
      <c r="K10" s="37" t="s">
        <v>285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42832</v>
      </c>
      <c r="C11" s="30">
        <v>34059.370000000003</v>
      </c>
      <c r="D11" s="240" t="s">
        <v>303</v>
      </c>
      <c r="E11" s="20">
        <v>42832</v>
      </c>
      <c r="F11" s="32">
        <v>34781.370000000003</v>
      </c>
      <c r="G11" s="22"/>
      <c r="H11" s="23">
        <v>42832</v>
      </c>
      <c r="I11" s="35">
        <v>722</v>
      </c>
      <c r="J11" s="42" t="s">
        <v>328</v>
      </c>
      <c r="K11" s="37" t="s">
        <v>286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42833</v>
      </c>
      <c r="C12" s="30">
        <v>50608.5</v>
      </c>
      <c r="D12" s="238" t="s">
        <v>304</v>
      </c>
      <c r="E12" s="20">
        <v>42833</v>
      </c>
      <c r="F12" s="32">
        <v>50708.5</v>
      </c>
      <c r="G12" s="22"/>
      <c r="H12" s="23">
        <v>42833</v>
      </c>
      <c r="I12" s="35">
        <v>100</v>
      </c>
      <c r="J12" s="42" t="s">
        <v>336</v>
      </c>
      <c r="K12" s="37" t="s">
        <v>287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42834</v>
      </c>
      <c r="C13" s="30">
        <v>40122.92</v>
      </c>
      <c r="D13" s="240" t="s">
        <v>310</v>
      </c>
      <c r="E13" s="20">
        <v>42834</v>
      </c>
      <c r="F13" s="32">
        <v>43480.78</v>
      </c>
      <c r="G13" s="22"/>
      <c r="H13" s="23">
        <v>42834</v>
      </c>
      <c r="I13" s="35">
        <v>400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42835</v>
      </c>
      <c r="C14" s="30">
        <v>24963.69</v>
      </c>
      <c r="D14" s="238" t="s">
        <v>311</v>
      </c>
      <c r="E14" s="20">
        <v>42835</v>
      </c>
      <c r="F14" s="32">
        <v>23488.07</v>
      </c>
      <c r="G14" s="22"/>
      <c r="H14" s="23">
        <v>42835</v>
      </c>
      <c r="I14" s="35">
        <v>100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42836</v>
      </c>
      <c r="C15" s="30">
        <v>31416.87</v>
      </c>
      <c r="D15" s="238" t="s">
        <v>312</v>
      </c>
      <c r="E15" s="20">
        <v>42836</v>
      </c>
      <c r="F15" s="32">
        <v>32968.19</v>
      </c>
      <c r="G15" s="22"/>
      <c r="H15" s="23">
        <v>42836</v>
      </c>
      <c r="I15" s="35">
        <v>681.22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42837</v>
      </c>
      <c r="C16" s="30">
        <v>33777.269999999997</v>
      </c>
      <c r="D16" s="238" t="s">
        <v>322</v>
      </c>
      <c r="E16" s="20">
        <v>42837</v>
      </c>
      <c r="F16" s="32">
        <v>33997.33</v>
      </c>
      <c r="G16" s="22"/>
      <c r="H16" s="23">
        <v>42837</v>
      </c>
      <c r="I16" s="35">
        <v>220.06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42838</v>
      </c>
      <c r="C17" s="30">
        <v>67150.62</v>
      </c>
      <c r="D17" s="238" t="s">
        <v>323</v>
      </c>
      <c r="E17" s="20">
        <v>42838</v>
      </c>
      <c r="F17" s="32">
        <v>67250.62</v>
      </c>
      <c r="G17" s="22"/>
      <c r="H17" s="23">
        <v>42838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42839</v>
      </c>
      <c r="C18" s="18">
        <v>0</v>
      </c>
      <c r="D18" s="238"/>
      <c r="E18" s="20">
        <v>42839</v>
      </c>
      <c r="F18" s="21">
        <v>0</v>
      </c>
      <c r="G18" s="22"/>
      <c r="H18" s="23">
        <v>42839</v>
      </c>
      <c r="I18" s="237">
        <v>0</v>
      </c>
      <c r="J18" s="42"/>
      <c r="K18" s="53" t="s">
        <v>35</v>
      </c>
      <c r="L18" s="32">
        <v>0</v>
      </c>
      <c r="M18" s="39">
        <v>0</v>
      </c>
      <c r="N18" s="237">
        <v>0</v>
      </c>
      <c r="O18" s="44"/>
      <c r="P18" s="22"/>
      <c r="Q18" s="22"/>
    </row>
    <row r="19" spans="1:18" ht="15.75" thickBot="1" x14ac:dyDescent="0.3">
      <c r="A19" s="16"/>
      <c r="B19" s="17">
        <v>42840</v>
      </c>
      <c r="C19" s="30">
        <v>90111.63</v>
      </c>
      <c r="D19" s="238" t="s">
        <v>324</v>
      </c>
      <c r="E19" s="20">
        <v>42840</v>
      </c>
      <c r="F19" s="32">
        <v>90681.63</v>
      </c>
      <c r="G19" s="22"/>
      <c r="H19" s="23">
        <v>42840</v>
      </c>
      <c r="I19" s="35">
        <v>570</v>
      </c>
      <c r="J19" s="42"/>
      <c r="K19" s="53"/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42841</v>
      </c>
      <c r="C20" s="30">
        <v>41909.51</v>
      </c>
      <c r="D20" s="239" t="s">
        <v>325</v>
      </c>
      <c r="E20" s="20">
        <v>42841</v>
      </c>
      <c r="F20" s="32">
        <v>52859.51</v>
      </c>
      <c r="G20" s="22"/>
      <c r="H20" s="23">
        <v>42841</v>
      </c>
      <c r="I20" s="55">
        <v>400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42842</v>
      </c>
      <c r="C21" s="30">
        <v>42208.47</v>
      </c>
      <c r="D21" s="238" t="s">
        <v>329</v>
      </c>
      <c r="E21" s="20">
        <v>42842</v>
      </c>
      <c r="F21" s="32">
        <v>42308.47</v>
      </c>
      <c r="G21" s="22"/>
      <c r="H21" s="23">
        <v>42842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42843</v>
      </c>
      <c r="C22" s="30">
        <v>45340.23</v>
      </c>
      <c r="D22" s="238" t="s">
        <v>330</v>
      </c>
      <c r="E22" s="20">
        <v>42843</v>
      </c>
      <c r="F22" s="32">
        <v>45524.23</v>
      </c>
      <c r="G22" s="22"/>
      <c r="H22" s="23">
        <v>42843</v>
      </c>
      <c r="I22" s="55">
        <v>184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42844</v>
      </c>
      <c r="C23" s="30">
        <v>45470.53</v>
      </c>
      <c r="D23" s="241" t="s">
        <v>331</v>
      </c>
      <c r="E23" s="20">
        <v>42844</v>
      </c>
      <c r="F23" s="32">
        <v>46197.01</v>
      </c>
      <c r="G23" s="22"/>
      <c r="H23" s="23">
        <v>42844</v>
      </c>
      <c r="I23" s="55">
        <v>726.48</v>
      </c>
      <c r="J23" s="36"/>
      <c r="K23" s="61">
        <v>42836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42845</v>
      </c>
      <c r="C24" s="30">
        <v>34334</v>
      </c>
      <c r="D24" s="238" t="s">
        <v>332</v>
      </c>
      <c r="E24" s="20">
        <v>42845</v>
      </c>
      <c r="F24" s="32">
        <v>34433.69</v>
      </c>
      <c r="G24" s="22"/>
      <c r="H24" s="23">
        <v>42845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42846</v>
      </c>
      <c r="C25" s="30">
        <v>80303.100000000006</v>
      </c>
      <c r="D25" s="241" t="s">
        <v>333</v>
      </c>
      <c r="E25" s="20">
        <v>42846</v>
      </c>
      <c r="F25" s="32">
        <v>80403.100000000006</v>
      </c>
      <c r="G25" s="22"/>
      <c r="H25" s="23">
        <v>42846</v>
      </c>
      <c r="I25" s="55">
        <v>100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42847</v>
      </c>
      <c r="C26" s="30">
        <v>67867.37</v>
      </c>
      <c r="D26" s="238" t="s">
        <v>334</v>
      </c>
      <c r="E26" s="20">
        <v>42847</v>
      </c>
      <c r="F26" s="32">
        <v>67967.37</v>
      </c>
      <c r="G26" s="22"/>
      <c r="H26" s="23">
        <v>42847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42848</v>
      </c>
      <c r="C27" s="30">
        <v>41565.97</v>
      </c>
      <c r="D27" s="238" t="s">
        <v>337</v>
      </c>
      <c r="E27" s="20">
        <v>42848</v>
      </c>
      <c r="F27" s="32">
        <v>51527.4</v>
      </c>
      <c r="G27" s="22"/>
      <c r="H27" s="23">
        <v>42848</v>
      </c>
      <c r="I27" s="55">
        <v>400</v>
      </c>
      <c r="J27" s="36"/>
      <c r="K27" s="64" t="s">
        <v>288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42849</v>
      </c>
      <c r="C28" s="30">
        <v>29762.21</v>
      </c>
      <c r="D28" s="238" t="s">
        <v>338</v>
      </c>
      <c r="E28" s="20">
        <v>42849</v>
      </c>
      <c r="F28" s="32">
        <v>29862.21</v>
      </c>
      <c r="G28" s="22"/>
      <c r="H28" s="23">
        <v>42849</v>
      </c>
      <c r="I28" s="55">
        <v>100</v>
      </c>
      <c r="J28" s="36"/>
      <c r="K28" s="64" t="s">
        <v>326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42850</v>
      </c>
      <c r="C29" s="30">
        <v>29062.85</v>
      </c>
      <c r="D29" s="238" t="s">
        <v>342</v>
      </c>
      <c r="E29" s="20">
        <v>42850</v>
      </c>
      <c r="F29" s="32">
        <v>29190.85</v>
      </c>
      <c r="G29" s="22"/>
      <c r="H29" s="23">
        <v>42850</v>
      </c>
      <c r="I29" s="55">
        <v>128</v>
      </c>
      <c r="J29" s="36"/>
      <c r="K29" s="64" t="s">
        <v>327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42851</v>
      </c>
      <c r="C30" s="30">
        <v>39911.480000000003</v>
      </c>
      <c r="D30" s="238" t="s">
        <v>343</v>
      </c>
      <c r="E30" s="20">
        <v>42851</v>
      </c>
      <c r="F30" s="32">
        <v>40786.36</v>
      </c>
      <c r="G30" s="22"/>
      <c r="H30" s="23">
        <v>42851</v>
      </c>
      <c r="I30" s="55">
        <v>874.88</v>
      </c>
      <c r="J30" s="63"/>
      <c r="K30" s="64" t="s">
        <v>335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42852</v>
      </c>
      <c r="C31" s="30">
        <v>30337.62</v>
      </c>
      <c r="D31" s="238" t="s">
        <v>344</v>
      </c>
      <c r="E31" s="20">
        <v>42852</v>
      </c>
      <c r="F31" s="32">
        <v>30557.47</v>
      </c>
      <c r="G31" s="22"/>
      <c r="H31" s="23">
        <v>42852</v>
      </c>
      <c r="I31" s="55">
        <v>220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42853</v>
      </c>
      <c r="C32" s="30">
        <v>59350.96</v>
      </c>
      <c r="D32" s="238" t="s">
        <v>348</v>
      </c>
      <c r="E32" s="20">
        <v>42853</v>
      </c>
      <c r="F32" s="32">
        <v>59450.96</v>
      </c>
      <c r="G32" s="22"/>
      <c r="H32" s="23">
        <v>42853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thickBot="1" x14ac:dyDescent="0.3">
      <c r="A33" s="16"/>
      <c r="B33" s="17">
        <v>42854</v>
      </c>
      <c r="C33" s="30"/>
      <c r="D33" s="240"/>
      <c r="E33" s="20">
        <v>42854</v>
      </c>
      <c r="F33" s="32"/>
      <c r="G33" s="22"/>
      <c r="H33" s="23">
        <v>42854</v>
      </c>
      <c r="I33" s="55"/>
      <c r="J33" s="36"/>
      <c r="K33" s="69"/>
      <c r="L33" s="268">
        <v>0</v>
      </c>
      <c r="M33" s="39">
        <v>0</v>
      </c>
      <c r="N33" s="35"/>
      <c r="O33" s="22"/>
      <c r="P33" s="22"/>
      <c r="Q33" s="22"/>
    </row>
    <row r="34" spans="1:17" ht="15.75" thickBot="1" x14ac:dyDescent="0.3">
      <c r="A34" s="16"/>
      <c r="B34" s="17">
        <v>42855</v>
      </c>
      <c r="C34" s="30"/>
      <c r="D34" s="238"/>
      <c r="E34" s="20">
        <v>42855</v>
      </c>
      <c r="F34" s="32"/>
      <c r="G34" s="22"/>
      <c r="H34" s="23">
        <v>42855</v>
      </c>
      <c r="I34" s="55"/>
      <c r="J34" s="36"/>
      <c r="K34" s="69"/>
      <c r="L34" s="269"/>
      <c r="M34" s="39">
        <v>0</v>
      </c>
      <c r="N34" s="35"/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23"/>
      <c r="I35" s="55"/>
      <c r="J35" s="36"/>
      <c r="K35" s="270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270"/>
      <c r="L36" s="41"/>
      <c r="M36" s="78">
        <v>0</v>
      </c>
      <c r="N36" s="79">
        <f>SUM(N5:N35)</f>
        <v>2700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1150661.02</v>
      </c>
      <c r="E38" s="229" t="s">
        <v>60</v>
      </c>
      <c r="F38" s="94">
        <f>SUM(F5:F37)</f>
        <v>1185704.9099999999</v>
      </c>
      <c r="H38" s="6" t="s">
        <v>60</v>
      </c>
      <c r="I38" s="4">
        <f>SUM(I5:I37)</f>
        <v>8471.59</v>
      </c>
      <c r="J38" s="4"/>
      <c r="K38" s="95" t="s">
        <v>60</v>
      </c>
      <c r="L38" s="96">
        <f>SUM(L5:L37)</f>
        <v>102892</v>
      </c>
    </row>
    <row r="40" spans="1:17" ht="15.75" x14ac:dyDescent="0.25">
      <c r="A40" s="97"/>
      <c r="B40" s="98"/>
      <c r="C40" s="36"/>
      <c r="D40" s="99"/>
      <c r="E40" s="100"/>
      <c r="F40" s="77"/>
      <c r="H40" s="259" t="s">
        <v>61</v>
      </c>
      <c r="I40" s="260"/>
      <c r="J40" s="228"/>
      <c r="K40" s="261">
        <f>I38+L38</f>
        <v>111363.59</v>
      </c>
      <c r="L40" s="262"/>
    </row>
    <row r="41" spans="1:17" ht="15.75" x14ac:dyDescent="0.25">
      <c r="B41" s="102"/>
      <c r="C41" s="77"/>
      <c r="D41" s="277" t="s">
        <v>62</v>
      </c>
      <c r="E41" s="277"/>
      <c r="F41" s="103">
        <f>F38-K40</f>
        <v>1074341.3199999998</v>
      </c>
      <c r="I41" s="104"/>
      <c r="J41" s="104"/>
    </row>
    <row r="42" spans="1:17" ht="15.75" x14ac:dyDescent="0.25">
      <c r="D42" s="278" t="s">
        <v>63</v>
      </c>
      <c r="E42" s="278"/>
      <c r="F42" s="103"/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1074341.3199999998</v>
      </c>
      <c r="I44" s="279" t="s">
        <v>66</v>
      </c>
      <c r="J44" s="280"/>
      <c r="K44" s="283">
        <f>F48+L46</f>
        <v>1074341.3199999998</v>
      </c>
      <c r="L44" s="284"/>
    </row>
    <row r="45" spans="1:17" ht="15.75" thickBot="1" x14ac:dyDescent="0.3">
      <c r="D45" s="108" t="s">
        <v>67</v>
      </c>
      <c r="E45" s="97" t="s">
        <v>68</v>
      </c>
      <c r="F45" s="4"/>
      <c r="I45" s="281"/>
      <c r="J45" s="282"/>
      <c r="K45" s="285"/>
      <c r="L45" s="286"/>
    </row>
    <row r="46" spans="1:17" ht="17.25" thickTop="1" thickBot="1" x14ac:dyDescent="0.3">
      <c r="C46" s="94"/>
      <c r="D46" s="287" t="s">
        <v>69</v>
      </c>
      <c r="E46" s="287"/>
      <c r="F46" s="109"/>
      <c r="I46" s="288"/>
      <c r="J46" s="288"/>
      <c r="K46" s="289"/>
      <c r="L46" s="110"/>
    </row>
    <row r="47" spans="1:17" ht="19.5" thickBot="1" x14ac:dyDescent="0.35">
      <c r="C47" s="94"/>
      <c r="D47" s="229"/>
      <c r="E47" s="229"/>
      <c r="F47" s="111"/>
      <c r="H47" s="112"/>
      <c r="I47" s="230" t="s">
        <v>276</v>
      </c>
      <c r="J47" s="230"/>
      <c r="K47" s="271">
        <f>-C4</f>
        <v>-255743.74</v>
      </c>
      <c r="L47" s="271"/>
      <c r="M47" s="114"/>
    </row>
    <row r="48" spans="1:17" ht="17.25" thickTop="1" thickBot="1" x14ac:dyDescent="0.3">
      <c r="E48" s="115" t="s">
        <v>71</v>
      </c>
      <c r="F48" s="116">
        <f>F44+F45+F46</f>
        <v>1074341.3199999998</v>
      </c>
    </row>
    <row r="49" spans="2:14" ht="19.5" thickBot="1" x14ac:dyDescent="0.35">
      <c r="B49"/>
      <c r="C49"/>
      <c r="D49" s="272"/>
      <c r="E49" s="272"/>
      <c r="F49" s="77"/>
      <c r="I49" s="273" t="s">
        <v>72</v>
      </c>
      <c r="J49" s="274"/>
      <c r="K49" s="275">
        <f>K44+K47</f>
        <v>818597.57999999984</v>
      </c>
      <c r="L49" s="2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A13" workbookViewId="0">
      <selection activeCell="B26" sqref="B2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.42578125" customWidth="1"/>
    <col min="15" max="15" width="20.140625" bestFit="1" customWidth="1"/>
    <col min="16" max="16" width="13.140625" bestFit="1" customWidth="1"/>
    <col min="20" max="20" width="13.85546875" bestFit="1" customWidth="1"/>
    <col min="22" max="22" width="14.7109375" customWidth="1"/>
    <col min="25" max="25" width="20.140625" bestFit="1" customWidth="1"/>
    <col min="26" max="26" width="12.7109375" bestFit="1" customWidth="1"/>
  </cols>
  <sheetData>
    <row r="1" spans="1:26" ht="19.5" thickBot="1" x14ac:dyDescent="0.35">
      <c r="B1" s="118" t="s">
        <v>266</v>
      </c>
      <c r="C1" s="119"/>
      <c r="D1" s="120"/>
      <c r="E1" s="119"/>
      <c r="F1" s="121"/>
      <c r="G1" s="200"/>
      <c r="K1" t="s">
        <v>64</v>
      </c>
      <c r="L1" s="154" t="s">
        <v>106</v>
      </c>
      <c r="M1" s="155"/>
      <c r="N1" s="156"/>
      <c r="O1" s="234">
        <v>42838</v>
      </c>
      <c r="P1" s="158"/>
      <c r="U1" t="s">
        <v>64</v>
      </c>
      <c r="V1" s="154" t="s">
        <v>106</v>
      </c>
      <c r="W1" s="155"/>
      <c r="X1" s="156"/>
      <c r="Y1" s="244">
        <v>42854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42826</v>
      </c>
      <c r="B3" s="126" t="s">
        <v>296</v>
      </c>
      <c r="C3" s="36">
        <v>82596.3</v>
      </c>
      <c r="D3" s="133" t="s">
        <v>339</v>
      </c>
      <c r="E3" s="36">
        <f>55014.6+27581.7</f>
        <v>82596.3</v>
      </c>
      <c r="F3" s="128">
        <f t="shared" ref="F3:F25" si="0"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U3" s="163" t="s">
        <v>107</v>
      </c>
      <c r="V3" s="160" t="s">
        <v>108</v>
      </c>
      <c r="W3" s="159"/>
      <c r="X3" s="161" t="s">
        <v>109</v>
      </c>
      <c r="Y3" s="160" t="s">
        <v>110</v>
      </c>
      <c r="Z3" s="162"/>
    </row>
    <row r="4" spans="1:26" ht="15.75" x14ac:dyDescent="0.25">
      <c r="A4" s="129">
        <v>42828</v>
      </c>
      <c r="B4" s="126" t="s">
        <v>267</v>
      </c>
      <c r="C4" s="130">
        <v>21741.4</v>
      </c>
      <c r="D4" s="127">
        <v>42850</v>
      </c>
      <c r="E4" s="130">
        <v>21741.4</v>
      </c>
      <c r="F4" s="128">
        <f t="shared" si="0"/>
        <v>0</v>
      </c>
      <c r="G4" s="37"/>
      <c r="J4" s="164">
        <f>29315.1+9874.06</f>
        <v>39189.159999999996</v>
      </c>
      <c r="K4" s="126" t="s">
        <v>228</v>
      </c>
      <c r="L4" s="36">
        <v>38540.79</v>
      </c>
      <c r="M4" s="165" t="s">
        <v>112</v>
      </c>
      <c r="N4" s="166" t="s">
        <v>114</v>
      </c>
      <c r="O4" s="167">
        <v>29315</v>
      </c>
      <c r="P4" s="168">
        <v>42824</v>
      </c>
      <c r="T4" s="164">
        <v>13729</v>
      </c>
      <c r="U4" s="126" t="s">
        <v>305</v>
      </c>
      <c r="V4" s="130">
        <v>13729</v>
      </c>
      <c r="W4" s="165"/>
      <c r="X4" s="166" t="s">
        <v>114</v>
      </c>
      <c r="Y4" s="167">
        <v>19392</v>
      </c>
      <c r="Z4" s="168">
        <v>42851</v>
      </c>
    </row>
    <row r="5" spans="1:26" ht="15.75" x14ac:dyDescent="0.25">
      <c r="A5" s="129">
        <v>42829</v>
      </c>
      <c r="B5" s="132" t="s">
        <v>289</v>
      </c>
      <c r="C5" s="36">
        <v>2856</v>
      </c>
      <c r="D5" s="127">
        <v>42850</v>
      </c>
      <c r="E5" s="36">
        <v>2856</v>
      </c>
      <c r="F5" s="128">
        <f t="shared" si="0"/>
        <v>0</v>
      </c>
      <c r="G5" s="201"/>
      <c r="J5" s="164">
        <f>17728+8115.09+3352.1+11599.28+49520.39+36076.19+2860.45</f>
        <v>129251.5</v>
      </c>
      <c r="K5" s="126" t="s">
        <v>246</v>
      </c>
      <c r="L5" s="130">
        <v>129251.8</v>
      </c>
      <c r="M5" s="165"/>
      <c r="N5" s="166" t="s">
        <v>114</v>
      </c>
      <c r="O5" s="167">
        <v>27602</v>
      </c>
      <c r="P5" s="168">
        <v>42825</v>
      </c>
      <c r="T5" s="164">
        <f>9307.88+5663.37+2889.4+3976.74</f>
        <v>21837.39</v>
      </c>
      <c r="U5" s="126" t="s">
        <v>318</v>
      </c>
      <c r="V5" s="130">
        <v>21092.53</v>
      </c>
      <c r="W5" s="165" t="s">
        <v>112</v>
      </c>
      <c r="X5" s="166">
        <v>3797790</v>
      </c>
      <c r="Y5" s="167">
        <v>9308</v>
      </c>
      <c r="Z5" s="168">
        <v>42848</v>
      </c>
    </row>
    <row r="6" spans="1:26" ht="15.75" x14ac:dyDescent="0.25">
      <c r="A6" s="129">
        <v>42831</v>
      </c>
      <c r="B6" s="126" t="s">
        <v>290</v>
      </c>
      <c r="C6" s="36">
        <v>105882.12</v>
      </c>
      <c r="D6" s="127">
        <v>42850</v>
      </c>
      <c r="E6" s="36">
        <v>105882.12</v>
      </c>
      <c r="F6" s="128">
        <f t="shared" si="0"/>
        <v>0</v>
      </c>
      <c r="G6" s="176"/>
      <c r="J6" s="140">
        <v>17182.400000000001</v>
      </c>
      <c r="K6" s="126" t="s">
        <v>247</v>
      </c>
      <c r="L6" s="130">
        <v>17182.400000000001</v>
      </c>
      <c r="M6" s="165"/>
      <c r="N6" s="166" t="s">
        <v>114</v>
      </c>
      <c r="O6" s="167">
        <v>8115</v>
      </c>
      <c r="P6" s="168">
        <v>42811</v>
      </c>
      <c r="T6" s="140">
        <v>31250.560000000001</v>
      </c>
      <c r="U6" s="126" t="s">
        <v>319</v>
      </c>
      <c r="V6" s="130">
        <v>31250.560000000001</v>
      </c>
      <c r="W6" s="165"/>
      <c r="X6" s="166" t="s">
        <v>114</v>
      </c>
      <c r="Y6" s="167">
        <v>36242.5</v>
      </c>
      <c r="Z6" s="168">
        <v>42852</v>
      </c>
    </row>
    <row r="7" spans="1:26" ht="15.75" x14ac:dyDescent="0.25">
      <c r="A7" s="129">
        <v>42832</v>
      </c>
      <c r="B7" s="126" t="s">
        <v>291</v>
      </c>
      <c r="C7" s="130">
        <v>7179</v>
      </c>
      <c r="D7" s="127">
        <v>42850</v>
      </c>
      <c r="E7" s="130">
        <v>7179</v>
      </c>
      <c r="F7" s="128">
        <f t="shared" si="0"/>
        <v>0</v>
      </c>
      <c r="G7" s="176"/>
      <c r="J7" s="140">
        <f>16158.42+14680.58</f>
        <v>30839</v>
      </c>
      <c r="K7" s="126" t="s">
        <v>250</v>
      </c>
      <c r="L7" s="130">
        <v>30839.119999999999</v>
      </c>
      <c r="M7" s="165"/>
      <c r="N7" s="166" t="s">
        <v>114</v>
      </c>
      <c r="O7" s="167">
        <v>3352.3</v>
      </c>
      <c r="P7" s="168">
        <v>42824</v>
      </c>
      <c r="T7" s="140">
        <f>1014.78+28509.12</f>
        <v>29523.899999999998</v>
      </c>
      <c r="U7" s="126" t="s">
        <v>320</v>
      </c>
      <c r="V7" s="130">
        <v>29523.9</v>
      </c>
      <c r="W7" s="165"/>
      <c r="X7" s="166" t="s">
        <v>114</v>
      </c>
      <c r="Y7" s="167">
        <v>2889.4</v>
      </c>
      <c r="Z7" s="168">
        <v>42850</v>
      </c>
    </row>
    <row r="8" spans="1:26" ht="15.75" x14ac:dyDescent="0.25">
      <c r="A8" s="129">
        <v>42833</v>
      </c>
      <c r="B8" s="126" t="s">
        <v>292</v>
      </c>
      <c r="C8" s="130">
        <v>121549.99</v>
      </c>
      <c r="D8" s="127">
        <v>42850</v>
      </c>
      <c r="E8" s="130">
        <v>121549.99</v>
      </c>
      <c r="F8" s="128">
        <f t="shared" si="0"/>
        <v>0</v>
      </c>
      <c r="G8" s="176"/>
      <c r="J8" s="140">
        <f>7743.47+19216+11671.76+36084.43+12889</f>
        <v>87604.66</v>
      </c>
      <c r="K8" s="126" t="s">
        <v>251</v>
      </c>
      <c r="L8" s="130">
        <v>87604.800000000003</v>
      </c>
      <c r="M8" s="165"/>
      <c r="N8" s="166" t="s">
        <v>114</v>
      </c>
      <c r="O8" s="167">
        <v>11599.5</v>
      </c>
      <c r="P8" s="168">
        <v>42822</v>
      </c>
      <c r="T8" s="164">
        <v>1828.5</v>
      </c>
      <c r="U8" s="126" t="s">
        <v>321</v>
      </c>
      <c r="V8" s="130">
        <v>2573.41</v>
      </c>
      <c r="W8" s="165" t="s">
        <v>126</v>
      </c>
      <c r="X8" s="166" t="s">
        <v>114</v>
      </c>
      <c r="Y8" s="167">
        <v>30337.5</v>
      </c>
      <c r="Z8" s="168">
        <v>42853</v>
      </c>
    </row>
    <row r="9" spans="1:26" ht="15.75" x14ac:dyDescent="0.25">
      <c r="A9" s="129">
        <v>42835</v>
      </c>
      <c r="B9" s="126" t="s">
        <v>293</v>
      </c>
      <c r="C9" s="130">
        <v>25086.9</v>
      </c>
      <c r="D9" s="127">
        <v>42850</v>
      </c>
      <c r="E9" s="130">
        <v>25086.9</v>
      </c>
      <c r="F9" s="128">
        <f t="shared" si="0"/>
        <v>0</v>
      </c>
      <c r="G9" s="176"/>
      <c r="J9" s="140">
        <f>14988+16904</f>
        <v>31892</v>
      </c>
      <c r="K9" s="126" t="s">
        <v>252</v>
      </c>
      <c r="L9" s="130">
        <v>31892</v>
      </c>
      <c r="M9" s="165"/>
      <c r="N9" s="166" t="s">
        <v>114</v>
      </c>
      <c r="O9" s="167">
        <v>49520</v>
      </c>
      <c r="P9" s="168">
        <v>42828</v>
      </c>
      <c r="T9" s="140">
        <v>0</v>
      </c>
      <c r="U9" s="126"/>
      <c r="V9" s="130"/>
      <c r="W9" s="165"/>
      <c r="X9" s="166" t="s">
        <v>114</v>
      </c>
      <c r="Y9" s="167">
        <v>0</v>
      </c>
      <c r="Z9" s="168"/>
    </row>
    <row r="10" spans="1:26" ht="15.75" x14ac:dyDescent="0.25">
      <c r="A10" s="129">
        <v>42836</v>
      </c>
      <c r="B10" s="126" t="s">
        <v>294</v>
      </c>
      <c r="C10" s="130">
        <v>27355</v>
      </c>
      <c r="D10" s="127">
        <v>42850</v>
      </c>
      <c r="E10" s="130">
        <v>27355</v>
      </c>
      <c r="F10" s="128">
        <f t="shared" si="0"/>
        <v>0</v>
      </c>
      <c r="G10" s="37"/>
      <c r="J10" s="140">
        <f>8143.97+50348.5+36733.322</f>
        <v>95225.792000000001</v>
      </c>
      <c r="K10" s="126" t="s">
        <v>253</v>
      </c>
      <c r="L10" s="130">
        <v>95225.69</v>
      </c>
      <c r="M10" s="165"/>
      <c r="N10" s="166" t="s">
        <v>114</v>
      </c>
      <c r="O10" s="167">
        <v>36076</v>
      </c>
      <c r="P10" s="168">
        <v>42828</v>
      </c>
      <c r="T10" s="140">
        <v>0</v>
      </c>
      <c r="U10" s="126"/>
      <c r="V10" s="130"/>
      <c r="W10" s="165"/>
      <c r="X10" s="166" t="s">
        <v>114</v>
      </c>
      <c r="Y10" s="167">
        <v>0</v>
      </c>
      <c r="Z10" s="168"/>
    </row>
    <row r="11" spans="1:26" ht="16.5" thickBot="1" x14ac:dyDescent="0.3">
      <c r="A11" s="129">
        <v>42837</v>
      </c>
      <c r="B11" s="126" t="s">
        <v>305</v>
      </c>
      <c r="C11" s="130">
        <v>13729</v>
      </c>
      <c r="D11" s="127">
        <v>42854</v>
      </c>
      <c r="E11" s="130">
        <v>13729</v>
      </c>
      <c r="F11" s="128">
        <f t="shared" si="0"/>
        <v>0</v>
      </c>
      <c r="J11" s="140">
        <v>8247.4</v>
      </c>
      <c r="K11" s="126" t="s">
        <v>254</v>
      </c>
      <c r="L11" s="130">
        <v>8247.4</v>
      </c>
      <c r="M11" s="165"/>
      <c r="N11" s="166" t="s">
        <v>114</v>
      </c>
      <c r="O11" s="167">
        <v>36201</v>
      </c>
      <c r="P11" s="168">
        <v>42828</v>
      </c>
      <c r="T11" s="140">
        <v>0</v>
      </c>
      <c r="U11" s="205"/>
      <c r="V11" s="130">
        <v>0</v>
      </c>
      <c r="W11" s="183"/>
      <c r="X11" s="184" t="s">
        <v>114</v>
      </c>
      <c r="Y11" s="245">
        <v>0</v>
      </c>
      <c r="Z11" s="186"/>
    </row>
    <row r="12" spans="1:26" ht="16.5" thickBot="1" x14ac:dyDescent="0.3">
      <c r="A12" s="129">
        <v>42838</v>
      </c>
      <c r="B12" s="126" t="s">
        <v>306</v>
      </c>
      <c r="C12" s="130">
        <v>118168.98</v>
      </c>
      <c r="D12" s="127">
        <v>42850</v>
      </c>
      <c r="E12" s="130">
        <v>118168.98</v>
      </c>
      <c r="F12" s="128">
        <f t="shared" si="0"/>
        <v>0</v>
      </c>
      <c r="J12" s="140">
        <f>3389.7+697.5</f>
        <v>4087.2</v>
      </c>
      <c r="K12" s="126" t="s">
        <v>263</v>
      </c>
      <c r="L12" s="130">
        <v>4087.2</v>
      </c>
      <c r="M12" s="183"/>
      <c r="N12" s="184" t="s">
        <v>114</v>
      </c>
      <c r="O12" s="185">
        <v>22423.5</v>
      </c>
      <c r="P12" s="186">
        <v>42829</v>
      </c>
      <c r="T12" s="252">
        <f>SUM(T4:T11)</f>
        <v>98169.349999999991</v>
      </c>
      <c r="U12" s="253"/>
      <c r="V12" s="258">
        <f>SUM(V4:V11)</f>
        <v>98169.4</v>
      </c>
      <c r="W12" s="254"/>
      <c r="X12" s="255"/>
      <c r="Y12" s="256">
        <f>SUM(Y4:Y11)</f>
        <v>98169.4</v>
      </c>
      <c r="Z12" s="257"/>
    </row>
    <row r="13" spans="1:26" ht="15.75" x14ac:dyDescent="0.25">
      <c r="A13" s="129">
        <v>42838</v>
      </c>
      <c r="B13" s="126" t="s">
        <v>313</v>
      </c>
      <c r="C13" s="130">
        <v>30916.799999999999</v>
      </c>
      <c r="D13" s="127">
        <v>42850</v>
      </c>
      <c r="E13" s="130">
        <v>30916.799999999999</v>
      </c>
      <c r="F13" s="128">
        <f t="shared" si="0"/>
        <v>0</v>
      </c>
      <c r="J13" s="151">
        <f>24266.19+30103</f>
        <v>54369.19</v>
      </c>
      <c r="K13" s="126" t="s">
        <v>296</v>
      </c>
      <c r="L13" s="36">
        <v>55014.6</v>
      </c>
      <c r="M13" s="235" t="s">
        <v>126</v>
      </c>
      <c r="N13" s="184" t="s">
        <v>114</v>
      </c>
      <c r="O13" s="225">
        <v>19216</v>
      </c>
      <c r="P13" s="186">
        <v>42830</v>
      </c>
      <c r="T13" s="151"/>
      <c r="U13" s="176"/>
      <c r="V13" s="36"/>
      <c r="W13" s="248"/>
      <c r="X13" s="246"/>
      <c r="Y13" s="249"/>
      <c r="Z13" s="247"/>
    </row>
    <row r="14" spans="1:26" ht="15.75" x14ac:dyDescent="0.25">
      <c r="A14" s="129">
        <v>42841</v>
      </c>
      <c r="B14" s="126" t="s">
        <v>315</v>
      </c>
      <c r="C14" s="130">
        <v>33333.699999999997</v>
      </c>
      <c r="D14" s="127">
        <v>42850</v>
      </c>
      <c r="E14" s="130">
        <v>33333.699999999997</v>
      </c>
      <c r="F14" s="128">
        <f t="shared" si="0"/>
        <v>0</v>
      </c>
      <c r="J14" s="151"/>
      <c r="K14" s="126"/>
      <c r="L14" s="130"/>
      <c r="M14" s="187"/>
      <c r="N14" s="184" t="s">
        <v>114</v>
      </c>
      <c r="O14" s="188">
        <v>36084</v>
      </c>
      <c r="P14" s="186">
        <v>42831</v>
      </c>
      <c r="T14" s="151"/>
      <c r="U14" s="176"/>
      <c r="V14" s="36"/>
      <c r="W14" s="100"/>
      <c r="X14" s="246"/>
      <c r="Y14" s="249"/>
      <c r="Z14" s="247"/>
    </row>
    <row r="15" spans="1:26" ht="15.75" x14ac:dyDescent="0.25">
      <c r="A15" s="129">
        <v>42843</v>
      </c>
      <c r="B15" s="126" t="s">
        <v>314</v>
      </c>
      <c r="C15" s="130">
        <v>15851.56</v>
      </c>
      <c r="D15" s="127">
        <v>42850</v>
      </c>
      <c r="E15" s="130">
        <v>15851.56</v>
      </c>
      <c r="F15" s="128">
        <f t="shared" si="0"/>
        <v>0</v>
      </c>
      <c r="G15" s="149"/>
      <c r="J15" s="151"/>
      <c r="K15" s="132"/>
      <c r="L15" s="36"/>
      <c r="M15" s="187"/>
      <c r="N15" s="184" t="s">
        <v>295</v>
      </c>
      <c r="O15" s="188">
        <v>11671.5</v>
      </c>
      <c r="P15" s="186">
        <v>42829</v>
      </c>
      <c r="T15" s="151"/>
      <c r="U15" s="176"/>
      <c r="V15" s="36"/>
      <c r="W15" s="100"/>
      <c r="X15" s="246"/>
      <c r="Y15" s="249"/>
      <c r="Z15" s="247"/>
    </row>
    <row r="16" spans="1:26" ht="15.75" x14ac:dyDescent="0.25">
      <c r="A16" s="129">
        <v>42844</v>
      </c>
      <c r="B16" s="126" t="s">
        <v>316</v>
      </c>
      <c r="C16" s="130">
        <v>66012.38</v>
      </c>
      <c r="D16" s="127">
        <v>42850</v>
      </c>
      <c r="E16" s="130">
        <v>66012.38</v>
      </c>
      <c r="F16" s="128">
        <f t="shared" si="0"/>
        <v>0</v>
      </c>
      <c r="G16" s="149"/>
      <c r="J16" s="151"/>
      <c r="K16" s="126"/>
      <c r="L16" s="36"/>
      <c r="M16" s="227"/>
      <c r="N16" s="184" t="s">
        <v>114</v>
      </c>
      <c r="O16" s="188">
        <v>27877</v>
      </c>
      <c r="P16" s="186">
        <v>42832</v>
      </c>
      <c r="T16" s="151"/>
      <c r="U16" s="176"/>
      <c r="V16" s="36"/>
      <c r="W16" s="248"/>
      <c r="X16" s="246"/>
      <c r="Y16" s="249"/>
      <c r="Z16" s="247"/>
    </row>
    <row r="17" spans="1:26" ht="15.75" x14ac:dyDescent="0.25">
      <c r="A17" s="129">
        <v>42844</v>
      </c>
      <c r="B17" s="126" t="s">
        <v>317</v>
      </c>
      <c r="C17" s="130">
        <v>8681.7000000000007</v>
      </c>
      <c r="D17" s="127">
        <v>42850</v>
      </c>
      <c r="E17" s="130">
        <v>8681.7000000000007</v>
      </c>
      <c r="F17" s="128">
        <f t="shared" si="0"/>
        <v>0</v>
      </c>
      <c r="G17" s="202"/>
      <c r="J17" s="151"/>
      <c r="K17" s="187"/>
      <c r="L17" s="187"/>
      <c r="M17" s="187"/>
      <c r="N17" s="184" t="s">
        <v>114</v>
      </c>
      <c r="O17" s="188">
        <v>33295</v>
      </c>
      <c r="P17" s="186">
        <v>42835</v>
      </c>
      <c r="T17" s="151"/>
      <c r="U17" s="176"/>
      <c r="V17" s="36"/>
      <c r="W17" s="100"/>
      <c r="X17" s="246"/>
      <c r="Y17" s="249"/>
      <c r="Z17" s="247"/>
    </row>
    <row r="18" spans="1:26" ht="15.75" x14ac:dyDescent="0.25">
      <c r="A18" s="129">
        <v>42845</v>
      </c>
      <c r="B18" s="126" t="s">
        <v>318</v>
      </c>
      <c r="C18" s="130">
        <v>24565.8</v>
      </c>
      <c r="D18" s="127" t="s">
        <v>345</v>
      </c>
      <c r="E18" s="130">
        <f>3473.27+21092.53</f>
        <v>24565.8</v>
      </c>
      <c r="F18" s="128">
        <f t="shared" si="0"/>
        <v>0</v>
      </c>
      <c r="J18" s="151"/>
      <c r="K18" s="187"/>
      <c r="L18" s="187"/>
      <c r="M18" s="187"/>
      <c r="N18" s="184" t="s">
        <v>114</v>
      </c>
      <c r="O18" s="188">
        <v>49848.5</v>
      </c>
      <c r="P18" s="186">
        <v>42835</v>
      </c>
      <c r="T18" s="151"/>
      <c r="U18" s="176"/>
      <c r="V18" s="36"/>
      <c r="W18" s="100"/>
      <c r="X18" s="246"/>
      <c r="Y18" s="249"/>
      <c r="Z18" s="247"/>
    </row>
    <row r="19" spans="1:26" ht="15.75" x14ac:dyDescent="0.25">
      <c r="A19" s="129">
        <v>42845</v>
      </c>
      <c r="B19" s="126" t="s">
        <v>319</v>
      </c>
      <c r="C19" s="130">
        <v>31250.560000000001</v>
      </c>
      <c r="D19" s="127">
        <v>42854</v>
      </c>
      <c r="E19" s="130">
        <v>31250.560000000001</v>
      </c>
      <c r="F19" s="128">
        <f t="shared" si="0"/>
        <v>0</v>
      </c>
      <c r="J19" s="151"/>
      <c r="K19" s="187"/>
      <c r="L19" s="187"/>
      <c r="M19" s="187"/>
      <c r="N19" s="184" t="s">
        <v>114</v>
      </c>
      <c r="O19" s="188">
        <v>500</v>
      </c>
      <c r="P19" s="186">
        <v>42837</v>
      </c>
      <c r="T19" s="151"/>
      <c r="U19" s="176"/>
      <c r="V19" s="36"/>
      <c r="W19" s="248"/>
      <c r="X19" s="246"/>
      <c r="Y19" s="249"/>
      <c r="Z19" s="247"/>
    </row>
    <row r="20" spans="1:26" ht="15.75" x14ac:dyDescent="0.25">
      <c r="A20" s="129">
        <v>42846</v>
      </c>
      <c r="B20" s="126" t="s">
        <v>320</v>
      </c>
      <c r="C20" s="130">
        <v>29523.9</v>
      </c>
      <c r="D20" s="127">
        <v>42854</v>
      </c>
      <c r="E20" s="130">
        <v>29523.9</v>
      </c>
      <c r="F20" s="128">
        <f t="shared" si="0"/>
        <v>0</v>
      </c>
      <c r="J20" s="151"/>
      <c r="K20" s="187"/>
      <c r="L20" s="187"/>
      <c r="M20" s="187"/>
      <c r="N20" s="184" t="s">
        <v>114</v>
      </c>
      <c r="O20" s="188">
        <v>40123</v>
      </c>
      <c r="P20" s="186">
        <v>42835</v>
      </c>
      <c r="T20" s="151"/>
      <c r="U20" s="176"/>
      <c r="V20" s="36"/>
      <c r="W20" s="100"/>
      <c r="X20" s="246"/>
      <c r="Y20" s="249"/>
      <c r="Z20" s="247"/>
    </row>
    <row r="21" spans="1:26" ht="15.75" x14ac:dyDescent="0.25">
      <c r="A21" s="129">
        <v>42847</v>
      </c>
      <c r="B21" s="126" t="s">
        <v>321</v>
      </c>
      <c r="C21" s="130">
        <v>111920.95</v>
      </c>
      <c r="D21" s="127">
        <v>42854</v>
      </c>
      <c r="E21" s="242">
        <v>2573.41</v>
      </c>
      <c r="F21" s="243">
        <f t="shared" si="0"/>
        <v>109347.54</v>
      </c>
      <c r="J21" s="151"/>
      <c r="K21" s="187"/>
      <c r="L21" s="187"/>
      <c r="M21" s="187"/>
      <c r="N21" s="184" t="s">
        <v>114</v>
      </c>
      <c r="O21" s="188">
        <v>24963.5</v>
      </c>
      <c r="P21" s="186">
        <v>42837</v>
      </c>
      <c r="T21" s="151"/>
      <c r="U21" s="100"/>
      <c r="V21" s="100"/>
      <c r="W21" s="100"/>
      <c r="X21" s="246"/>
      <c r="Y21" s="249"/>
      <c r="Z21" s="247"/>
    </row>
    <row r="22" spans="1:26" ht="15.75" x14ac:dyDescent="0.25">
      <c r="A22" s="236">
        <v>42849</v>
      </c>
      <c r="B22" s="126" t="s">
        <v>340</v>
      </c>
      <c r="C22" s="130">
        <v>71567.81</v>
      </c>
      <c r="D22" s="127"/>
      <c r="E22" s="130"/>
      <c r="F22" s="128">
        <f t="shared" si="0"/>
        <v>71567.81</v>
      </c>
      <c r="J22" s="151"/>
      <c r="K22" s="187"/>
      <c r="L22" s="187"/>
      <c r="M22" s="187"/>
      <c r="N22" s="184" t="s">
        <v>114</v>
      </c>
      <c r="O22" s="188">
        <v>30103</v>
      </c>
      <c r="P22" s="186">
        <v>42837</v>
      </c>
      <c r="T22" s="250"/>
      <c r="U22" s="100"/>
      <c r="V22" s="100"/>
      <c r="W22" s="100"/>
      <c r="X22" s="246"/>
      <c r="Y22" s="249"/>
      <c r="Z22" s="247"/>
    </row>
    <row r="23" spans="1:26" ht="16.5" thickBot="1" x14ac:dyDescent="0.3">
      <c r="A23" s="236">
        <v>42852</v>
      </c>
      <c r="B23" s="126" t="s">
        <v>341</v>
      </c>
      <c r="C23" s="130">
        <v>165656.38</v>
      </c>
      <c r="D23" s="127"/>
      <c r="E23" s="130"/>
      <c r="F23" s="128">
        <f t="shared" si="0"/>
        <v>165656.38</v>
      </c>
      <c r="J23" s="177">
        <f>SUM(J4:J22)</f>
        <v>497888.30200000003</v>
      </c>
      <c r="K23" s="207"/>
      <c r="L23" s="207"/>
      <c r="M23" s="207"/>
      <c r="N23" s="184" t="s">
        <v>114</v>
      </c>
      <c r="O23" s="221">
        <v>0</v>
      </c>
      <c r="P23" s="222"/>
      <c r="T23" s="177"/>
      <c r="U23" s="100"/>
      <c r="V23" s="100"/>
      <c r="W23" s="100"/>
      <c r="X23" s="246"/>
      <c r="Y23" s="249"/>
      <c r="Z23" s="247"/>
    </row>
    <row r="24" spans="1:26" ht="17.25" thickTop="1" thickBot="1" x14ac:dyDescent="0.3">
      <c r="A24" s="236">
        <v>42854</v>
      </c>
      <c r="B24" s="126" t="s">
        <v>346</v>
      </c>
      <c r="C24" s="130">
        <v>60441.74</v>
      </c>
      <c r="D24" s="127"/>
      <c r="E24" s="130"/>
      <c r="F24" s="128">
        <f t="shared" si="0"/>
        <v>60441.74</v>
      </c>
      <c r="K24" s="177"/>
      <c r="L24" s="177">
        <f>SUM(L4:L22)</f>
        <v>497885.8</v>
      </c>
      <c r="M24" s="178"/>
      <c r="N24" s="179"/>
      <c r="O24" s="204">
        <f>SUM(O4:O23)</f>
        <v>497885.8</v>
      </c>
      <c r="P24" s="181"/>
      <c r="T24" s="100"/>
      <c r="U24" s="177"/>
      <c r="V24" s="177"/>
      <c r="W24" s="178"/>
      <c r="X24" s="179"/>
      <c r="Y24" s="251"/>
      <c r="Z24" s="181"/>
    </row>
    <row r="25" spans="1:26" ht="15.75" thickBot="1" x14ac:dyDescent="0.3">
      <c r="A25" s="142">
        <v>42853</v>
      </c>
      <c r="B25" s="143" t="s">
        <v>347</v>
      </c>
      <c r="C25" s="144">
        <v>6681.15</v>
      </c>
      <c r="D25" s="145"/>
      <c r="E25" s="146"/>
      <c r="F25" s="147">
        <f t="shared" si="0"/>
        <v>6681.15</v>
      </c>
      <c r="T25" s="100"/>
      <c r="U25" s="100"/>
      <c r="V25" s="100"/>
      <c r="W25" s="100"/>
      <c r="X25" s="100"/>
      <c r="Y25" s="100"/>
      <c r="Z25" s="100"/>
    </row>
    <row r="26" spans="1:26" ht="15.75" thickTop="1" x14ac:dyDescent="0.25">
      <c r="B26" s="44"/>
      <c r="C26" s="130">
        <f>SUM(C3:C25)</f>
        <v>1182549.1199999999</v>
      </c>
      <c r="D26" s="148"/>
      <c r="E26" s="140">
        <f>SUM(E3:E25)</f>
        <v>768854.50000000023</v>
      </c>
      <c r="F26" s="130">
        <f>SUM(F3:F25)</f>
        <v>413694.62</v>
      </c>
      <c r="T26" s="100"/>
      <c r="U26" s="100"/>
      <c r="V26" s="100"/>
      <c r="W26" s="100"/>
      <c r="X26" s="100"/>
      <c r="Y26" s="100"/>
      <c r="Z26" s="100"/>
    </row>
    <row r="27" spans="1:26" x14ac:dyDescent="0.25">
      <c r="A27"/>
      <c r="B27" s="16"/>
      <c r="C27" s="151"/>
      <c r="D27"/>
      <c r="E27"/>
      <c r="F27"/>
      <c r="G27"/>
    </row>
    <row r="28" spans="1:26" ht="15.75" thickBot="1" x14ac:dyDescent="0.3">
      <c r="A28"/>
      <c r="B28" s="16"/>
      <c r="C28" s="151"/>
      <c r="D28"/>
      <c r="E28"/>
      <c r="F28"/>
      <c r="G28"/>
    </row>
    <row r="29" spans="1:26" ht="19.5" thickBot="1" x14ac:dyDescent="0.35">
      <c r="A29"/>
      <c r="B29" s="149"/>
      <c r="D29" s="149"/>
      <c r="K29" t="s">
        <v>64</v>
      </c>
      <c r="L29" s="154" t="s">
        <v>106</v>
      </c>
      <c r="M29" s="155"/>
      <c r="N29" s="156"/>
      <c r="O29" s="231">
        <v>42850</v>
      </c>
      <c r="P29" s="158"/>
    </row>
    <row r="30" spans="1:26" ht="15.75" x14ac:dyDescent="0.25">
      <c r="A30"/>
      <c r="B30" s="149"/>
      <c r="D30" s="149"/>
      <c r="K30" s="159"/>
      <c r="L30" s="160"/>
      <c r="M30" s="159"/>
      <c r="N30" s="161"/>
      <c r="O30" s="160"/>
      <c r="P30" s="162"/>
    </row>
    <row r="31" spans="1:26" ht="15.75" x14ac:dyDescent="0.25">
      <c r="A31"/>
      <c r="B31" s="149"/>
      <c r="D31" s="149"/>
      <c r="K31" s="163" t="s">
        <v>107</v>
      </c>
      <c r="L31" s="160" t="s">
        <v>108</v>
      </c>
      <c r="M31" s="159"/>
      <c r="N31" s="161" t="s">
        <v>109</v>
      </c>
      <c r="O31" s="160" t="s">
        <v>110</v>
      </c>
      <c r="P31" s="162"/>
    </row>
    <row r="32" spans="1:26" ht="15.75" x14ac:dyDescent="0.25">
      <c r="A32"/>
      <c r="B32" s="149"/>
      <c r="D32" s="149"/>
      <c r="J32" s="164">
        <v>28227.24</v>
      </c>
      <c r="K32" s="126" t="s">
        <v>296</v>
      </c>
      <c r="L32" s="36">
        <v>27581.7</v>
      </c>
      <c r="M32" s="165" t="s">
        <v>112</v>
      </c>
      <c r="N32" s="166" t="s">
        <v>114</v>
      </c>
      <c r="O32" s="167">
        <v>33777</v>
      </c>
      <c r="P32" s="168">
        <v>42842</v>
      </c>
    </row>
    <row r="33" spans="1:16" ht="15.75" x14ac:dyDescent="0.25">
      <c r="A33"/>
      <c r="B33" s="149"/>
      <c r="D33" s="149"/>
      <c r="J33" s="164">
        <f>5550.03+4321+8450.84+3419.69</f>
        <v>21741.559999999998</v>
      </c>
      <c r="K33" s="126" t="s">
        <v>267</v>
      </c>
      <c r="L33" s="130">
        <v>21741.4</v>
      </c>
      <c r="M33" s="165"/>
      <c r="N33" s="166" t="s">
        <v>114</v>
      </c>
      <c r="O33" s="167">
        <v>8451</v>
      </c>
      <c r="P33" s="168">
        <v>42835</v>
      </c>
    </row>
    <row r="34" spans="1:16" ht="15.75" x14ac:dyDescent="0.25">
      <c r="A34"/>
      <c r="B34" s="149"/>
      <c r="D34" s="149"/>
      <c r="J34" s="140">
        <v>2856</v>
      </c>
      <c r="K34" s="132" t="s">
        <v>289</v>
      </c>
      <c r="L34" s="36">
        <v>2856</v>
      </c>
      <c r="M34" s="165"/>
      <c r="N34" s="166" t="s">
        <v>114</v>
      </c>
      <c r="O34" s="167">
        <v>4321</v>
      </c>
      <c r="P34" s="168">
        <v>42835</v>
      </c>
    </row>
    <row r="35" spans="1:16" ht="15.75" x14ac:dyDescent="0.25">
      <c r="A35"/>
      <c r="B35" s="149"/>
      <c r="D35" s="149"/>
      <c r="J35" s="140">
        <f>48103+57779.03</f>
        <v>105882.03</v>
      </c>
      <c r="K35" s="126" t="s">
        <v>290</v>
      </c>
      <c r="L35" s="36">
        <v>105882.12</v>
      </c>
      <c r="M35" s="165"/>
      <c r="N35" s="166" t="s">
        <v>114</v>
      </c>
      <c r="O35" s="167">
        <v>54379</v>
      </c>
      <c r="P35" s="168">
        <v>42842</v>
      </c>
    </row>
    <row r="36" spans="1:16" ht="15.75" x14ac:dyDescent="0.25">
      <c r="A36"/>
      <c r="B36" s="149"/>
      <c r="D36" s="149"/>
      <c r="J36" s="140">
        <v>7179</v>
      </c>
      <c r="K36" s="126" t="s">
        <v>291</v>
      </c>
      <c r="L36" s="130">
        <v>7179</v>
      </c>
      <c r="M36" s="165"/>
      <c r="N36" s="166" t="s">
        <v>114</v>
      </c>
      <c r="O36" s="167">
        <v>90111.5</v>
      </c>
      <c r="P36" s="168">
        <v>42842</v>
      </c>
    </row>
    <row r="37" spans="1:16" ht="15.75" x14ac:dyDescent="0.25">
      <c r="A37"/>
      <c r="B37" s="149"/>
      <c r="D37" s="149"/>
      <c r="F37"/>
      <c r="G37"/>
      <c r="J37" s="140">
        <f>67.51+41909.51+34181.55+7156.92+38234.5</f>
        <v>121549.99</v>
      </c>
      <c r="K37" s="126" t="s">
        <v>292</v>
      </c>
      <c r="L37" s="130">
        <v>121549.99</v>
      </c>
      <c r="M37" s="165"/>
      <c r="N37" s="166" t="s">
        <v>114</v>
      </c>
      <c r="O37" s="167">
        <v>41909.5</v>
      </c>
      <c r="P37" s="168">
        <v>42842</v>
      </c>
    </row>
    <row r="38" spans="1:16" ht="15.75" x14ac:dyDescent="0.25">
      <c r="A38"/>
      <c r="B38" s="149">
        <v>42826</v>
      </c>
      <c r="C38" s="140">
        <v>1170</v>
      </c>
      <c r="D38" s="149" t="s">
        <v>279</v>
      </c>
      <c r="F38"/>
      <c r="G38"/>
      <c r="J38" s="140">
        <v>25086.09</v>
      </c>
      <c r="K38" s="126" t="s">
        <v>293</v>
      </c>
      <c r="L38" s="130">
        <v>25086.9</v>
      </c>
      <c r="M38" s="165"/>
      <c r="N38" s="166" t="s">
        <v>114</v>
      </c>
      <c r="O38" s="167">
        <v>34181.5</v>
      </c>
      <c r="P38" s="168">
        <v>42843</v>
      </c>
    </row>
    <row r="39" spans="1:16" ht="15.75" x14ac:dyDescent="0.25">
      <c r="A39"/>
      <c r="B39" s="149">
        <v>42827</v>
      </c>
      <c r="C39" s="140">
        <v>0</v>
      </c>
      <c r="D39" s="149"/>
      <c r="F39"/>
      <c r="G39"/>
      <c r="J39" s="140">
        <f>6644.29+14514+4689.64+1507.07</f>
        <v>27355</v>
      </c>
      <c r="K39" s="126" t="s">
        <v>294</v>
      </c>
      <c r="L39" s="130">
        <v>27355</v>
      </c>
      <c r="M39" s="165"/>
      <c r="N39" s="166" t="s">
        <v>114</v>
      </c>
      <c r="O39" s="167">
        <v>7157</v>
      </c>
      <c r="P39" s="168">
        <v>42837</v>
      </c>
    </row>
    <row r="40" spans="1:16" ht="15.75" x14ac:dyDescent="0.25">
      <c r="A40"/>
      <c r="B40" s="149">
        <v>42828</v>
      </c>
      <c r="C40" s="140">
        <v>0</v>
      </c>
      <c r="D40" s="149"/>
      <c r="F40"/>
      <c r="G40"/>
      <c r="J40" s="140"/>
      <c r="K40" s="126"/>
      <c r="L40" s="130">
        <v>0</v>
      </c>
      <c r="M40" s="183"/>
      <c r="N40" s="184" t="s">
        <v>114</v>
      </c>
      <c r="O40" s="185">
        <v>44878.5</v>
      </c>
      <c r="P40" s="186">
        <v>42844</v>
      </c>
    </row>
    <row r="41" spans="1:16" ht="15.75" x14ac:dyDescent="0.25">
      <c r="A41"/>
      <c r="B41" s="149">
        <v>42829</v>
      </c>
      <c r="C41" s="140">
        <v>0</v>
      </c>
      <c r="D41" s="149"/>
      <c r="F41"/>
      <c r="G41"/>
      <c r="J41" s="151">
        <f>27197+79263.1+11708.88</f>
        <v>118168.98000000001</v>
      </c>
      <c r="K41" s="126" t="s">
        <v>306</v>
      </c>
      <c r="L41" s="130">
        <v>118168.98</v>
      </c>
      <c r="M41" s="235"/>
      <c r="N41" s="184" t="s">
        <v>114</v>
      </c>
      <c r="O41" s="225">
        <v>14514</v>
      </c>
      <c r="P41" s="186">
        <v>42844</v>
      </c>
    </row>
    <row r="42" spans="1:16" ht="15.75" x14ac:dyDescent="0.25">
      <c r="A42"/>
      <c r="B42" s="149">
        <v>42830</v>
      </c>
      <c r="C42" s="140">
        <v>0</v>
      </c>
      <c r="D42" s="149"/>
      <c r="F42"/>
      <c r="G42"/>
      <c r="J42" s="151">
        <f>24759.82+6157</f>
        <v>30916.82</v>
      </c>
      <c r="K42" s="126" t="s">
        <v>313</v>
      </c>
      <c r="L42" s="130">
        <v>30916.799999999999</v>
      </c>
      <c r="M42" s="187"/>
      <c r="N42" s="184" t="s">
        <v>114</v>
      </c>
      <c r="O42" s="188">
        <v>4690</v>
      </c>
      <c r="P42" s="186">
        <v>42842</v>
      </c>
    </row>
    <row r="43" spans="1:16" ht="15.75" x14ac:dyDescent="0.25">
      <c r="A43"/>
      <c r="B43" s="149">
        <v>42831</v>
      </c>
      <c r="C43" s="140">
        <v>0</v>
      </c>
      <c r="D43" s="149"/>
      <c r="F43"/>
      <c r="G43"/>
      <c r="J43" s="151">
        <v>33333.699999999997</v>
      </c>
      <c r="K43" s="126" t="s">
        <v>315</v>
      </c>
      <c r="L43" s="130">
        <v>33333.699999999997</v>
      </c>
      <c r="M43" s="187"/>
      <c r="N43" s="184" t="s">
        <v>114</v>
      </c>
      <c r="O43" s="188">
        <v>26267</v>
      </c>
      <c r="P43" s="186">
        <v>42845</v>
      </c>
    </row>
    <row r="44" spans="1:16" ht="15.75" x14ac:dyDescent="0.25">
      <c r="A44"/>
      <c r="B44" s="149">
        <v>42832</v>
      </c>
      <c r="C44" s="140">
        <v>0</v>
      </c>
      <c r="D44" s="149"/>
      <c r="F44"/>
      <c r="G44"/>
      <c r="J44" s="151">
        <v>15951.56</v>
      </c>
      <c r="K44" s="126" t="s">
        <v>314</v>
      </c>
      <c r="L44" s="130">
        <v>15851.56</v>
      </c>
      <c r="M44" s="227"/>
      <c r="N44" s="184" t="s">
        <v>114</v>
      </c>
      <c r="O44" s="188">
        <v>33354</v>
      </c>
      <c r="P44" s="186">
        <v>42846</v>
      </c>
    </row>
    <row r="45" spans="1:16" ht="15.75" x14ac:dyDescent="0.25">
      <c r="A45"/>
      <c r="B45" s="149">
        <v>42833</v>
      </c>
      <c r="C45" s="140">
        <v>0</v>
      </c>
      <c r="D45" s="149"/>
      <c r="F45"/>
      <c r="G45"/>
      <c r="J45" s="151">
        <f>39757.5+26254.8</f>
        <v>66012.3</v>
      </c>
      <c r="K45" s="126" t="s">
        <v>316</v>
      </c>
      <c r="L45" s="130">
        <v>66012.38</v>
      </c>
      <c r="M45" s="187"/>
      <c r="N45" s="184" t="s">
        <v>114</v>
      </c>
      <c r="O45" s="188">
        <v>79263</v>
      </c>
      <c r="P45" s="186">
        <v>42849</v>
      </c>
    </row>
    <row r="46" spans="1:16" ht="15.75" x14ac:dyDescent="0.25">
      <c r="A46"/>
      <c r="B46" s="149">
        <v>42834</v>
      </c>
      <c r="C46" s="140">
        <v>0</v>
      </c>
      <c r="D46" s="149"/>
      <c r="E46"/>
      <c r="F46"/>
      <c r="G46"/>
      <c r="J46" s="151">
        <f>6873.23+1808.47</f>
        <v>8681.6999999999989</v>
      </c>
      <c r="K46" s="126" t="s">
        <v>317</v>
      </c>
      <c r="L46" s="130">
        <v>8681.7000000000007</v>
      </c>
      <c r="M46" s="187"/>
      <c r="N46" s="184" t="s">
        <v>114</v>
      </c>
      <c r="O46" s="188">
        <v>67867.5</v>
      </c>
      <c r="P46" s="186">
        <v>42849</v>
      </c>
    </row>
    <row r="47" spans="1:16" ht="15.75" x14ac:dyDescent="0.25">
      <c r="A47"/>
      <c r="B47" s="149">
        <v>42835</v>
      </c>
      <c r="C47" s="140">
        <v>0</v>
      </c>
      <c r="D47"/>
      <c r="E47"/>
      <c r="F47"/>
      <c r="G47"/>
      <c r="J47" s="151">
        <v>2728.41</v>
      </c>
      <c r="K47" s="126" t="s">
        <v>318</v>
      </c>
      <c r="L47" s="130">
        <v>3473.27</v>
      </c>
      <c r="M47" s="227" t="s">
        <v>126</v>
      </c>
      <c r="N47" s="184" t="s">
        <v>114</v>
      </c>
      <c r="O47" s="188">
        <v>41566</v>
      </c>
      <c r="P47" s="186">
        <v>42849</v>
      </c>
    </row>
    <row r="48" spans="1:16" ht="15.75" x14ac:dyDescent="0.25">
      <c r="A48"/>
      <c r="B48" s="149">
        <v>42836</v>
      </c>
      <c r="C48" s="140">
        <v>0</v>
      </c>
      <c r="D48"/>
      <c r="E48"/>
      <c r="F48"/>
      <c r="G48"/>
      <c r="J48" s="151"/>
      <c r="K48" s="126"/>
      <c r="L48" s="130">
        <v>0</v>
      </c>
      <c r="M48" s="187"/>
      <c r="N48" s="184" t="s">
        <v>114</v>
      </c>
      <c r="O48" s="188">
        <v>28983</v>
      </c>
      <c r="P48" s="186">
        <v>42850</v>
      </c>
    </row>
    <row r="49" spans="1:16" ht="15.75" x14ac:dyDescent="0.25">
      <c r="A49"/>
      <c r="B49" s="149">
        <v>42837</v>
      </c>
      <c r="C49" s="140">
        <v>0</v>
      </c>
      <c r="D49"/>
      <c r="E49"/>
      <c r="F49"/>
      <c r="G49"/>
      <c r="J49" s="151"/>
      <c r="K49" s="187"/>
      <c r="L49" s="187">
        <v>0</v>
      </c>
      <c r="M49" s="187"/>
      <c r="N49" s="184" t="s">
        <v>114</v>
      </c>
      <c r="O49" s="188"/>
      <c r="P49" s="186"/>
    </row>
    <row r="50" spans="1:16" ht="15.75" x14ac:dyDescent="0.25">
      <c r="A50"/>
      <c r="B50" s="149">
        <v>42838</v>
      </c>
      <c r="C50" s="140">
        <v>0</v>
      </c>
      <c r="D50"/>
      <c r="E50"/>
      <c r="F50"/>
      <c r="G50"/>
      <c r="J50" s="151"/>
      <c r="K50" s="187"/>
      <c r="L50" s="187">
        <v>0</v>
      </c>
      <c r="M50" s="187"/>
      <c r="N50" s="184" t="s">
        <v>114</v>
      </c>
      <c r="O50" s="188"/>
      <c r="P50" s="186"/>
    </row>
    <row r="51" spans="1:16" ht="16.5" thickBot="1" x14ac:dyDescent="0.3">
      <c r="A51"/>
      <c r="B51" s="149">
        <v>42839</v>
      </c>
      <c r="C51" s="140">
        <v>0</v>
      </c>
      <c r="D51"/>
      <c r="E51"/>
      <c r="F51"/>
      <c r="G51"/>
      <c r="J51" s="177">
        <f>SUM(J32:J50)</f>
        <v>615670.38000000012</v>
      </c>
      <c r="K51" s="207"/>
      <c r="L51" s="207">
        <v>0</v>
      </c>
      <c r="M51" s="207"/>
      <c r="N51" s="184" t="s">
        <v>114</v>
      </c>
      <c r="O51" s="221">
        <v>0</v>
      </c>
      <c r="P51" s="222"/>
    </row>
    <row r="52" spans="1:16" ht="17.25" thickTop="1" thickBot="1" x14ac:dyDescent="0.3">
      <c r="B52" s="149">
        <v>42840</v>
      </c>
      <c r="C52" s="140">
        <v>0</v>
      </c>
      <c r="D52"/>
      <c r="E52"/>
      <c r="K52" s="177"/>
      <c r="L52" s="177">
        <f>SUM(L32:L51)</f>
        <v>615670.5</v>
      </c>
      <c r="M52" s="178"/>
      <c r="N52" s="179"/>
      <c r="O52" s="204">
        <f>SUM(O32:O51)</f>
        <v>615670.5</v>
      </c>
      <c r="P52" s="181"/>
    </row>
    <row r="53" spans="1:16" x14ac:dyDescent="0.25">
      <c r="B53" s="149">
        <v>42841</v>
      </c>
      <c r="C53" s="140">
        <v>0</v>
      </c>
      <c r="D53"/>
      <c r="E53"/>
    </row>
    <row r="54" spans="1:16" x14ac:dyDescent="0.25">
      <c r="B54" s="149">
        <v>42842</v>
      </c>
      <c r="C54" s="140">
        <v>0</v>
      </c>
      <c r="D54"/>
      <c r="E54"/>
    </row>
    <row r="55" spans="1:16" x14ac:dyDescent="0.25">
      <c r="B55" s="149">
        <v>42843</v>
      </c>
      <c r="C55" s="140">
        <v>0</v>
      </c>
      <c r="D55"/>
      <c r="E55"/>
    </row>
    <row r="56" spans="1:16" x14ac:dyDescent="0.25">
      <c r="B56" s="149">
        <v>42844</v>
      </c>
      <c r="C56" s="140">
        <v>0</v>
      </c>
      <c r="D56"/>
      <c r="E56"/>
    </row>
    <row r="57" spans="1:16" x14ac:dyDescent="0.25">
      <c r="B57" s="149">
        <v>42845</v>
      </c>
      <c r="C57" s="140">
        <v>0</v>
      </c>
      <c r="D57"/>
      <c r="E57"/>
    </row>
    <row r="58" spans="1:16" x14ac:dyDescent="0.25">
      <c r="B58" s="149">
        <v>42846</v>
      </c>
      <c r="C58" s="140">
        <v>0</v>
      </c>
      <c r="D58"/>
      <c r="E58"/>
    </row>
    <row r="59" spans="1:16" x14ac:dyDescent="0.25">
      <c r="B59" s="149">
        <v>42847</v>
      </c>
      <c r="C59" s="140">
        <v>0</v>
      </c>
      <c r="D59"/>
      <c r="E59"/>
    </row>
    <row r="60" spans="1:16" x14ac:dyDescent="0.25">
      <c r="B60" s="149">
        <v>42848</v>
      </c>
      <c r="C60" s="164">
        <v>0</v>
      </c>
      <c r="D60"/>
      <c r="E60"/>
    </row>
    <row r="61" spans="1:16" x14ac:dyDescent="0.25">
      <c r="B61" s="149">
        <v>42849</v>
      </c>
      <c r="C61" s="140">
        <v>0</v>
      </c>
    </row>
    <row r="62" spans="1:16" x14ac:dyDescent="0.25">
      <c r="B62" s="149">
        <v>42850</v>
      </c>
      <c r="C62" s="140">
        <v>0</v>
      </c>
    </row>
    <row r="63" spans="1:16" x14ac:dyDescent="0.25">
      <c r="B63" s="149">
        <v>42851</v>
      </c>
      <c r="C63" s="140">
        <v>0</v>
      </c>
    </row>
    <row r="64" spans="1:16" x14ac:dyDescent="0.25">
      <c r="B64" s="149">
        <v>42852</v>
      </c>
      <c r="C64" s="140">
        <v>0</v>
      </c>
    </row>
    <row r="65" spans="2:3" x14ac:dyDescent="0.25">
      <c r="B65" s="149">
        <v>42853</v>
      </c>
      <c r="C65" s="140">
        <v>0</v>
      </c>
    </row>
    <row r="66" spans="2:3" x14ac:dyDescent="0.25">
      <c r="B66" s="149">
        <v>42854</v>
      </c>
      <c r="C66" s="140">
        <v>0</v>
      </c>
    </row>
    <row r="67" spans="2:3" ht="18.75" x14ac:dyDescent="0.3">
      <c r="C67" s="215">
        <f>SUM(C38:C66)</f>
        <v>1170</v>
      </c>
    </row>
  </sheetData>
  <sortState ref="A5:C21">
    <sortCondition ref="B5:B21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 N E R O  2 0 1 7     </vt:lpstr>
      <vt:lpstr>REMISIONES ENERO 2017   </vt:lpstr>
      <vt:lpstr>F E B R E R O   2 0 1 7     </vt:lpstr>
      <vt:lpstr>REMISIONES  FEBRERO  2017    </vt:lpstr>
      <vt:lpstr>M A R Z O  2 0 1 7     </vt:lpstr>
      <vt:lpstr>REMISIONES MARZO 2017  </vt:lpstr>
      <vt:lpstr>A B R I L   2 0 1 7      </vt:lpstr>
      <vt:lpstr>REMISIONES  ABRIL  2017     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2017-04-29T17:29:41Z</cp:lastPrinted>
  <dcterms:created xsi:type="dcterms:W3CDTF">2017-02-21T16:04:10Z</dcterms:created>
  <dcterms:modified xsi:type="dcterms:W3CDTF">2017-05-11T18:45:59Z</dcterms:modified>
</cp:coreProperties>
</file>