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4  ABRIL  2017\"/>
    </mc:Choice>
  </mc:AlternateContent>
  <bookViews>
    <workbookView xWindow="0" yWindow="0" windowWidth="24000" windowHeight="9735" activeTab="1"/>
  </bookViews>
  <sheets>
    <sheet name="marzo" sheetId="1" r:id="rId1"/>
    <sheet name="abr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3" i="2" l="1"/>
  <c r="G83" i="2"/>
  <c r="H83" i="2" s="1"/>
  <c r="F83" i="2"/>
  <c r="E83" i="2"/>
  <c r="S83" i="2" s="1"/>
  <c r="Y81" i="2"/>
  <c r="Z81" i="2" s="1"/>
  <c r="X81" i="2"/>
  <c r="H81" i="2"/>
  <c r="Y80" i="2"/>
  <c r="Z80" i="2" s="1"/>
  <c r="X80" i="2"/>
  <c r="H80" i="2"/>
  <c r="Y79" i="2"/>
  <c r="Z79" i="2" s="1"/>
  <c r="X79" i="2"/>
  <c r="H79" i="2"/>
  <c r="P78" i="2"/>
  <c r="F78" i="2"/>
  <c r="H78" i="2" s="1"/>
  <c r="U77" i="2"/>
  <c r="S77" i="2"/>
  <c r="R77" i="2"/>
  <c r="H77" i="2"/>
  <c r="Q76" i="2"/>
  <c r="G76" i="2"/>
  <c r="F76" i="2"/>
  <c r="E76" i="2"/>
  <c r="R76" i="2" s="1"/>
  <c r="X75" i="2"/>
  <c r="P75" i="2"/>
  <c r="F75" i="2"/>
  <c r="H75" i="2" s="1"/>
  <c r="X74" i="2"/>
  <c r="T74" i="2" s="1"/>
  <c r="P74" i="2"/>
  <c r="F74" i="2"/>
  <c r="H74" i="2" s="1"/>
  <c r="U73" i="2"/>
  <c r="S73" i="2"/>
  <c r="R73" i="2"/>
  <c r="H73" i="2"/>
  <c r="U72" i="2"/>
  <c r="S72" i="2"/>
  <c r="R72" i="2"/>
  <c r="H72" i="2"/>
  <c r="X71" i="2"/>
  <c r="T71" i="2" s="1"/>
  <c r="Y71" i="2" s="1"/>
  <c r="Z71" i="2" s="1"/>
  <c r="F71" i="2"/>
  <c r="H71" i="2" s="1"/>
  <c r="P70" i="2"/>
  <c r="X70" i="2" s="1"/>
  <c r="H70" i="2"/>
  <c r="F70" i="2"/>
  <c r="U69" i="2"/>
  <c r="S69" i="2"/>
  <c r="X69" i="2" s="1"/>
  <c r="T69" i="2" s="1"/>
  <c r="R69" i="2"/>
  <c r="G69" i="2"/>
  <c r="H69" i="2" s="1"/>
  <c r="X68" i="2"/>
  <c r="T68" i="2" s="1"/>
  <c r="Y68" i="2" s="1"/>
  <c r="Z68" i="2" s="1"/>
  <c r="P68" i="2"/>
  <c r="F68" i="2"/>
  <c r="H68" i="2" s="1"/>
  <c r="X67" i="2"/>
  <c r="T67" i="2" s="1"/>
  <c r="P67" i="2"/>
  <c r="F67" i="2"/>
  <c r="H67" i="2" s="1"/>
  <c r="U66" i="2"/>
  <c r="H66" i="2"/>
  <c r="G66" i="2"/>
  <c r="E66" i="2"/>
  <c r="S66" i="2" s="1"/>
  <c r="U65" i="2"/>
  <c r="S65" i="2"/>
  <c r="R65" i="2"/>
  <c r="H65" i="2"/>
  <c r="U64" i="2"/>
  <c r="S64" i="2"/>
  <c r="R64" i="2"/>
  <c r="H64" i="2"/>
  <c r="Y62" i="2"/>
  <c r="Z62" i="2" s="1"/>
  <c r="X62" i="2"/>
  <c r="H62" i="2"/>
  <c r="P61" i="2"/>
  <c r="X61" i="2" s="1"/>
  <c r="T61" i="2" s="1"/>
  <c r="Y61" i="2" s="1"/>
  <c r="Z61" i="2" s="1"/>
  <c r="H61" i="2"/>
  <c r="F61" i="2"/>
  <c r="Y60" i="2"/>
  <c r="Z60" i="2" s="1"/>
  <c r="X60" i="2"/>
  <c r="H60" i="2"/>
  <c r="Y59" i="2"/>
  <c r="Z59" i="2" s="1"/>
  <c r="X59" i="2"/>
  <c r="H59" i="2"/>
  <c r="U58" i="2"/>
  <c r="S58" i="2"/>
  <c r="R58" i="2"/>
  <c r="F58" i="2"/>
  <c r="H58" i="2" s="1"/>
  <c r="Q57" i="2"/>
  <c r="G57" i="2"/>
  <c r="H57" i="2" s="1"/>
  <c r="F57" i="2"/>
  <c r="E57" i="2"/>
  <c r="U57" i="2" s="1"/>
  <c r="P56" i="2"/>
  <c r="X56" i="2" s="1"/>
  <c r="T56" i="2" s="1"/>
  <c r="Y56" i="2" s="1"/>
  <c r="Z56" i="2" s="1"/>
  <c r="H56" i="2"/>
  <c r="F56" i="2"/>
  <c r="P55" i="2"/>
  <c r="X55" i="2" s="1"/>
  <c r="T55" i="2" s="1"/>
  <c r="Y55" i="2" s="1"/>
  <c r="Z55" i="2" s="1"/>
  <c r="F55" i="2"/>
  <c r="H55" i="2" s="1"/>
  <c r="U54" i="2"/>
  <c r="S54" i="2"/>
  <c r="R54" i="2"/>
  <c r="F54" i="2"/>
  <c r="H54" i="2" s="1"/>
  <c r="P53" i="2"/>
  <c r="X53" i="2" s="1"/>
  <c r="T53" i="2" s="1"/>
  <c r="Y53" i="2" s="1"/>
  <c r="Z53" i="2" s="1"/>
  <c r="F53" i="2"/>
  <c r="H53" i="2" s="1"/>
  <c r="P52" i="2"/>
  <c r="F52" i="2"/>
  <c r="H52" i="2" s="1"/>
  <c r="U51" i="2"/>
  <c r="S51" i="2"/>
  <c r="R51" i="2"/>
  <c r="G51" i="2"/>
  <c r="H51" i="2" s="1"/>
  <c r="P50" i="2"/>
  <c r="F50" i="2"/>
  <c r="H50" i="2" s="1"/>
  <c r="P49" i="2"/>
  <c r="F49" i="2"/>
  <c r="H49" i="2" s="1"/>
  <c r="G48" i="2"/>
  <c r="H48" i="2" s="1"/>
  <c r="E48" i="2"/>
  <c r="R48" i="2" s="1"/>
  <c r="U47" i="2"/>
  <c r="S47" i="2"/>
  <c r="R47" i="2"/>
  <c r="H47" i="2"/>
  <c r="Q46" i="2"/>
  <c r="G46" i="2"/>
  <c r="F46" i="2"/>
  <c r="E46" i="2"/>
  <c r="S46" i="2" s="1"/>
  <c r="P44" i="2"/>
  <c r="X44" i="2" s="1"/>
  <c r="T44" i="2" s="1"/>
  <c r="Y44" i="2" s="1"/>
  <c r="Z44" i="2" s="1"/>
  <c r="F44" i="2"/>
  <c r="H44" i="2" s="1"/>
  <c r="Y43" i="2"/>
  <c r="Z43" i="2" s="1"/>
  <c r="X43" i="2"/>
  <c r="H43" i="2"/>
  <c r="Y42" i="2"/>
  <c r="Z42" i="2" s="1"/>
  <c r="X42" i="2"/>
  <c r="H42" i="2"/>
  <c r="Y41" i="2"/>
  <c r="Z41" i="2" s="1"/>
  <c r="X41" i="2"/>
  <c r="H41" i="2"/>
  <c r="Y40" i="2"/>
  <c r="Z40" i="2" s="1"/>
  <c r="X40" i="2"/>
  <c r="H40" i="2"/>
  <c r="F39" i="2"/>
  <c r="E39" i="2"/>
  <c r="S39" i="2" s="1"/>
  <c r="F38" i="2"/>
  <c r="E38" i="2"/>
  <c r="P37" i="2"/>
  <c r="X37" i="2" s="1"/>
  <c r="T37" i="2" s="1"/>
  <c r="F37" i="2"/>
  <c r="H37" i="2" s="1"/>
  <c r="P36" i="2"/>
  <c r="F36" i="2"/>
  <c r="H36" i="2" s="1"/>
  <c r="P35" i="2"/>
  <c r="X35" i="2" s="1"/>
  <c r="T35" i="2" s="1"/>
  <c r="Y35" i="2" s="1"/>
  <c r="Z35" i="2" s="1"/>
  <c r="F35" i="2"/>
  <c r="H35" i="2" s="1"/>
  <c r="X34" i="2"/>
  <c r="T34" i="2" s="1"/>
  <c r="Y34" i="2" s="1"/>
  <c r="Z34" i="2" s="1"/>
  <c r="P34" i="2"/>
  <c r="F34" i="2"/>
  <c r="H34" i="2" s="1"/>
  <c r="Y33" i="2"/>
  <c r="Z33" i="2" s="1"/>
  <c r="X33" i="2"/>
  <c r="H33" i="2"/>
  <c r="U32" i="2"/>
  <c r="X32" i="2" s="1"/>
  <c r="T32" i="2" s="1"/>
  <c r="Y32" i="2" s="1"/>
  <c r="Z32" i="2" s="1"/>
  <c r="H32" i="2"/>
  <c r="Y31" i="2"/>
  <c r="Z31" i="2" s="1"/>
  <c r="U31" i="2"/>
  <c r="S31" i="2"/>
  <c r="R31" i="2"/>
  <c r="G31" i="2"/>
  <c r="H31" i="2" s="1"/>
  <c r="F31" i="2"/>
  <c r="Z29" i="2"/>
  <c r="Y29" i="2"/>
  <c r="X29" i="2"/>
  <c r="H29" i="2"/>
  <c r="Y28" i="2"/>
  <c r="Z28" i="2" s="1"/>
  <c r="X28" i="2"/>
  <c r="H28" i="2"/>
  <c r="P27" i="2"/>
  <c r="F27" i="2"/>
  <c r="H27" i="2" s="1"/>
  <c r="Y26" i="2"/>
  <c r="Z26" i="2" s="1"/>
  <c r="U26" i="2"/>
  <c r="X26" i="2" s="1"/>
  <c r="H26" i="2"/>
  <c r="U25" i="2"/>
  <c r="S25" i="2"/>
  <c r="R25" i="2"/>
  <c r="H25" i="2"/>
  <c r="U24" i="2"/>
  <c r="S24" i="2"/>
  <c r="R24" i="2"/>
  <c r="H24" i="2"/>
  <c r="P23" i="2"/>
  <c r="F23" i="2"/>
  <c r="H23" i="2" s="1"/>
  <c r="P22" i="2"/>
  <c r="X22" i="2" s="1"/>
  <c r="T22" i="2" s="1"/>
  <c r="Y22" i="2" s="1"/>
  <c r="Z22" i="2" s="1"/>
  <c r="F22" i="2"/>
  <c r="H22" i="2" s="1"/>
  <c r="U21" i="2"/>
  <c r="S21" i="2"/>
  <c r="R21" i="2"/>
  <c r="H21" i="2"/>
  <c r="S20" i="2"/>
  <c r="Q20" i="2"/>
  <c r="G20" i="2"/>
  <c r="F20" i="2"/>
  <c r="E20" i="2"/>
  <c r="U20" i="2" s="1"/>
  <c r="X19" i="2"/>
  <c r="P19" i="2"/>
  <c r="F19" i="2"/>
  <c r="H19" i="2" s="1"/>
  <c r="Z18" i="2"/>
  <c r="Y18" i="2"/>
  <c r="X18" i="2"/>
  <c r="H18" i="2"/>
  <c r="Z17" i="2"/>
  <c r="Y17" i="2"/>
  <c r="X17" i="2"/>
  <c r="H17" i="2"/>
  <c r="Z16" i="2"/>
  <c r="Y16" i="2"/>
  <c r="X16" i="2"/>
  <c r="H16" i="2"/>
  <c r="Z15" i="2"/>
  <c r="Y15" i="2"/>
  <c r="X15" i="2"/>
  <c r="H15" i="2"/>
  <c r="Z14" i="2"/>
  <c r="Y14" i="2"/>
  <c r="X14" i="2"/>
  <c r="H14" i="2"/>
  <c r="U13" i="2"/>
  <c r="S13" i="2"/>
  <c r="R13" i="2"/>
  <c r="H13" i="2"/>
  <c r="G13" i="2"/>
  <c r="X12" i="2"/>
  <c r="P12" i="2"/>
  <c r="F12" i="2"/>
  <c r="H12" i="2" s="1"/>
  <c r="U11" i="2"/>
  <c r="S11" i="2"/>
  <c r="R11" i="2"/>
  <c r="H11" i="2"/>
  <c r="G11" i="2"/>
  <c r="X10" i="2"/>
  <c r="P10" i="2"/>
  <c r="F10" i="2"/>
  <c r="H10" i="2" s="1"/>
  <c r="X9" i="2"/>
  <c r="T9" i="2" s="1"/>
  <c r="P9" i="2"/>
  <c r="F9" i="2"/>
  <c r="H9" i="2" s="1"/>
  <c r="U8" i="2"/>
  <c r="S8" i="2"/>
  <c r="R8" i="2"/>
  <c r="X8" i="2" s="1"/>
  <c r="T8" i="2" s="1"/>
  <c r="G8" i="2"/>
  <c r="H8" i="2" s="1"/>
  <c r="U7" i="2"/>
  <c r="S7" i="2"/>
  <c r="R7" i="2"/>
  <c r="H7" i="2"/>
  <c r="Q6" i="2"/>
  <c r="G6" i="2"/>
  <c r="F6" i="2"/>
  <c r="H6" i="2" s="1"/>
  <c r="E6" i="2"/>
  <c r="P4" i="2"/>
  <c r="X4" i="2" s="1"/>
  <c r="T4" i="2" s="1"/>
  <c r="F4" i="2"/>
  <c r="H4" i="2" s="1"/>
  <c r="P3" i="2"/>
  <c r="F3" i="2"/>
  <c r="H3" i="2" s="1"/>
  <c r="S76" i="2" l="1"/>
  <c r="Y8" i="2"/>
  <c r="Z8" i="2" s="1"/>
  <c r="Y9" i="2"/>
  <c r="Z9" i="2" s="1"/>
  <c r="H46" i="2"/>
  <c r="X21" i="2"/>
  <c r="T21" i="2" s="1"/>
  <c r="R39" i="2"/>
  <c r="Y39" i="2" s="1"/>
  <c r="Z39" i="2" s="1"/>
  <c r="X50" i="2"/>
  <c r="T50" i="2" s="1"/>
  <c r="Y50" i="2" s="1"/>
  <c r="Z50" i="2" s="1"/>
  <c r="X52" i="2"/>
  <c r="T52" i="2" s="1"/>
  <c r="Y52" i="2" s="1"/>
  <c r="Z52" i="2" s="1"/>
  <c r="R57" i="2"/>
  <c r="X58" i="2"/>
  <c r="T58" i="2" s="1"/>
  <c r="Y58" i="2" s="1"/>
  <c r="Z58" i="2" s="1"/>
  <c r="Y69" i="2"/>
  <c r="Z69" i="2" s="1"/>
  <c r="T70" i="2"/>
  <c r="Y70" i="2" s="1"/>
  <c r="Z70" i="2" s="1"/>
  <c r="X72" i="2"/>
  <c r="T72" i="2" s="1"/>
  <c r="X73" i="2"/>
  <c r="T73" i="2" s="1"/>
  <c r="H76" i="2"/>
  <c r="X77" i="2"/>
  <c r="T77" i="2" s="1"/>
  <c r="R20" i="2"/>
  <c r="X20" i="2" s="1"/>
  <c r="T20" i="2" s="1"/>
  <c r="Y20" i="2" s="1"/>
  <c r="Z20" i="2" s="1"/>
  <c r="X31" i="2"/>
  <c r="X57" i="2"/>
  <c r="T57" i="2" s="1"/>
  <c r="Y57" i="2" s="1"/>
  <c r="Z57" i="2" s="1"/>
  <c r="S57" i="2"/>
  <c r="X64" i="2"/>
  <c r="T64" i="2" s="1"/>
  <c r="X65" i="2"/>
  <c r="T65" i="2" s="1"/>
  <c r="Y67" i="2"/>
  <c r="Z67" i="2" s="1"/>
  <c r="Y72" i="2"/>
  <c r="Z72" i="2" s="1"/>
  <c r="Y73" i="2"/>
  <c r="Z73" i="2" s="1"/>
  <c r="T75" i="2"/>
  <c r="Y75" i="2" s="1"/>
  <c r="Z75" i="2" s="1"/>
  <c r="X23" i="2"/>
  <c r="T23" i="2" s="1"/>
  <c r="Y23" i="2" s="1"/>
  <c r="Z23" i="2" s="1"/>
  <c r="X48" i="2"/>
  <c r="T48" i="2" s="1"/>
  <c r="S6" i="2"/>
  <c r="R6" i="2"/>
  <c r="H20" i="2"/>
  <c r="R38" i="2"/>
  <c r="U38" i="2"/>
  <c r="Y64" i="2"/>
  <c r="Z64" i="2" s="1"/>
  <c r="Y65" i="2"/>
  <c r="Z65" i="2" s="1"/>
  <c r="Y4" i="2"/>
  <c r="Z4" i="2" s="1"/>
  <c r="T10" i="2"/>
  <c r="Y10" i="2" s="1"/>
  <c r="Z10" i="2" s="1"/>
  <c r="T12" i="2"/>
  <c r="Y12" i="2" s="1"/>
  <c r="Z12" i="2" s="1"/>
  <c r="T19" i="2"/>
  <c r="Y19" i="2" s="1"/>
  <c r="Z19" i="2" s="1"/>
  <c r="X27" i="2"/>
  <c r="T27" i="2" s="1"/>
  <c r="Y27" i="2" s="1"/>
  <c r="Z27" i="2" s="1"/>
  <c r="Y37" i="2"/>
  <c r="Z37" i="2" s="1"/>
  <c r="U6" i="2"/>
  <c r="X3" i="2"/>
  <c r="T3" i="2" s="1"/>
  <c r="Y3" i="2" s="1"/>
  <c r="Z3" i="2" s="1"/>
  <c r="Y21" i="2"/>
  <c r="Z21" i="2" s="1"/>
  <c r="X36" i="2"/>
  <c r="T36" i="2" s="1"/>
  <c r="Y36" i="2" s="1"/>
  <c r="Z36" i="2" s="1"/>
  <c r="S38" i="2"/>
  <c r="X38" i="2" s="1"/>
  <c r="Y74" i="2"/>
  <c r="Z74" i="2" s="1"/>
  <c r="Y77" i="2"/>
  <c r="Z77" i="2" s="1"/>
  <c r="U46" i="2"/>
  <c r="X6" i="2"/>
  <c r="T6" i="2" s="1"/>
  <c r="X7" i="2"/>
  <c r="T7" i="2" s="1"/>
  <c r="Y7" i="2" s="1"/>
  <c r="Z7" i="2" s="1"/>
  <c r="X11" i="2"/>
  <c r="T11" i="2" s="1"/>
  <c r="Y11" i="2" s="1"/>
  <c r="Z11" i="2" s="1"/>
  <c r="X13" i="2"/>
  <c r="T13" i="2" s="1"/>
  <c r="Y13" i="2" s="1"/>
  <c r="Z13" i="2" s="1"/>
  <c r="R46" i="2"/>
  <c r="X46" i="2" s="1"/>
  <c r="T46" i="2" s="1"/>
  <c r="X47" i="2"/>
  <c r="T47" i="2" s="1"/>
  <c r="Y47" i="2" s="1"/>
  <c r="Z47" i="2" s="1"/>
  <c r="X54" i="2"/>
  <c r="T54" i="2" s="1"/>
  <c r="Y54" i="2" s="1"/>
  <c r="Z54" i="2" s="1"/>
  <c r="R66" i="2"/>
  <c r="U83" i="2"/>
  <c r="S48" i="2"/>
  <c r="X24" i="2"/>
  <c r="T24" i="2" s="1"/>
  <c r="Y24" i="2" s="1"/>
  <c r="Z24" i="2" s="1"/>
  <c r="X25" i="2"/>
  <c r="T25" i="2" s="1"/>
  <c r="Y25" i="2" s="1"/>
  <c r="Z25" i="2" s="1"/>
  <c r="H38" i="2"/>
  <c r="U48" i="2"/>
  <c r="X49" i="2"/>
  <c r="T49" i="2" s="1"/>
  <c r="Y49" i="2" s="1"/>
  <c r="Z49" i="2" s="1"/>
  <c r="X51" i="2"/>
  <c r="T51" i="2" s="1"/>
  <c r="Y51" i="2" s="1"/>
  <c r="Z51" i="2" s="1"/>
  <c r="U76" i="2"/>
  <c r="X76" i="2" s="1"/>
  <c r="T76" i="2" s="1"/>
  <c r="Y76" i="2" s="1"/>
  <c r="Z76" i="2" s="1"/>
  <c r="X78" i="2"/>
  <c r="T78" i="2" s="1"/>
  <c r="Y78" i="2" s="1"/>
  <c r="Z78" i="2" s="1"/>
  <c r="R83" i="2"/>
  <c r="H39" i="2"/>
  <c r="U90" i="1"/>
  <c r="S90" i="1"/>
  <c r="R90" i="1"/>
  <c r="H90" i="1"/>
  <c r="Q89" i="1"/>
  <c r="G89" i="1"/>
  <c r="F89" i="1"/>
  <c r="H89" i="1" s="1"/>
  <c r="E89" i="1"/>
  <c r="S89" i="1" s="1"/>
  <c r="P88" i="1"/>
  <c r="F88" i="1"/>
  <c r="H88" i="1" s="1"/>
  <c r="U87" i="1"/>
  <c r="S87" i="1"/>
  <c r="R87" i="1"/>
  <c r="H87" i="1"/>
  <c r="Q86" i="1"/>
  <c r="G86" i="1"/>
  <c r="H86" i="1" s="1"/>
  <c r="F86" i="1"/>
  <c r="E86" i="1"/>
  <c r="U86" i="1" s="1"/>
  <c r="X85" i="1"/>
  <c r="T85" i="1" s="1"/>
  <c r="Y85" i="1" s="1"/>
  <c r="Z85" i="1" s="1"/>
  <c r="P85" i="1"/>
  <c r="H85" i="1"/>
  <c r="F85" i="1"/>
  <c r="Y84" i="1"/>
  <c r="Z84" i="1" s="1"/>
  <c r="X84" i="1"/>
  <c r="H84" i="1"/>
  <c r="Y83" i="1"/>
  <c r="Z83" i="1" s="1"/>
  <c r="X83" i="1"/>
  <c r="H83" i="1"/>
  <c r="Y82" i="1"/>
  <c r="Z82" i="1" s="1"/>
  <c r="X82" i="1"/>
  <c r="H82" i="1"/>
  <c r="Y81" i="1"/>
  <c r="Z81" i="1" s="1"/>
  <c r="X81" i="1"/>
  <c r="H81" i="1"/>
  <c r="Y80" i="1"/>
  <c r="Z80" i="1" s="1"/>
  <c r="X80" i="1"/>
  <c r="H80" i="1"/>
  <c r="U79" i="1"/>
  <c r="S79" i="1"/>
  <c r="R79" i="1"/>
  <c r="X79" i="1" s="1"/>
  <c r="T79" i="1" s="1"/>
  <c r="G79" i="1"/>
  <c r="H79" i="1" s="1"/>
  <c r="P78" i="1"/>
  <c r="X78" i="1" s="1"/>
  <c r="F78" i="1"/>
  <c r="H78" i="1" s="1"/>
  <c r="U77" i="1"/>
  <c r="S77" i="1"/>
  <c r="R77" i="1"/>
  <c r="X77" i="1" s="1"/>
  <c r="T77" i="1" s="1"/>
  <c r="G77" i="1"/>
  <c r="H77" i="1" s="1"/>
  <c r="P76" i="1"/>
  <c r="X76" i="1" s="1"/>
  <c r="T76" i="1" s="1"/>
  <c r="F76" i="1"/>
  <c r="H76" i="1" s="1"/>
  <c r="P75" i="1"/>
  <c r="X75" i="1" s="1"/>
  <c r="F75" i="1"/>
  <c r="H75" i="1" s="1"/>
  <c r="Z74" i="1"/>
  <c r="Y74" i="1"/>
  <c r="X74" i="1"/>
  <c r="H74" i="1"/>
  <c r="Z73" i="1"/>
  <c r="Y73" i="1"/>
  <c r="X73" i="1"/>
  <c r="H73" i="1"/>
  <c r="Z72" i="1"/>
  <c r="Y72" i="1"/>
  <c r="X72" i="1"/>
  <c r="H72" i="1"/>
  <c r="U71" i="1"/>
  <c r="S71" i="1"/>
  <c r="R71" i="1"/>
  <c r="G71" i="1"/>
  <c r="H71" i="1" s="1"/>
  <c r="U70" i="1"/>
  <c r="S70" i="1"/>
  <c r="R70" i="1"/>
  <c r="X70" i="1" s="1"/>
  <c r="T70" i="1" s="1"/>
  <c r="G70" i="1"/>
  <c r="H70" i="1" s="1"/>
  <c r="P68" i="1"/>
  <c r="X68" i="1" s="1"/>
  <c r="F68" i="1"/>
  <c r="H68" i="1" s="1"/>
  <c r="U67" i="1"/>
  <c r="S67" i="1"/>
  <c r="R67" i="1"/>
  <c r="X67" i="1" s="1"/>
  <c r="T67" i="1" s="1"/>
  <c r="H67" i="1"/>
  <c r="S66" i="1"/>
  <c r="Q66" i="1"/>
  <c r="G66" i="1"/>
  <c r="F66" i="1"/>
  <c r="E66" i="1"/>
  <c r="U66" i="1" s="1"/>
  <c r="X65" i="1"/>
  <c r="T65" i="1" s="1"/>
  <c r="Y65" i="1" s="1"/>
  <c r="Z65" i="1" s="1"/>
  <c r="P65" i="1"/>
  <c r="F65" i="1"/>
  <c r="H65" i="1" s="1"/>
  <c r="Y64" i="1"/>
  <c r="Z64" i="1" s="1"/>
  <c r="X64" i="1"/>
  <c r="H64" i="1"/>
  <c r="U63" i="1"/>
  <c r="S63" i="1"/>
  <c r="R63" i="1"/>
  <c r="H63" i="1"/>
  <c r="G62" i="1"/>
  <c r="H62" i="1" s="1"/>
  <c r="F62" i="1"/>
  <c r="E62" i="1"/>
  <c r="S62" i="1" s="1"/>
  <c r="P61" i="1"/>
  <c r="F61" i="1"/>
  <c r="H61" i="1" s="1"/>
  <c r="U60" i="1"/>
  <c r="S60" i="1"/>
  <c r="R60" i="1"/>
  <c r="G60" i="1"/>
  <c r="H60" i="1" s="1"/>
  <c r="P59" i="1"/>
  <c r="F59" i="1"/>
  <c r="H59" i="1" s="1"/>
  <c r="P58" i="1"/>
  <c r="X58" i="1" s="1"/>
  <c r="T58" i="1" s="1"/>
  <c r="F58" i="1"/>
  <c r="H58" i="1" s="1"/>
  <c r="U57" i="1"/>
  <c r="S57" i="1"/>
  <c r="R57" i="1"/>
  <c r="X57" i="1" s="1"/>
  <c r="T57" i="1" s="1"/>
  <c r="G57" i="1"/>
  <c r="H57" i="1" s="1"/>
  <c r="U56" i="1"/>
  <c r="S56" i="1"/>
  <c r="R56" i="1"/>
  <c r="G56" i="1"/>
  <c r="H56" i="1" s="1"/>
  <c r="U55" i="1"/>
  <c r="S55" i="1"/>
  <c r="R55" i="1"/>
  <c r="H55" i="1"/>
  <c r="X53" i="1"/>
  <c r="T53" i="1" s="1"/>
  <c r="Y53" i="1" s="1"/>
  <c r="Z53" i="1" s="1"/>
  <c r="H53" i="1"/>
  <c r="F53" i="1"/>
  <c r="X52" i="1"/>
  <c r="T52" i="1" s="1"/>
  <c r="P52" i="1"/>
  <c r="F52" i="1"/>
  <c r="H52" i="1" s="1"/>
  <c r="P51" i="1"/>
  <c r="X51" i="1" s="1"/>
  <c r="T51" i="1" s="1"/>
  <c r="Y51" i="1" s="1"/>
  <c r="Z51" i="1" s="1"/>
  <c r="F51" i="1"/>
  <c r="H51" i="1" s="1"/>
  <c r="Y50" i="1"/>
  <c r="Z50" i="1" s="1"/>
  <c r="X50" i="1"/>
  <c r="H50" i="1"/>
  <c r="U49" i="1"/>
  <c r="S49" i="1"/>
  <c r="R49" i="1"/>
  <c r="H49" i="1"/>
  <c r="Q48" i="1"/>
  <c r="G48" i="1"/>
  <c r="H48" i="1" s="1"/>
  <c r="F48" i="1"/>
  <c r="E48" i="1"/>
  <c r="S48" i="1" s="1"/>
  <c r="P47" i="1"/>
  <c r="F47" i="1"/>
  <c r="H47" i="1" s="1"/>
  <c r="U46" i="1"/>
  <c r="S46" i="1"/>
  <c r="R46" i="1"/>
  <c r="H46" i="1"/>
  <c r="Q45" i="1"/>
  <c r="G45" i="1"/>
  <c r="H45" i="1" s="1"/>
  <c r="F45" i="1"/>
  <c r="E45" i="1"/>
  <c r="U45" i="1" s="1"/>
  <c r="P44" i="1"/>
  <c r="X44" i="1" s="1"/>
  <c r="T44" i="1" s="1"/>
  <c r="Y44" i="1" s="1"/>
  <c r="Z44" i="1" s="1"/>
  <c r="F44" i="1"/>
  <c r="H44" i="1" s="1"/>
  <c r="U43" i="1"/>
  <c r="S43" i="1"/>
  <c r="R43" i="1"/>
  <c r="X43" i="1" s="1"/>
  <c r="T43" i="1" s="1"/>
  <c r="G43" i="1"/>
  <c r="H43" i="1" s="1"/>
  <c r="X42" i="1"/>
  <c r="T42" i="1" s="1"/>
  <c r="P42" i="1"/>
  <c r="Y42" i="1" s="1"/>
  <c r="Z42" i="1" s="1"/>
  <c r="H42" i="1"/>
  <c r="F42" i="1"/>
  <c r="Y41" i="1"/>
  <c r="Z41" i="1" s="1"/>
  <c r="X41" i="1"/>
  <c r="H41" i="1"/>
  <c r="F41" i="1"/>
  <c r="Y40" i="1"/>
  <c r="Z40" i="1" s="1"/>
  <c r="X40" i="1"/>
  <c r="H40" i="1"/>
  <c r="Y39" i="1"/>
  <c r="Z39" i="1" s="1"/>
  <c r="X39" i="1"/>
  <c r="H39" i="1"/>
  <c r="U38" i="1"/>
  <c r="S38" i="1"/>
  <c r="R38" i="1"/>
  <c r="X38" i="1" s="1"/>
  <c r="T38" i="1" s="1"/>
  <c r="G38" i="1"/>
  <c r="H38" i="1" s="1"/>
  <c r="P37" i="1"/>
  <c r="H37" i="1"/>
  <c r="F37" i="1"/>
  <c r="X36" i="1"/>
  <c r="T36" i="1" s="1"/>
  <c r="Y36" i="1" s="1"/>
  <c r="Z36" i="1" s="1"/>
  <c r="P36" i="1"/>
  <c r="H36" i="1"/>
  <c r="F36" i="1"/>
  <c r="U35" i="1"/>
  <c r="S35" i="1"/>
  <c r="X35" i="1" s="1"/>
  <c r="T35" i="1" s="1"/>
  <c r="R35" i="1"/>
  <c r="H35" i="1"/>
  <c r="G35" i="1"/>
  <c r="U34" i="1"/>
  <c r="S34" i="1"/>
  <c r="R34" i="1"/>
  <c r="G34" i="1"/>
  <c r="H34" i="1" s="1"/>
  <c r="X32" i="1"/>
  <c r="F32" i="1"/>
  <c r="T32" i="1" s="1"/>
  <c r="Y32" i="1" s="1"/>
  <c r="Z32" i="1" s="1"/>
  <c r="P31" i="1"/>
  <c r="X31" i="1" s="1"/>
  <c r="T31" i="1" s="1"/>
  <c r="Y31" i="1" s="1"/>
  <c r="Z31" i="1" s="1"/>
  <c r="F31" i="1"/>
  <c r="H31" i="1" s="1"/>
  <c r="Y30" i="1"/>
  <c r="Z30" i="1" s="1"/>
  <c r="X30" i="1"/>
  <c r="H30" i="1"/>
  <c r="Y29" i="1"/>
  <c r="Z29" i="1" s="1"/>
  <c r="X29" i="1"/>
  <c r="H29" i="1"/>
  <c r="U28" i="1"/>
  <c r="F28" i="1"/>
  <c r="H28" i="1" s="1"/>
  <c r="E28" i="1"/>
  <c r="S28" i="1" s="1"/>
  <c r="U27" i="1"/>
  <c r="S27" i="1"/>
  <c r="R27" i="1"/>
  <c r="X27" i="1" s="1"/>
  <c r="T27" i="1" s="1"/>
  <c r="H27" i="1"/>
  <c r="U26" i="1"/>
  <c r="S26" i="1"/>
  <c r="R26" i="1"/>
  <c r="H26" i="1"/>
  <c r="S25" i="1"/>
  <c r="Q25" i="1"/>
  <c r="G25" i="1"/>
  <c r="F25" i="1"/>
  <c r="E25" i="1"/>
  <c r="U25" i="1" s="1"/>
  <c r="Y24" i="1"/>
  <c r="Z24" i="1" s="1"/>
  <c r="P24" i="1"/>
  <c r="X24" i="1" s="1"/>
  <c r="T24" i="1" s="1"/>
  <c r="H24" i="1"/>
  <c r="F24" i="1"/>
  <c r="Y23" i="1"/>
  <c r="Z23" i="1" s="1"/>
  <c r="X23" i="1"/>
  <c r="F23" i="1"/>
  <c r="H23" i="1" s="1"/>
  <c r="U22" i="1"/>
  <c r="S22" i="1"/>
  <c r="R22" i="1"/>
  <c r="G22" i="1"/>
  <c r="H22" i="1" s="1"/>
  <c r="P21" i="1"/>
  <c r="F21" i="1"/>
  <c r="H21" i="1" s="1"/>
  <c r="P20" i="1"/>
  <c r="X20" i="1" s="1"/>
  <c r="T20" i="1" s="1"/>
  <c r="Y20" i="1" s="1"/>
  <c r="Z20" i="1" s="1"/>
  <c r="H20" i="1"/>
  <c r="F20" i="1"/>
  <c r="U19" i="1"/>
  <c r="S19" i="1"/>
  <c r="R19" i="1"/>
  <c r="G19" i="1"/>
  <c r="H19" i="1" s="1"/>
  <c r="X18" i="1"/>
  <c r="F18" i="1"/>
  <c r="H18" i="1" s="1"/>
  <c r="P17" i="1"/>
  <c r="X17" i="1" s="1"/>
  <c r="T17" i="1" s="1"/>
  <c r="Y17" i="1" s="1"/>
  <c r="Z17" i="1" s="1"/>
  <c r="F17" i="1"/>
  <c r="H17" i="1" s="1"/>
  <c r="P16" i="1"/>
  <c r="F16" i="1"/>
  <c r="H16" i="1" s="1"/>
  <c r="Y15" i="1"/>
  <c r="Z15" i="1" s="1"/>
  <c r="P15" i="1"/>
  <c r="X15" i="1" s="1"/>
  <c r="T15" i="1" s="1"/>
  <c r="H15" i="1"/>
  <c r="F15" i="1"/>
  <c r="X14" i="1"/>
  <c r="T14" i="1" s="1"/>
  <c r="U14" i="1"/>
  <c r="S14" i="1"/>
  <c r="R14" i="1"/>
  <c r="H14" i="1"/>
  <c r="G14" i="1"/>
  <c r="G13" i="1"/>
  <c r="F13" i="1"/>
  <c r="E13" i="1"/>
  <c r="R13" i="1" s="1"/>
  <c r="U11" i="1"/>
  <c r="S11" i="1"/>
  <c r="R11" i="1"/>
  <c r="X11" i="1" s="1"/>
  <c r="T11" i="1" s="1"/>
  <c r="H11" i="1"/>
  <c r="Q10" i="1"/>
  <c r="G10" i="1"/>
  <c r="F10" i="1"/>
  <c r="E10" i="1"/>
  <c r="U10" i="1" s="1"/>
  <c r="X9" i="1"/>
  <c r="T9" i="1" s="1"/>
  <c r="Y9" i="1" s="1"/>
  <c r="Z9" i="1" s="1"/>
  <c r="P9" i="1"/>
  <c r="F9" i="1"/>
  <c r="H9" i="1" s="1"/>
  <c r="U8" i="1"/>
  <c r="S8" i="1"/>
  <c r="R8" i="1"/>
  <c r="G8" i="1"/>
  <c r="H8" i="1" s="1"/>
  <c r="U7" i="1"/>
  <c r="S7" i="1"/>
  <c r="R7" i="1"/>
  <c r="G7" i="1"/>
  <c r="H7" i="1" s="1"/>
  <c r="P6" i="1"/>
  <c r="X6" i="1" s="1"/>
  <c r="F6" i="1"/>
  <c r="T6" i="1" s="1"/>
  <c r="X5" i="1"/>
  <c r="T5" i="1" s="1"/>
  <c r="P5" i="1"/>
  <c r="H5" i="1"/>
  <c r="P4" i="1"/>
  <c r="F4" i="1"/>
  <c r="H4" i="1" s="1"/>
  <c r="Y6" i="2" l="1"/>
  <c r="Z6" i="2" s="1"/>
  <c r="Y38" i="2"/>
  <c r="Z38" i="2" s="1"/>
  <c r="X39" i="2"/>
  <c r="Y48" i="2"/>
  <c r="Z48" i="2" s="1"/>
  <c r="X83" i="2"/>
  <c r="T83" i="2" s="1"/>
  <c r="Y83" i="2" s="1"/>
  <c r="Z83" i="2" s="1"/>
  <c r="X66" i="2"/>
  <c r="T66" i="2" s="1"/>
  <c r="Y66" i="2" s="1"/>
  <c r="Z66" i="2" s="1"/>
  <c r="Y46" i="2"/>
  <c r="Z46" i="2" s="1"/>
  <c r="H6" i="1"/>
  <c r="X7" i="1"/>
  <c r="T7" i="1" s="1"/>
  <c r="S10" i="1"/>
  <c r="H13" i="1"/>
  <c r="R25" i="1"/>
  <c r="Y27" i="1"/>
  <c r="Z27" i="1" s="1"/>
  <c r="H32" i="1"/>
  <c r="Y38" i="1"/>
  <c r="Z38" i="1" s="1"/>
  <c r="S45" i="1"/>
  <c r="R48" i="1"/>
  <c r="Y58" i="1"/>
  <c r="Z58" i="1" s="1"/>
  <c r="R66" i="1"/>
  <c r="Y76" i="1"/>
  <c r="Z76" i="1" s="1"/>
  <c r="R10" i="1"/>
  <c r="X10" i="1" s="1"/>
  <c r="T10" i="1" s="1"/>
  <c r="Y5" i="1"/>
  <c r="Z5" i="1" s="1"/>
  <c r="H10" i="1"/>
  <c r="S13" i="1"/>
  <c r="X56" i="1"/>
  <c r="T56" i="1" s="1"/>
  <c r="Y56" i="1" s="1"/>
  <c r="Z56" i="1" s="1"/>
  <c r="U62" i="1"/>
  <c r="T68" i="1"/>
  <c r="T78" i="1"/>
  <c r="R86" i="1"/>
  <c r="Y22" i="1"/>
  <c r="Z22" i="1" s="1"/>
  <c r="R45" i="1"/>
  <c r="X22" i="1"/>
  <c r="T22" i="1" s="1"/>
  <c r="H25" i="1"/>
  <c r="X46" i="1"/>
  <c r="T46" i="1" s="1"/>
  <c r="Y46" i="1" s="1"/>
  <c r="Z46" i="1" s="1"/>
  <c r="Y52" i="1"/>
  <c r="Z52" i="1" s="1"/>
  <c r="Y68" i="1"/>
  <c r="Z68" i="1" s="1"/>
  <c r="Y78" i="1"/>
  <c r="Z78" i="1" s="1"/>
  <c r="X86" i="1"/>
  <c r="T86" i="1" s="1"/>
  <c r="S86" i="1"/>
  <c r="Y14" i="1"/>
  <c r="Z14" i="1" s="1"/>
  <c r="T18" i="1"/>
  <c r="Y18" i="1" s="1"/>
  <c r="Z18" i="1" s="1"/>
  <c r="X21" i="1"/>
  <c r="T21" i="1" s="1"/>
  <c r="Y21" i="1" s="1"/>
  <c r="Z21" i="1" s="1"/>
  <c r="Y35" i="1"/>
  <c r="Z35" i="1" s="1"/>
  <c r="Y43" i="1"/>
  <c r="Z43" i="1" s="1"/>
  <c r="Y67" i="1"/>
  <c r="Z67" i="1" s="1"/>
  <c r="Y77" i="1"/>
  <c r="Z77" i="1" s="1"/>
  <c r="X88" i="1"/>
  <c r="T88" i="1" s="1"/>
  <c r="Y88" i="1" s="1"/>
  <c r="Z88" i="1" s="1"/>
  <c r="X37" i="1"/>
  <c r="T37" i="1" s="1"/>
  <c r="Y37" i="1" s="1"/>
  <c r="Z37" i="1" s="1"/>
  <c r="Y59" i="1"/>
  <c r="Z59" i="1" s="1"/>
  <c r="X59" i="1"/>
  <c r="T59" i="1" s="1"/>
  <c r="X61" i="1"/>
  <c r="T61" i="1" s="1"/>
  <c r="Y61" i="1" s="1"/>
  <c r="Z61" i="1" s="1"/>
  <c r="X4" i="1"/>
  <c r="T4" i="1" s="1"/>
  <c r="Y4" i="1" s="1"/>
  <c r="Z4" i="1" s="1"/>
  <c r="X16" i="1"/>
  <c r="T16" i="1" s="1"/>
  <c r="Y16" i="1" s="1"/>
  <c r="Z16" i="1" s="1"/>
  <c r="T75" i="1"/>
  <c r="Y75" i="1" s="1"/>
  <c r="Z75" i="1" s="1"/>
  <c r="X25" i="1"/>
  <c r="T25" i="1" s="1"/>
  <c r="Y25" i="1" s="1"/>
  <c r="Z25" i="1" s="1"/>
  <c r="Y7" i="1"/>
  <c r="Z7" i="1" s="1"/>
  <c r="Y11" i="1"/>
  <c r="Z11" i="1" s="1"/>
  <c r="Y6" i="1"/>
  <c r="Z6" i="1" s="1"/>
  <c r="X19" i="1"/>
  <c r="T19" i="1" s="1"/>
  <c r="Y19" i="1" s="1"/>
  <c r="Z19" i="1" s="1"/>
  <c r="X26" i="1"/>
  <c r="T26" i="1" s="1"/>
  <c r="Y26" i="1" s="1"/>
  <c r="Z26" i="1" s="1"/>
  <c r="X34" i="1"/>
  <c r="T34" i="1" s="1"/>
  <c r="Y34" i="1" s="1"/>
  <c r="Z34" i="1" s="1"/>
  <c r="X45" i="1"/>
  <c r="T45" i="1" s="1"/>
  <c r="Y45" i="1" s="1"/>
  <c r="Z45" i="1" s="1"/>
  <c r="X47" i="1"/>
  <c r="T47" i="1" s="1"/>
  <c r="Y47" i="1" s="1"/>
  <c r="Z47" i="1" s="1"/>
  <c r="Y57" i="1"/>
  <c r="Z57" i="1" s="1"/>
  <c r="X60" i="1"/>
  <c r="T60" i="1" s="1"/>
  <c r="Y60" i="1" s="1"/>
  <c r="Z60" i="1" s="1"/>
  <c r="H66" i="1"/>
  <c r="X66" i="1"/>
  <c r="T66" i="1" s="1"/>
  <c r="Y66" i="1" s="1"/>
  <c r="Z66" i="1" s="1"/>
  <c r="Y70" i="1"/>
  <c r="Z70" i="1" s="1"/>
  <c r="Y79" i="1"/>
  <c r="Z79" i="1" s="1"/>
  <c r="X87" i="1"/>
  <c r="T87" i="1" s="1"/>
  <c r="Y87" i="1" s="1"/>
  <c r="Z87" i="1" s="1"/>
  <c r="X8" i="1"/>
  <c r="T8" i="1" s="1"/>
  <c r="Y8" i="1" s="1"/>
  <c r="Z8" i="1" s="1"/>
  <c r="R28" i="1"/>
  <c r="U48" i="1"/>
  <c r="X48" i="1" s="1"/>
  <c r="T48" i="1" s="1"/>
  <c r="Y48" i="1" s="1"/>
  <c r="Z48" i="1" s="1"/>
  <c r="R62" i="1"/>
  <c r="X63" i="1"/>
  <c r="T63" i="1" s="1"/>
  <c r="Y63" i="1" s="1"/>
  <c r="Z63" i="1" s="1"/>
  <c r="X71" i="1"/>
  <c r="T71" i="1" s="1"/>
  <c r="Y71" i="1" s="1"/>
  <c r="Z71" i="1" s="1"/>
  <c r="U89" i="1"/>
  <c r="X89" i="1" s="1"/>
  <c r="T89" i="1" s="1"/>
  <c r="Y89" i="1" s="1"/>
  <c r="Z89" i="1" s="1"/>
  <c r="U13" i="1"/>
  <c r="X13" i="1" s="1"/>
  <c r="T13" i="1" s="1"/>
  <c r="Y13" i="1" s="1"/>
  <c r="Z13" i="1" s="1"/>
  <c r="X49" i="1"/>
  <c r="T49" i="1" s="1"/>
  <c r="Y49" i="1" s="1"/>
  <c r="Z49" i="1" s="1"/>
  <c r="X55" i="1"/>
  <c r="T55" i="1" s="1"/>
  <c r="Y55" i="1" s="1"/>
  <c r="Z55" i="1" s="1"/>
  <c r="R89" i="1"/>
  <c r="X90" i="1"/>
  <c r="T90" i="1" s="1"/>
  <c r="Y90" i="1" s="1"/>
  <c r="Z90" i="1" s="1"/>
  <c r="Y10" i="1" l="1"/>
  <c r="Z10" i="1" s="1"/>
  <c r="X62" i="1"/>
  <c r="T62" i="1" s="1"/>
  <c r="Y62" i="1" s="1"/>
  <c r="Z62" i="1" s="1"/>
  <c r="Y86" i="1"/>
  <c r="Z86" i="1" s="1"/>
  <c r="Y28" i="1"/>
  <c r="Z28" i="1" s="1"/>
  <c r="X28" i="1"/>
  <c r="T28" i="1" s="1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2.xml><?xml version="1.0" encoding="utf-8"?>
<comments xmlns="http://schemas.openxmlformats.org/spreadsheetml/2006/main">
  <authors>
    <author>Usuario</author>
    <author>octavio-cic</author>
  </authors>
  <commentList>
    <comment ref="F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<sst xmlns="http://schemas.openxmlformats.org/spreadsheetml/2006/main" count="1051" uniqueCount="314">
  <si>
    <t>Marzo 2017</t>
  </si>
  <si>
    <t>Producto</t>
  </si>
  <si>
    <t>Marca</t>
  </si>
  <si>
    <t>Proveedor</t>
  </si>
  <si>
    <t>unidades</t>
  </si>
  <si>
    <t>Peso total factura</t>
  </si>
  <si>
    <t>Peso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</si>
  <si>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</si>
  <si>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</si>
  <si>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</si>
  <si>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</si>
  <si>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</si>
  <si>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</si>
  <si>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</si>
  <si>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</si>
  <si>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</si>
  <si>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</si>
  <si>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 / matanzas</t>
  </si>
  <si>
    <t>tipo cambio / visceras</t>
  </si>
  <si>
    <t>seguro carga</t>
  </si>
  <si>
    <t>cargada</t>
  </si>
  <si>
    <t>com</t>
  </si>
  <si>
    <t>costo logistica</t>
  </si>
  <si>
    <t>costo integrado</t>
  </si>
  <si>
    <t>costo real</t>
  </si>
  <si>
    <t>$ carga total</t>
  </si>
  <si>
    <t>Pernil con piel</t>
  </si>
  <si>
    <t>Farmland</t>
  </si>
  <si>
    <t>20 combos</t>
  </si>
  <si>
    <t>nl17-18</t>
  </si>
  <si>
    <t>Sanchez</t>
  </si>
  <si>
    <t>mi</t>
  </si>
  <si>
    <t>hoja + 10 ju 23 feb</t>
  </si>
  <si>
    <t>Seaboard</t>
  </si>
  <si>
    <t>21 combos</t>
  </si>
  <si>
    <t>nlse17-36</t>
  </si>
  <si>
    <t>hoja + 10.5 ju 23 feb</t>
  </si>
  <si>
    <t>IBP</t>
  </si>
  <si>
    <t>J9689</t>
  </si>
  <si>
    <t>Tamez</t>
  </si>
  <si>
    <t>hoja + 9.5 ju 23 feb</t>
  </si>
  <si>
    <t>Canal de cerdo</t>
  </si>
  <si>
    <t>Nu3</t>
  </si>
  <si>
    <t>Agrop El Topete</t>
  </si>
  <si>
    <t>fact 5197,5198</t>
  </si>
  <si>
    <t>Agrop El Dorado</t>
  </si>
  <si>
    <t>fact 825,826</t>
  </si>
  <si>
    <t>ju</t>
  </si>
  <si>
    <t>nl17-19</t>
  </si>
  <si>
    <t>vi</t>
  </si>
  <si>
    <t>hoja + 10 vi 27 ene</t>
  </si>
  <si>
    <t>Agrop La Gaby</t>
  </si>
  <si>
    <t>fact 5077,5078</t>
  </si>
  <si>
    <t>Porc Soto</t>
  </si>
  <si>
    <t>fact 852,853</t>
  </si>
  <si>
    <t>Topete y Sn Bernardo</t>
  </si>
  <si>
    <t>fact 5205,5206, 2270, 2271</t>
  </si>
  <si>
    <t>do</t>
  </si>
  <si>
    <t>Porc San Bernardo</t>
  </si>
  <si>
    <t>fact 2290,2278,2291</t>
  </si>
  <si>
    <t>lu</t>
  </si>
  <si>
    <t>nl17-20</t>
  </si>
  <si>
    <t>ma</t>
  </si>
  <si>
    <t>hoja + 10 ju 2 mar</t>
  </si>
  <si>
    <t>Q4745</t>
  </si>
  <si>
    <t>hoja + 9.5 mi 1 mar</t>
  </si>
  <si>
    <t>nlse17-37</t>
  </si>
  <si>
    <t>hoja + 10.5 ju 2 mar</t>
  </si>
  <si>
    <t>nlse17-39</t>
  </si>
  <si>
    <t>hoja + 10.5 ma 28 feb</t>
  </si>
  <si>
    <t>fact 858,859</t>
  </si>
  <si>
    <t>Q4749</t>
  </si>
  <si>
    <t>hoja + 9.5 ju 2 mar</t>
  </si>
  <si>
    <t>nl17-21</t>
  </si>
  <si>
    <t>hoja + 10 vi 3 mar</t>
  </si>
  <si>
    <t>fact 2286,2287</t>
  </si>
  <si>
    <t>Cuero Belly fco</t>
  </si>
  <si>
    <t>Adams</t>
  </si>
  <si>
    <t>4 combos</t>
  </si>
  <si>
    <t>fact 49224</t>
  </si>
  <si>
    <t>nlse17-40</t>
  </si>
  <si>
    <t>hoja + 10.5 vi 3 mar</t>
  </si>
  <si>
    <t>fact 864,865</t>
  </si>
  <si>
    <t>fact 5217,5218</t>
  </si>
  <si>
    <t>fact 2298,2299</t>
  </si>
  <si>
    <t>Chemita y Sn Bernardo</t>
  </si>
  <si>
    <t>fact 3301,3302,2305,2306</t>
  </si>
  <si>
    <t>Queso Gouda</t>
  </si>
  <si>
    <t>chileno</t>
  </si>
  <si>
    <t>Ryc Alimentos</t>
  </si>
  <si>
    <t>50 cajas</t>
  </si>
  <si>
    <t>fact 935544</t>
  </si>
  <si>
    <t>Filete Basa</t>
  </si>
  <si>
    <t>Baja Bay</t>
  </si>
  <si>
    <t>Marimex</t>
  </si>
  <si>
    <t>100 cajas</t>
  </si>
  <si>
    <t>fact 493</t>
  </si>
  <si>
    <t>nlse17-41</t>
  </si>
  <si>
    <t>sa</t>
  </si>
  <si>
    <t>hoja + 10.5 ma 7 mar</t>
  </si>
  <si>
    <t>nlse17-38</t>
  </si>
  <si>
    <t>Agrop EL Topete</t>
  </si>
  <si>
    <t>fact 5225, 5226</t>
  </si>
  <si>
    <t>fact 5229,5230</t>
  </si>
  <si>
    <t>nl17-22</t>
  </si>
  <si>
    <t>hoja + 10 ju 9 mar</t>
  </si>
  <si>
    <t>Q4750</t>
  </si>
  <si>
    <t>hoja + 9.5 mi 8 mar</t>
  </si>
  <si>
    <t>fact 870,871</t>
  </si>
  <si>
    <t>Atun vacio</t>
  </si>
  <si>
    <t>porcionado</t>
  </si>
  <si>
    <t>5 cajas</t>
  </si>
  <si>
    <t>salmon vacio</t>
  </si>
  <si>
    <t>fact 49441</t>
  </si>
  <si>
    <t>Q4751</t>
  </si>
  <si>
    <t>hoja + 9.5 ju 9 mar</t>
  </si>
  <si>
    <t>fact 5240,5241</t>
  </si>
  <si>
    <t>nlse17-42</t>
  </si>
  <si>
    <t>hoja + 10.5 vi 10 mar</t>
  </si>
  <si>
    <t>Gan Rancho San Felipe</t>
  </si>
  <si>
    <t>fact 358,359</t>
  </si>
  <si>
    <t>fact 850,851</t>
  </si>
  <si>
    <t>nl17-23</t>
  </si>
  <si>
    <t>hoja + 10 vi 10 mar</t>
  </si>
  <si>
    <t>fact 2314,2315</t>
  </si>
  <si>
    <t>fact 856, 857</t>
  </si>
  <si>
    <t>Contra</t>
  </si>
  <si>
    <t>Swift</t>
  </si>
  <si>
    <t xml:space="preserve"> </t>
  </si>
  <si>
    <t>608 cajas</t>
  </si>
  <si>
    <t>fact 937067</t>
  </si>
  <si>
    <t>nl17-24</t>
  </si>
  <si>
    <t>hoja + 10 lu 13 mar</t>
  </si>
  <si>
    <t>nlse17-43</t>
  </si>
  <si>
    <t>hoja + 10.5 ma 14 mar</t>
  </si>
  <si>
    <t>nlse17-44</t>
  </si>
  <si>
    <t>fact 2322,2320</t>
  </si>
  <si>
    <t>fact 370,371</t>
  </si>
  <si>
    <t>fact 5249, 5250</t>
  </si>
  <si>
    <t>Q4752</t>
  </si>
  <si>
    <t>hoja + 9.5 ju 16 mar</t>
  </si>
  <si>
    <t>Q4753</t>
  </si>
  <si>
    <t>fact 373,374</t>
  </si>
  <si>
    <t>nlse17-45</t>
  </si>
  <si>
    <t>hoja + 10.5 vi 17 mar</t>
  </si>
  <si>
    <t>fact 376,377</t>
  </si>
  <si>
    <t>fact 5260,5261</t>
  </si>
  <si>
    <t>Cuero Belly Fco</t>
  </si>
  <si>
    <t>6 combos</t>
  </si>
  <si>
    <t>fact 49656</t>
  </si>
  <si>
    <t>nl17-25</t>
  </si>
  <si>
    <t>hoja + 10 vi 17 mar</t>
  </si>
  <si>
    <t>fact 380,381</t>
  </si>
  <si>
    <t>fact 888,889</t>
  </si>
  <si>
    <t>nlse17-46</t>
  </si>
  <si>
    <t>hoja + 10.5 ma 21 mar</t>
  </si>
  <si>
    <t>fact 386, 387</t>
  </si>
  <si>
    <t>fact 890, 891</t>
  </si>
  <si>
    <t>Menudo</t>
  </si>
  <si>
    <t>excel 86M</t>
  </si>
  <si>
    <t>680 cajas</t>
  </si>
  <si>
    <t>fact 939442</t>
  </si>
  <si>
    <t>Esp de carnero</t>
  </si>
  <si>
    <t>Alliance</t>
  </si>
  <si>
    <t>240 cajas</t>
  </si>
  <si>
    <t>fact 939538</t>
  </si>
  <si>
    <t>Filete BASA</t>
  </si>
  <si>
    <t>fact PUI545</t>
  </si>
  <si>
    <t>nl17-26</t>
  </si>
  <si>
    <t>hoja + 10 ju 23 mar</t>
  </si>
  <si>
    <t>Q4754</t>
  </si>
  <si>
    <t>hoja + 9.5 mi 22 mar</t>
  </si>
  <si>
    <t>fact 5281,5282</t>
  </si>
  <si>
    <t>Q4755</t>
  </si>
  <si>
    <t>hoja + 9.5 ju 23 mar</t>
  </si>
  <si>
    <t>fact 5287, 5288</t>
  </si>
  <si>
    <t>fact 49821</t>
  </si>
  <si>
    <t>Media Res</t>
  </si>
  <si>
    <t>el 100</t>
  </si>
  <si>
    <t>Carnes el 100</t>
  </si>
  <si>
    <t>12 medias</t>
  </si>
  <si>
    <t>fact 84744</t>
  </si>
  <si>
    <t>Delantero</t>
  </si>
  <si>
    <t>6 del</t>
  </si>
  <si>
    <t>Arrachera nat</t>
  </si>
  <si>
    <t>Espinazo entero</t>
  </si>
  <si>
    <t>nlse17-47</t>
  </si>
  <si>
    <t>hoja + 10.5 vi 24 mar</t>
  </si>
  <si>
    <t>fact 5294,5295</t>
  </si>
  <si>
    <t>fact 898,899</t>
  </si>
  <si>
    <t>nl17-27</t>
  </si>
  <si>
    <t>hoja + 10 vi 24 mar</t>
  </si>
  <si>
    <t>fact 900,901</t>
  </si>
  <si>
    <t>fact 395,396</t>
  </si>
  <si>
    <t>Abril 2017</t>
  </si>
  <si>
    <t>nlse17-48</t>
  </si>
  <si>
    <t>hoja + 10.5 ma 28 mar</t>
  </si>
  <si>
    <t>nlse17-49</t>
  </si>
  <si>
    <t>Porc Paso Blanco</t>
  </si>
  <si>
    <t>fact 2266,2267</t>
  </si>
  <si>
    <t>fact 5305,5306</t>
  </si>
  <si>
    <t>fact 5308,5309</t>
  </si>
  <si>
    <t>nl17-28</t>
  </si>
  <si>
    <t>hoja + 10 ju 30 mzo</t>
  </si>
  <si>
    <t>X4015</t>
  </si>
  <si>
    <t>hoja + 9.5 mi 29 mzo</t>
  </si>
  <si>
    <t>fact 912,913</t>
  </si>
  <si>
    <t>X4030</t>
  </si>
  <si>
    <t>hoja + 9.5 ju 30 mzo</t>
  </si>
  <si>
    <t>fact 5315,5316</t>
  </si>
  <si>
    <t>Atun Porcion</t>
  </si>
  <si>
    <t>baja bay</t>
  </si>
  <si>
    <t>fact PUI570</t>
  </si>
  <si>
    <t>Salmon Porcion</t>
  </si>
  <si>
    <t>ensenada</t>
  </si>
  <si>
    <t>Filete Tilapia  3/5</t>
  </si>
  <si>
    <t>Camaron c/cab 30-40</t>
  </si>
  <si>
    <t>Cuero belly fco</t>
  </si>
  <si>
    <t>3 combos</t>
  </si>
  <si>
    <t>fact 50110</t>
  </si>
  <si>
    <t>nlse17-50</t>
  </si>
  <si>
    <t>hoja + 10.5 vi 31 mzo</t>
  </si>
  <si>
    <t>fact 926,927</t>
  </si>
  <si>
    <t>fact 5324,5325</t>
  </si>
  <si>
    <t>nl17-29</t>
  </si>
  <si>
    <t>hoja + 10 vi 31 mar</t>
  </si>
  <si>
    <t>X4031</t>
  </si>
  <si>
    <t>hoja + 9.5 lu 03 abr</t>
  </si>
  <si>
    <t>Agrop Las Reses</t>
  </si>
  <si>
    <t>fact 6014,6015</t>
  </si>
  <si>
    <t>fact 915,916</t>
  </si>
  <si>
    <t>Delta</t>
  </si>
  <si>
    <t>fact 90196</t>
  </si>
  <si>
    <t>nlse17-51</t>
  </si>
  <si>
    <t>hoja + 10.5 ma 4 abr</t>
  </si>
  <si>
    <t>20 cajas</t>
  </si>
  <si>
    <t>fact PUI580</t>
  </si>
  <si>
    <t>Torres</t>
  </si>
  <si>
    <t>fact 6668</t>
  </si>
  <si>
    <t>fact 90393</t>
  </si>
  <si>
    <t>fact 90414</t>
  </si>
  <si>
    <t>nl17-30</t>
  </si>
  <si>
    <t>hoja + 10 ju 6 abr</t>
  </si>
  <si>
    <t>X4032</t>
  </si>
  <si>
    <t>hoja + 9.5 mi 5 abr</t>
  </si>
  <si>
    <t>X4033</t>
  </si>
  <si>
    <t>hoja + 9.5 ju 06 abr</t>
  </si>
  <si>
    <t>nlse17-52</t>
  </si>
  <si>
    <t>hoja + 10.5 ju 06 abr</t>
  </si>
  <si>
    <t>fact 6669</t>
  </si>
  <si>
    <t>fact 6670</t>
  </si>
  <si>
    <t>10 cajas</t>
  </si>
  <si>
    <t>Filete Tilapia  5/7</t>
  </si>
  <si>
    <t>fact 50277</t>
  </si>
  <si>
    <t>nlse17-53</t>
  </si>
  <si>
    <t>hoja + 10.5 vi 07 abr</t>
  </si>
  <si>
    <t>fact  940,941</t>
  </si>
  <si>
    <t>fact 923, 924</t>
  </si>
  <si>
    <t>fact 6025,6026</t>
  </si>
  <si>
    <t>nl17-31</t>
  </si>
  <si>
    <t>hoja + 10 ju 13 abr</t>
  </si>
  <si>
    <t>Y5642</t>
  </si>
  <si>
    <t>hoja + 9.5 mi 12 abr</t>
  </si>
  <si>
    <t>fact 947, 948</t>
  </si>
  <si>
    <t>X4034</t>
  </si>
  <si>
    <t>hoja + 9.5 ju 13 abr</t>
  </si>
  <si>
    <t>nlse17-54</t>
  </si>
  <si>
    <t>fact 6034,6035</t>
  </si>
  <si>
    <t>22 combos</t>
  </si>
  <si>
    <t>nl17-32</t>
  </si>
  <si>
    <t>hoja + 10 vi 14 abr</t>
  </si>
  <si>
    <t>X4035</t>
  </si>
  <si>
    <t>hoja + 9.5 lu 17 abr</t>
  </si>
  <si>
    <t>fact 5352,5353</t>
  </si>
  <si>
    <t>fact 5350,5351</t>
  </si>
  <si>
    <t>PUI620</t>
  </si>
  <si>
    <t>Filete Tilapia</t>
  </si>
  <si>
    <t>3-5</t>
  </si>
  <si>
    <t>221 cajas</t>
  </si>
  <si>
    <t>nlse17-55</t>
  </si>
  <si>
    <t>hoja + 10.5 ma 18 abr</t>
  </si>
  <si>
    <t>fact 50485</t>
  </si>
  <si>
    <t>fact 5364,5365</t>
  </si>
  <si>
    <t>fact 5178,5179</t>
  </si>
  <si>
    <t>fact 2354,2355</t>
  </si>
  <si>
    <t>nl17-33</t>
  </si>
  <si>
    <t>hoja + 10 ju 20 abr</t>
  </si>
  <si>
    <t>X4036</t>
  </si>
  <si>
    <t>hoja + 9.5 mi 19 abr</t>
  </si>
  <si>
    <t>fact 5366,5367</t>
  </si>
  <si>
    <t>X4037</t>
  </si>
  <si>
    <t>hoja + 9.5 ju 20 abr</t>
  </si>
  <si>
    <t>nlse17-57</t>
  </si>
  <si>
    <t>hoja + 10.5 vi 21 abr</t>
  </si>
  <si>
    <t>fact 6050, 6051</t>
  </si>
  <si>
    <t>Agrop El &gt;Topete</t>
  </si>
  <si>
    <t>fact 5381,5382</t>
  </si>
  <si>
    <t>nl17-34</t>
  </si>
  <si>
    <t>hoja + 10 vi 21 abr</t>
  </si>
  <si>
    <t>X4038</t>
  </si>
  <si>
    <t>hoja + 9.5 lu 24 abr</t>
  </si>
  <si>
    <t>fact 5386,5387</t>
  </si>
  <si>
    <t>fact 6054,6055</t>
  </si>
  <si>
    <t>nlse17-56</t>
  </si>
  <si>
    <t>hoja + 10.5 ma 25 abr</t>
  </si>
  <si>
    <t>fact 50731</t>
  </si>
  <si>
    <t xml:space="preserve">Menudo </t>
  </si>
  <si>
    <t>fact 947407</t>
  </si>
  <si>
    <t xml:space="preserve">Contra </t>
  </si>
  <si>
    <t xml:space="preserve">excel   </t>
  </si>
  <si>
    <t>586 cajas</t>
  </si>
  <si>
    <t>fact 947404</t>
  </si>
  <si>
    <t>fact 980,981,982,983</t>
  </si>
  <si>
    <t>200+129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</si>
</sst>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&quot;$&quot;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17" fontId="0" fillId="0" borderId="0" xfId="0" quotePrefix="1" applyNumberFormat="1"/>
    <xf numFmtId="164" fontId="0" fillId="0" borderId="0" xfId="0" applyNumberFormat="1"/>
    <xf numFmtId="164" fontId="0" fillId="0" borderId="0" xfId="0" applyNumberFormat="1" applyFont="1" applyFill="1" applyBorder="1"/>
    <xf numFmtId="44" fontId="0" fillId="0" borderId="0" xfId="1" applyFont="1"/>
    <xf numFmtId="0" fontId="0" fillId="0" borderId="1" xfId="0" applyFont="1" applyBorder="1"/>
    <xf numFmtId="0" fontId="0" fillId="0" borderId="1" xfId="0" applyFont="1" applyFill="1" applyBorder="1"/>
    <xf numFmtId="4" fontId="0" fillId="0" borderId="1" xfId="0" applyNumberFormat="1" applyFont="1" applyFill="1" applyBorder="1" applyAlignment="1">
      <alignment wrapText="1"/>
    </xf>
    <xf numFmtId="4" fontId="2" fillId="0" borderId="1" xfId="0" applyNumberFormat="1" applyFont="1" applyFill="1" applyBorder="1" applyAlignment="1">
      <alignment wrapText="1"/>
    </xf>
    <xf numFmtId="3" fontId="0" fillId="0" borderId="1" xfId="0" applyNumberFormat="1" applyFont="1" applyFill="1" applyBorder="1"/>
    <xf numFmtId="15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164" fontId="2" fillId="0" borderId="1" xfId="0" applyNumberFormat="1" applyFont="1" applyFill="1" applyBorder="1" applyAlignment="1">
      <alignment wrapText="1"/>
    </xf>
    <xf numFmtId="164" fontId="0" fillId="0" borderId="1" xfId="0" applyNumberFormat="1" applyFont="1" applyFill="1" applyBorder="1" applyAlignment="1">
      <alignment wrapText="1"/>
    </xf>
    <xf numFmtId="44" fontId="0" fillId="0" borderId="1" xfId="1" applyFont="1" applyFill="1" applyBorder="1"/>
    <xf numFmtId="0" fontId="0" fillId="2" borderId="2" xfId="0" applyFont="1" applyFill="1" applyBorder="1" applyAlignment="1">
      <alignment textRotation="255"/>
    </xf>
    <xf numFmtId="0" fontId="0" fillId="0" borderId="3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4" fontId="3" fillId="0" borderId="0" xfId="0" applyNumberFormat="1" applyFont="1" applyFill="1" applyBorder="1"/>
    <xf numFmtId="4" fontId="0" fillId="0" borderId="0" xfId="0" applyNumberFormat="1" applyFont="1" applyFill="1" applyBorder="1"/>
    <xf numFmtId="0" fontId="0" fillId="0" borderId="0" xfId="0" applyFont="1"/>
    <xf numFmtId="0" fontId="0" fillId="3" borderId="0" xfId="0" applyFont="1" applyFill="1" applyBorder="1"/>
    <xf numFmtId="15" fontId="0" fillId="0" borderId="0" xfId="0" applyNumberFormat="1" applyFont="1" applyFill="1" applyBorder="1"/>
    <xf numFmtId="166" fontId="0" fillId="0" borderId="0" xfId="0" applyNumberFormat="1" applyFont="1" applyFill="1" applyBorder="1"/>
    <xf numFmtId="164" fontId="0" fillId="4" borderId="0" xfId="0" applyNumberFormat="1" applyFont="1" applyFill="1" applyBorder="1"/>
    <xf numFmtId="164" fontId="3" fillId="0" borderId="0" xfId="0" applyNumberFormat="1" applyFont="1" applyFill="1" applyBorder="1"/>
    <xf numFmtId="164" fontId="3" fillId="4" borderId="0" xfId="0" applyNumberFormat="1" applyFont="1" applyFill="1" applyBorder="1"/>
    <xf numFmtId="44" fontId="0" fillId="0" borderId="0" xfId="1" applyFont="1" applyFill="1" applyBorder="1"/>
    <xf numFmtId="14" fontId="0" fillId="0" borderId="4" xfId="0" applyNumberFormat="1" applyFont="1" applyFill="1" applyBorder="1"/>
    <xf numFmtId="165" fontId="0" fillId="0" borderId="0" xfId="0" applyNumberFormat="1" applyFont="1" applyFill="1" applyBorder="1"/>
    <xf numFmtId="164" fontId="3" fillId="5" borderId="0" xfId="0" applyNumberFormat="1" applyFont="1" applyFill="1" applyBorder="1"/>
    <xf numFmtId="164" fontId="0" fillId="6" borderId="0" xfId="0" applyNumberFormat="1" applyFont="1" applyFill="1" applyBorder="1"/>
    <xf numFmtId="0" fontId="0" fillId="0" borderId="5" xfId="0" applyFont="1" applyFill="1" applyBorder="1"/>
    <xf numFmtId="4" fontId="0" fillId="0" borderId="1" xfId="0" applyNumberFormat="1" applyFont="1" applyFill="1" applyBorder="1"/>
    <xf numFmtId="14" fontId="0" fillId="0" borderId="6" xfId="0" applyNumberFormat="1" applyFont="1" applyFill="1" applyBorder="1"/>
    <xf numFmtId="0" fontId="0" fillId="5" borderId="7" xfId="0" applyFont="1" applyFill="1" applyBorder="1" applyAlignment="1">
      <alignment textRotation="255"/>
    </xf>
    <xf numFmtId="0" fontId="0" fillId="0" borderId="8" xfId="0" applyFont="1" applyFill="1" applyBorder="1"/>
    <xf numFmtId="0" fontId="3" fillId="0" borderId="8" xfId="0" applyFont="1" applyFill="1" applyBorder="1"/>
    <xf numFmtId="4" fontId="3" fillId="0" borderId="8" xfId="0" applyNumberFormat="1" applyFont="1" applyFill="1" applyBorder="1"/>
    <xf numFmtId="4" fontId="0" fillId="0" borderId="8" xfId="0" applyNumberFormat="1" applyFont="1" applyFill="1" applyBorder="1"/>
    <xf numFmtId="15" fontId="0" fillId="0" borderId="8" xfId="0" applyNumberFormat="1" applyFont="1" applyFill="1" applyBorder="1"/>
    <xf numFmtId="164" fontId="0" fillId="0" borderId="8" xfId="0" applyNumberFormat="1" applyFont="1" applyFill="1" applyBorder="1"/>
    <xf numFmtId="165" fontId="0" fillId="0" borderId="8" xfId="0" applyNumberFormat="1" applyFont="1" applyFill="1" applyBorder="1"/>
    <xf numFmtId="164" fontId="0" fillId="6" borderId="8" xfId="0" applyNumberFormat="1" applyFont="1" applyFill="1" applyBorder="1"/>
    <xf numFmtId="164" fontId="3" fillId="0" borderId="8" xfId="0" applyNumberFormat="1" applyFont="1" applyFill="1" applyBorder="1"/>
    <xf numFmtId="44" fontId="0" fillId="0" borderId="8" xfId="1" applyFont="1" applyFill="1" applyBorder="1"/>
    <xf numFmtId="14" fontId="0" fillId="0" borderId="9" xfId="0" applyNumberFormat="1" applyFont="1" applyFill="1" applyBorder="1"/>
    <xf numFmtId="0" fontId="0" fillId="5" borderId="2" xfId="0" applyFont="1" applyFill="1" applyBorder="1" applyAlignment="1">
      <alignment textRotation="255"/>
    </xf>
    <xf numFmtId="0" fontId="0" fillId="7" borderId="0" xfId="0" applyFont="1" applyFill="1" applyBorder="1"/>
    <xf numFmtId="165" fontId="3" fillId="0" borderId="0" xfId="0" applyNumberFormat="1" applyFont="1" applyFill="1" applyBorder="1"/>
    <xf numFmtId="0" fontId="0" fillId="6" borderId="7" xfId="0" applyFont="1" applyFill="1" applyBorder="1" applyAlignment="1">
      <alignment textRotation="255"/>
    </xf>
    <xf numFmtId="164" fontId="0" fillId="8" borderId="8" xfId="0" applyNumberFormat="1" applyFont="1" applyFill="1" applyBorder="1"/>
    <xf numFmtId="0" fontId="0" fillId="6" borderId="2" xfId="0" applyFont="1" applyFill="1" applyBorder="1" applyAlignment="1">
      <alignment textRotation="255"/>
    </xf>
    <xf numFmtId="164" fontId="0" fillId="8" borderId="0" xfId="0" applyNumberFormat="1" applyFont="1" applyFill="1" applyBorder="1"/>
    <xf numFmtId="0" fontId="0" fillId="9" borderId="7" xfId="0" applyFont="1" applyFill="1" applyBorder="1" applyAlignment="1">
      <alignment textRotation="255"/>
    </xf>
    <xf numFmtId="164" fontId="0" fillId="4" borderId="8" xfId="0" applyNumberFormat="1" applyFont="1" applyFill="1" applyBorder="1"/>
    <xf numFmtId="0" fontId="0" fillId="9" borderId="2" xfId="0" applyFont="1" applyFill="1" applyBorder="1" applyAlignment="1">
      <alignment textRotation="255"/>
    </xf>
    <xf numFmtId="0" fontId="0" fillId="10" borderId="0" xfId="0" applyFont="1" applyFill="1" applyBorder="1"/>
    <xf numFmtId="0" fontId="0" fillId="11" borderId="7" xfId="0" applyFont="1" applyFill="1" applyBorder="1" applyAlignment="1">
      <alignment textRotation="255"/>
    </xf>
    <xf numFmtId="164" fontId="0" fillId="12" borderId="8" xfId="0" applyNumberFormat="1" applyFont="1" applyFill="1" applyBorder="1"/>
    <xf numFmtId="0" fontId="0" fillId="11" borderId="2" xfId="0" applyFont="1" applyFill="1" applyBorder="1" applyAlignment="1">
      <alignment textRotation="255"/>
    </xf>
    <xf numFmtId="164" fontId="0" fillId="12" borderId="0" xfId="0" applyNumberFormat="1" applyFont="1" applyFill="1" applyBorder="1"/>
    <xf numFmtId="164" fontId="0" fillId="3" borderId="0" xfId="0" applyNumberFormat="1" applyFont="1" applyFill="1" applyBorder="1"/>
    <xf numFmtId="0" fontId="0" fillId="5" borderId="0" xfId="0" applyFont="1" applyFill="1" applyBorder="1"/>
    <xf numFmtId="0" fontId="0" fillId="0" borderId="10" xfId="0" applyFont="1" applyBorder="1"/>
    <xf numFmtId="4" fontId="0" fillId="0" borderId="0" xfId="0" applyNumberFormat="1" applyFont="1" applyFill="1" applyBorder="1" applyAlignment="1">
      <alignment wrapText="1"/>
    </xf>
    <xf numFmtId="4" fontId="2" fillId="0" borderId="0" xfId="0" applyNumberFormat="1" applyFont="1" applyFill="1" applyBorder="1" applyAlignment="1">
      <alignment wrapText="1"/>
    </xf>
    <xf numFmtId="3" fontId="0" fillId="0" borderId="0" xfId="0" applyNumberFormat="1" applyFont="1" applyFill="1" applyBorder="1"/>
    <xf numFmtId="164" fontId="0" fillId="0" borderId="6" xfId="0" applyNumberFormat="1" applyFont="1" applyFill="1" applyBorder="1"/>
    <xf numFmtId="0" fontId="0" fillId="5" borderId="8" xfId="0" applyFont="1" applyFill="1" applyBorder="1"/>
    <xf numFmtId="164" fontId="3" fillId="4" borderId="8" xfId="0" applyNumberFormat="1" applyFont="1" applyFill="1" applyBorder="1"/>
    <xf numFmtId="0" fontId="0" fillId="0" borderId="0" xfId="0" applyFont="1" applyFill="1"/>
    <xf numFmtId="0" fontId="0" fillId="11" borderId="10" xfId="0" applyFont="1" applyFill="1" applyBorder="1" applyAlignment="1">
      <alignment textRotation="255"/>
    </xf>
    <xf numFmtId="0" fontId="0" fillId="13" borderId="7" xfId="0" applyFont="1" applyFill="1" applyBorder="1" applyAlignment="1">
      <alignment textRotation="255"/>
    </xf>
    <xf numFmtId="0" fontId="0" fillId="13" borderId="2" xfId="0" applyFont="1" applyFill="1" applyBorder="1" applyAlignment="1">
      <alignment textRotation="255"/>
    </xf>
    <xf numFmtId="0" fontId="0" fillId="13" borderId="10" xfId="0" applyFont="1" applyFill="1" applyBorder="1" applyAlignment="1">
      <alignment textRotation="255"/>
    </xf>
    <xf numFmtId="16" fontId="0" fillId="0" borderId="0" xfId="0" quotePrefix="1" applyNumberFormat="1" applyFont="1" applyFill="1" applyBorder="1"/>
    <xf numFmtId="0" fontId="0" fillId="5" borderId="10" xfId="0" applyFont="1" applyFill="1" applyBorder="1" applyAlignment="1">
      <alignment textRotation="255"/>
    </xf>
    <xf numFmtId="0" fontId="0" fillId="14" borderId="7" xfId="0" applyFont="1" applyFill="1" applyBorder="1" applyAlignment="1">
      <alignment textRotation="255"/>
    </xf>
    <xf numFmtId="0" fontId="0" fillId="14" borderId="2" xfId="0" applyFont="1" applyFill="1" applyBorder="1" applyAlignment="1">
      <alignment textRotation="255"/>
    </xf>
    <xf numFmtId="0" fontId="0" fillId="14" borderId="10" xfId="0" applyFont="1" applyFill="1" applyBorder="1" applyAlignment="1">
      <alignment textRotation="255"/>
    </xf>
    <xf numFmtId="15" fontId="0" fillId="5" borderId="8" xfId="0" applyNumberFormat="1" applyFont="1" applyFill="1" applyBorder="1"/>
    <xf numFmtId="0" fontId="0" fillId="9" borderId="10" xfId="0" applyFont="1" applyFill="1" applyBorder="1" applyAlignment="1">
      <alignment textRotation="255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91"/>
  <sheetViews>
    <sheetView zoomScale="80" zoomScaleNormal="80" workbookViewId="0">
      <selection activeCell="AG11" sqref="AG11"/>
    </sheetView>
  </sheetViews>
  <sheetFormatPr baseColWidth="10" defaultRowHeight="15" x14ac:dyDescent="0.25"/>
  <cols>
    <col min="1" max="1" width="3.85546875" customWidth="1"/>
    <col min="2" max="2" width="15.5703125" bestFit="1" customWidth="1"/>
    <col min="4" max="4" width="21.7109375" bestFit="1" customWidth="1"/>
    <col min="5" max="5" width="11" bestFit="1" customWidth="1"/>
    <col min="8" max="8" width="10.28515625" customWidth="1"/>
    <col min="10" max="11" width="0" hidden="1" customWidth="1"/>
    <col min="13" max="13" width="4.28515625" customWidth="1"/>
    <col min="14" max="18" width="0" hidden="1" customWidth="1"/>
    <col min="19" max="19" width="12.5703125" style="2" hidden="1" customWidth="1"/>
    <col min="20" max="21" width="0" hidden="1" customWidth="1"/>
    <col min="22" max="22" width="6.28515625" hidden="1" customWidth="1"/>
    <col min="23" max="24" width="0" hidden="1" customWidth="1"/>
    <col min="26" max="26" width="16" customWidth="1"/>
    <col min="27" max="27" width="14.140625" customWidth="1"/>
  </cols>
  <sheetData>
    <row r="2" spans="1:27" x14ac:dyDescent="0.25">
      <c r="A2" s="1" t="s">
        <v>0</v>
      </c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16"/>
      <c r="B4" s="17" t="s">
        <v>26</v>
      </c>
      <c r="C4" s="18" t="s">
        <v>27</v>
      </c>
      <c r="D4" s="18" t="s">
        <v>27</v>
      </c>
      <c r="E4" s="19" t="s">
        <v>28</v>
      </c>
      <c r="F4" s="20">
        <f>40901*0.4536</f>
        <v>18552.693599999999</v>
      </c>
      <c r="G4" s="21">
        <v>18549.2</v>
      </c>
      <c r="H4" s="21">
        <f>G4-F4</f>
        <v>-3.4935999999979686</v>
      </c>
      <c r="I4" s="22" t="s">
        <v>29</v>
      </c>
      <c r="J4" s="23" t="s">
        <v>30</v>
      </c>
      <c r="K4" s="24">
        <v>42793</v>
      </c>
      <c r="L4" s="24">
        <v>42795</v>
      </c>
      <c r="M4" s="18" t="s">
        <v>31</v>
      </c>
      <c r="N4" s="18" t="s">
        <v>32</v>
      </c>
      <c r="O4" s="3"/>
      <c r="P4" s="25">
        <f>0.55+0.1</f>
        <v>0.65</v>
      </c>
      <c r="Q4" s="26">
        <v>23000</v>
      </c>
      <c r="R4" s="3">
        <v>9400</v>
      </c>
      <c r="S4" s="27">
        <v>19.599</v>
      </c>
      <c r="T4" s="28">
        <f>X4*F4*0.005</f>
        <v>2778.4399898820739</v>
      </c>
      <c r="V4" s="3">
        <v>0.12</v>
      </c>
      <c r="W4" s="3">
        <v>0.3</v>
      </c>
      <c r="X4" s="3">
        <f>IF(O4&gt;0,O4,((P4*2.2046*S4)+(Q4+R4)/G4)+V4)</f>
        <v>29.951877067404098</v>
      </c>
      <c r="Y4" s="3">
        <f t="shared" ref="Y4:Y6" si="0">IF(O4&gt;0,O4,((P4*2.2046*S4)+(Q4+R4+T4)/G4)+V4+W4)</f>
        <v>30.401664658776344</v>
      </c>
      <c r="Z4" s="29">
        <f>Y4*F4</f>
        <v>564032.76934422599</v>
      </c>
      <c r="AA4" s="30">
        <v>42804</v>
      </c>
    </row>
    <row r="5" spans="1:27" s="22" customFormat="1" x14ac:dyDescent="0.25">
      <c r="A5" s="16"/>
      <c r="B5" s="17" t="s">
        <v>26</v>
      </c>
      <c r="C5" s="18" t="s">
        <v>33</v>
      </c>
      <c r="D5" s="18" t="s">
        <v>33</v>
      </c>
      <c r="E5" s="19" t="s">
        <v>34</v>
      </c>
      <c r="F5" s="20">
        <v>18886</v>
      </c>
      <c r="G5" s="21">
        <v>18887</v>
      </c>
      <c r="H5" s="21">
        <f>G5-F5</f>
        <v>1</v>
      </c>
      <c r="I5" s="22" t="s">
        <v>35</v>
      </c>
      <c r="J5" s="23" t="s">
        <v>30</v>
      </c>
      <c r="K5" s="24">
        <v>42793</v>
      </c>
      <c r="L5" s="24">
        <v>42795</v>
      </c>
      <c r="M5" s="18" t="s">
        <v>31</v>
      </c>
      <c r="N5" s="18" t="s">
        <v>36</v>
      </c>
      <c r="O5" s="3"/>
      <c r="P5" s="25">
        <f>0.55+0.105</f>
        <v>0.65500000000000003</v>
      </c>
      <c r="Q5" s="26">
        <v>23000</v>
      </c>
      <c r="R5" s="3">
        <v>9400</v>
      </c>
      <c r="S5" s="27">
        <v>20.440000000000001</v>
      </c>
      <c r="T5" s="28">
        <f>X5*F5*0.005</f>
        <v>2960.4835594112792</v>
      </c>
      <c r="V5" s="3">
        <v>0.12</v>
      </c>
      <c r="W5" s="3">
        <v>0.3</v>
      </c>
      <c r="X5" s="3">
        <f t="shared" ref="X5:X6" si="1">IF(O5&gt;0,O5,((P5*2.2046*S5)+(Q5+R5)/G5)+V5)</f>
        <v>31.351091384213486</v>
      </c>
      <c r="Y5" s="3">
        <f t="shared" si="0"/>
        <v>31.807838541486284</v>
      </c>
      <c r="Z5" s="29">
        <f t="shared" ref="Z5:Z9" si="2">Y5*F5</f>
        <v>600722.83869450993</v>
      </c>
      <c r="AA5" s="30">
        <v>42788</v>
      </c>
    </row>
    <row r="6" spans="1:27" s="22" customFormat="1" x14ac:dyDescent="0.25">
      <c r="A6" s="16"/>
      <c r="B6" s="17" t="s">
        <v>26</v>
      </c>
      <c r="C6" s="18" t="s">
        <v>37</v>
      </c>
      <c r="D6" s="18" t="s">
        <v>37</v>
      </c>
      <c r="E6" s="19" t="s">
        <v>28</v>
      </c>
      <c r="F6" s="20">
        <f>41284*0.4536</f>
        <v>18726.422399999999</v>
      </c>
      <c r="G6" s="21">
        <v>18726.009999999998</v>
      </c>
      <c r="H6" s="21">
        <f>G6-F6</f>
        <v>-0.41240000000107102</v>
      </c>
      <c r="I6" s="22" t="s">
        <v>38</v>
      </c>
      <c r="J6" s="23" t="s">
        <v>39</v>
      </c>
      <c r="K6" s="24">
        <v>42794</v>
      </c>
      <c r="L6" s="24">
        <v>42795</v>
      </c>
      <c r="M6" s="18" t="s">
        <v>31</v>
      </c>
      <c r="N6" s="18" t="s">
        <v>40</v>
      </c>
      <c r="O6" s="3"/>
      <c r="P6" s="25">
        <f>0.55+0.095</f>
        <v>0.64500000000000002</v>
      </c>
      <c r="Q6" s="26">
        <v>23000</v>
      </c>
      <c r="R6" s="3">
        <v>9400</v>
      </c>
      <c r="S6" s="27">
        <v>20.452000000000002</v>
      </c>
      <c r="T6" s="28">
        <f>X6*F6*0.005</f>
        <v>2896.2549708055803</v>
      </c>
      <c r="V6" s="3">
        <v>0.12</v>
      </c>
      <c r="W6" s="3">
        <v>0.3</v>
      </c>
      <c r="X6" s="3">
        <f t="shared" si="1"/>
        <v>30.932282834820391</v>
      </c>
      <c r="Y6" s="3">
        <f t="shared" si="0"/>
        <v>31.386947655078718</v>
      </c>
      <c r="Z6" s="29">
        <f t="shared" si="2"/>
        <v>587765.23963569361</v>
      </c>
      <c r="AA6" s="30">
        <v>42787</v>
      </c>
    </row>
    <row r="7" spans="1:27" s="22" customFormat="1" x14ac:dyDescent="0.25">
      <c r="A7" s="16"/>
      <c r="B7" s="17" t="s">
        <v>41</v>
      </c>
      <c r="C7" s="19" t="s">
        <v>42</v>
      </c>
      <c r="D7" s="18" t="s">
        <v>43</v>
      </c>
      <c r="E7" s="19">
        <v>130</v>
      </c>
      <c r="F7" s="20">
        <v>15595</v>
      </c>
      <c r="G7" s="21">
        <f>5710+6930</f>
        <v>12640</v>
      </c>
      <c r="H7" s="21">
        <f t="shared" ref="H7:H8" si="3">G7-F7</f>
        <v>-2955</v>
      </c>
      <c r="I7" s="22" t="s">
        <v>44</v>
      </c>
      <c r="J7" s="19"/>
      <c r="K7" s="24"/>
      <c r="L7" s="24">
        <v>42795</v>
      </c>
      <c r="M7" s="18" t="s">
        <v>31</v>
      </c>
      <c r="N7" s="19"/>
      <c r="O7" s="3">
        <v>26</v>
      </c>
      <c r="P7" s="31"/>
      <c r="Q7" s="26">
        <v>15700</v>
      </c>
      <c r="R7" s="3">
        <f>65*E7</f>
        <v>8450</v>
      </c>
      <c r="S7" s="32">
        <f t="shared" ref="S7:S8" si="4">-35*E7</f>
        <v>-4550</v>
      </c>
      <c r="T7" s="27">
        <f>X7*F7*0.0045</f>
        <v>2363.6048496835442</v>
      </c>
      <c r="U7" s="3">
        <f>E7*5</f>
        <v>650</v>
      </c>
      <c r="V7" s="19"/>
      <c r="W7" s="3">
        <v>0.3</v>
      </c>
      <c r="X7" s="3">
        <f>((O7*F7)+Q7+R7+S7+U7)/G7</f>
        <v>33.680379746835442</v>
      </c>
      <c r="Y7" s="3">
        <f t="shared" ref="Y7:Y8" si="5">((O7*F7)+Q7+R7+S7+T7+U7)/G7+W7</f>
        <v>34.167373801399009</v>
      </c>
      <c r="Z7" s="29">
        <f t="shared" si="2"/>
        <v>532840.19443281752</v>
      </c>
      <c r="AA7" s="30">
        <v>42809</v>
      </c>
    </row>
    <row r="8" spans="1:27" s="22" customFormat="1" x14ac:dyDescent="0.25">
      <c r="A8" s="16"/>
      <c r="B8" s="17" t="s">
        <v>41</v>
      </c>
      <c r="C8" s="19" t="s">
        <v>42</v>
      </c>
      <c r="D8" s="18" t="s">
        <v>45</v>
      </c>
      <c r="E8" s="19">
        <v>201</v>
      </c>
      <c r="F8" s="20">
        <v>20900</v>
      </c>
      <c r="G8" s="21">
        <f>16580</f>
        <v>16580</v>
      </c>
      <c r="H8" s="21">
        <f t="shared" si="3"/>
        <v>-4320</v>
      </c>
      <c r="I8" s="22" t="s">
        <v>46</v>
      </c>
      <c r="J8" s="19"/>
      <c r="K8" s="24"/>
      <c r="L8" s="24">
        <v>42796</v>
      </c>
      <c r="M8" s="18" t="s">
        <v>47</v>
      </c>
      <c r="N8" s="19"/>
      <c r="O8" s="3">
        <v>26</v>
      </c>
      <c r="P8" s="31"/>
      <c r="Q8" s="33">
        <v>19800</v>
      </c>
      <c r="R8" s="3">
        <f t="shared" ref="R8" si="6">65*E8</f>
        <v>13065</v>
      </c>
      <c r="S8" s="27">
        <f t="shared" si="4"/>
        <v>-7035</v>
      </c>
      <c r="T8" s="27">
        <f t="shared" ref="T8" si="7">X8*F8*0.0045</f>
        <v>3234.6563178528349</v>
      </c>
      <c r="U8" s="3">
        <f t="shared" ref="U8" si="8">E8*5</f>
        <v>1005</v>
      </c>
      <c r="V8" s="19"/>
      <c r="W8" s="3">
        <v>0.3</v>
      </c>
      <c r="X8" s="3">
        <f t="shared" ref="X8" si="9">((O8*F8)+Q8+R8+S8+U8)/G8</f>
        <v>34.392943305186975</v>
      </c>
      <c r="Y8" s="3">
        <f t="shared" si="5"/>
        <v>34.888037172367476</v>
      </c>
      <c r="Z8" s="29">
        <f t="shared" si="2"/>
        <v>729159.97690248024</v>
      </c>
      <c r="AA8" s="30">
        <v>42809</v>
      </c>
    </row>
    <row r="9" spans="1:27" s="22" customFormat="1" x14ac:dyDescent="0.25">
      <c r="A9" s="16"/>
      <c r="B9" s="17" t="s">
        <v>26</v>
      </c>
      <c r="C9" s="18" t="s">
        <v>27</v>
      </c>
      <c r="D9" s="18" t="s">
        <v>27</v>
      </c>
      <c r="E9" s="19" t="s">
        <v>28</v>
      </c>
      <c r="F9" s="20">
        <f>40682*0.4536</f>
        <v>18453.355200000002</v>
      </c>
      <c r="G9" s="21">
        <v>18440.59</v>
      </c>
      <c r="H9" s="21">
        <f>G9-F9</f>
        <v>-12.765200000001641</v>
      </c>
      <c r="I9" s="22" t="s">
        <v>48</v>
      </c>
      <c r="J9" s="23" t="s">
        <v>30</v>
      </c>
      <c r="K9" s="24">
        <v>42796</v>
      </c>
      <c r="L9" s="24">
        <v>42797</v>
      </c>
      <c r="M9" s="18" t="s">
        <v>49</v>
      </c>
      <c r="N9" s="18" t="s">
        <v>50</v>
      </c>
      <c r="O9" s="3"/>
      <c r="P9" s="25">
        <f>0.5381+0.1</f>
        <v>0.6381</v>
      </c>
      <c r="Q9" s="26">
        <v>23000</v>
      </c>
      <c r="R9" s="3">
        <v>9400</v>
      </c>
      <c r="S9" s="27">
        <v>19.75</v>
      </c>
      <c r="T9" s="27">
        <f>X9*F9*0.005</f>
        <v>2736.6704111078493</v>
      </c>
      <c r="V9" s="3">
        <v>0.12</v>
      </c>
      <c r="W9" s="3">
        <v>0.3</v>
      </c>
      <c r="X9" s="3">
        <f t="shared" ref="X9" si="10">IF(O9&gt;0,O9,((P9*2.2046*S9)+(Q9+R9)/G9)+V9)</f>
        <v>29.660410060365056</v>
      </c>
      <c r="Y9" s="3">
        <f t="shared" ref="Y9" si="11">IF(O9&gt;0,O9,((P9*2.2046*S9)+(Q9+R9+T9)/G9)+V9+W9)</f>
        <v>30.108814770361203</v>
      </c>
      <c r="Z9" s="29">
        <f t="shared" si="2"/>
        <v>555608.65360848175</v>
      </c>
      <c r="AA9" s="30">
        <v>42807</v>
      </c>
    </row>
    <row r="10" spans="1:27" s="22" customFormat="1" x14ac:dyDescent="0.25">
      <c r="A10" s="16"/>
      <c r="B10" s="17" t="s">
        <v>41</v>
      </c>
      <c r="C10" s="19" t="s">
        <v>42</v>
      </c>
      <c r="D10" s="18" t="s">
        <v>51</v>
      </c>
      <c r="E10" s="19">
        <f>200</f>
        <v>200</v>
      </c>
      <c r="F10" s="20">
        <f>24985</f>
        <v>24985</v>
      </c>
      <c r="G10" s="21">
        <f>19820</f>
        <v>19820</v>
      </c>
      <c r="H10" s="21">
        <f t="shared" ref="H10:H11" si="12">G10-F10</f>
        <v>-5165</v>
      </c>
      <c r="I10" s="22" t="s">
        <v>52</v>
      </c>
      <c r="J10" s="19"/>
      <c r="K10" s="24"/>
      <c r="L10" s="24">
        <v>42797</v>
      </c>
      <c r="M10" s="18" t="s">
        <v>49</v>
      </c>
      <c r="N10" s="19"/>
      <c r="O10" s="3">
        <v>25.5</v>
      </c>
      <c r="P10" s="31"/>
      <c r="Q10" s="26">
        <f>19800</f>
        <v>19800</v>
      </c>
      <c r="R10" s="3">
        <f t="shared" ref="R10:R11" si="13">65*E10</f>
        <v>13000</v>
      </c>
      <c r="S10" s="27">
        <f>-35*E10</f>
        <v>-7000</v>
      </c>
      <c r="T10" s="27">
        <f>X10*F10*0.0045</f>
        <v>3766.1909343466195</v>
      </c>
      <c r="U10" s="3">
        <f>E10*5</f>
        <v>1000</v>
      </c>
      <c r="V10" s="19"/>
      <c r="W10" s="3">
        <v>0.3</v>
      </c>
      <c r="X10" s="3">
        <f>((O10*F10)+Q10+R10+S10+U10)/G10</f>
        <v>33.497351160443998</v>
      </c>
      <c r="Y10" s="3">
        <f t="shared" ref="Y10:Y11" si="14">((O10*F10)+Q10+R10+S10+T10+U10)/G10+W10</f>
        <v>33.987370884679443</v>
      </c>
      <c r="Z10" s="29">
        <f t="shared" ref="Z10:Z11" si="15">Y10*G10</f>
        <v>673629.69093434652</v>
      </c>
      <c r="AA10" s="30">
        <v>42810</v>
      </c>
    </row>
    <row r="11" spans="1:27" s="22" customFormat="1" x14ac:dyDescent="0.25">
      <c r="A11" s="16"/>
      <c r="B11" s="17" t="s">
        <v>41</v>
      </c>
      <c r="C11" s="19" t="s">
        <v>42</v>
      </c>
      <c r="D11" s="18" t="s">
        <v>53</v>
      </c>
      <c r="E11" s="19">
        <v>130</v>
      </c>
      <c r="F11" s="20">
        <v>15725</v>
      </c>
      <c r="G11" s="21">
        <v>13140</v>
      </c>
      <c r="H11" s="21">
        <f t="shared" si="12"/>
        <v>-2585</v>
      </c>
      <c r="I11" s="18" t="s">
        <v>54</v>
      </c>
      <c r="J11" s="19"/>
      <c r="K11" s="24"/>
      <c r="L11" s="24">
        <v>42797</v>
      </c>
      <c r="M11" s="18" t="s">
        <v>49</v>
      </c>
      <c r="N11" s="19"/>
      <c r="O11" s="3">
        <v>25.5</v>
      </c>
      <c r="P11" s="31"/>
      <c r="Q11" s="26">
        <v>15700</v>
      </c>
      <c r="R11" s="3">
        <f t="shared" si="13"/>
        <v>8450</v>
      </c>
      <c r="S11" s="27">
        <f>-35*E11</f>
        <v>-4550</v>
      </c>
      <c r="T11" s="27">
        <f>X11*F11*0.0045</f>
        <v>2268.4793450342463</v>
      </c>
      <c r="U11" s="3">
        <f>E11*5</f>
        <v>650</v>
      </c>
      <c r="V11" s="19"/>
      <c r="W11" s="3">
        <v>0.3</v>
      </c>
      <c r="X11" s="3">
        <f>((O11*F11)+Q11+R11+S11+U11)/G11</f>
        <v>32.057648401826484</v>
      </c>
      <c r="Y11" s="3">
        <f t="shared" si="14"/>
        <v>32.530287621387686</v>
      </c>
      <c r="Z11" s="29">
        <f t="shared" si="15"/>
        <v>427447.97934503417</v>
      </c>
      <c r="AA11" s="30">
        <v>42810</v>
      </c>
    </row>
    <row r="12" spans="1:27" s="22" customFormat="1" ht="15.75" thickBot="1" x14ac:dyDescent="0.3">
      <c r="A12" s="16"/>
      <c r="B12" s="34"/>
      <c r="C12" s="6"/>
      <c r="D12" s="6"/>
      <c r="E12" s="6"/>
      <c r="F12" s="35"/>
      <c r="G12" s="35"/>
      <c r="H12" s="35"/>
      <c r="I12" s="9"/>
      <c r="J12" s="6"/>
      <c r="K12" s="10"/>
      <c r="L12" s="10"/>
      <c r="M12" s="6"/>
      <c r="N12" s="6"/>
      <c r="O12" s="11"/>
      <c r="P12" s="12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36"/>
    </row>
    <row r="13" spans="1:27" s="22" customFormat="1" x14ac:dyDescent="0.25">
      <c r="A13" s="37"/>
      <c r="B13" s="38" t="s">
        <v>41</v>
      </c>
      <c r="C13" s="38" t="s">
        <v>42</v>
      </c>
      <c r="D13" s="39" t="s">
        <v>55</v>
      </c>
      <c r="E13" s="38">
        <f>220+40</f>
        <v>260</v>
      </c>
      <c r="F13" s="40">
        <f>27275+4870</f>
        <v>32145</v>
      </c>
      <c r="G13" s="41">
        <f>12910+13090</f>
        <v>26000</v>
      </c>
      <c r="H13" s="41">
        <f t="shared" ref="H13:H14" si="16">G13-F13</f>
        <v>-6145</v>
      </c>
      <c r="I13" s="39" t="s">
        <v>56</v>
      </c>
      <c r="J13" s="38"/>
      <c r="K13" s="42"/>
      <c r="L13" s="42">
        <v>42799</v>
      </c>
      <c r="M13" s="39" t="s">
        <v>57</v>
      </c>
      <c r="N13" s="38"/>
      <c r="O13" s="43">
        <v>25</v>
      </c>
      <c r="P13" s="44"/>
      <c r="Q13" s="45">
        <v>19800</v>
      </c>
      <c r="R13" s="3">
        <f t="shared" ref="R13:R14" si="17">65*E13</f>
        <v>16900</v>
      </c>
      <c r="S13" s="46">
        <f>-35*E13</f>
        <v>-9100</v>
      </c>
      <c r="T13" s="46">
        <f>X13*F13*0.0045</f>
        <v>4631.8008677884609</v>
      </c>
      <c r="U13" s="43">
        <f>E13*5</f>
        <v>1300</v>
      </c>
      <c r="V13" s="38"/>
      <c r="W13" s="43">
        <v>0.3</v>
      </c>
      <c r="X13" s="43">
        <f>((O13*F13)+Q13+R13+S13+U13)/G13</f>
        <v>32.020192307692305</v>
      </c>
      <c r="Y13" s="3">
        <f t="shared" ref="Y13:Y14" si="18">((O13*F13)+Q13+R13+S13+T13+U13)/G13+W13</f>
        <v>32.49833849491494</v>
      </c>
      <c r="Z13" s="47">
        <f>Y13*G13</f>
        <v>844956.80086778838</v>
      </c>
      <c r="AA13" s="48">
        <v>42815</v>
      </c>
    </row>
    <row r="14" spans="1:27" s="22" customFormat="1" x14ac:dyDescent="0.25">
      <c r="A14" s="49"/>
      <c r="B14" s="17" t="s">
        <v>41</v>
      </c>
      <c r="C14" s="19" t="s">
        <v>42</v>
      </c>
      <c r="D14" s="18" t="s">
        <v>58</v>
      </c>
      <c r="E14" s="19">
        <v>201</v>
      </c>
      <c r="F14" s="20">
        <v>23355</v>
      </c>
      <c r="G14" s="21">
        <f>12250+6510</f>
        <v>18760</v>
      </c>
      <c r="H14" s="21">
        <f t="shared" si="16"/>
        <v>-4595</v>
      </c>
      <c r="I14" s="18" t="s">
        <v>59</v>
      </c>
      <c r="J14" s="19"/>
      <c r="K14" s="24"/>
      <c r="L14" s="24">
        <v>42800</v>
      </c>
      <c r="M14" s="18" t="s">
        <v>60</v>
      </c>
      <c r="N14" s="19"/>
      <c r="O14" s="3">
        <v>25</v>
      </c>
      <c r="P14" s="31"/>
      <c r="Q14" s="26">
        <v>19800</v>
      </c>
      <c r="R14" s="3">
        <f t="shared" si="17"/>
        <v>13065</v>
      </c>
      <c r="S14" s="27">
        <f t="shared" ref="S14" si="19">-35*E14</f>
        <v>-7035</v>
      </c>
      <c r="T14" s="27">
        <f>X14*F14*0.0045</f>
        <v>3421.3269842750533</v>
      </c>
      <c r="U14" s="3">
        <f>E14*5</f>
        <v>1005</v>
      </c>
      <c r="V14" s="19"/>
      <c r="W14" s="3">
        <v>0.3</v>
      </c>
      <c r="X14" s="3">
        <f>((O14*F14)+Q14+R14+S14+U14)/G14</f>
        <v>32.553837953091687</v>
      </c>
      <c r="Y14" s="3">
        <f t="shared" si="18"/>
        <v>33.036211459716149</v>
      </c>
      <c r="Z14" s="29">
        <f>Y14*G14</f>
        <v>619759.32698427502</v>
      </c>
      <c r="AA14" s="30">
        <v>42815</v>
      </c>
    </row>
    <row r="15" spans="1:27" s="22" customFormat="1" x14ac:dyDescent="0.25">
      <c r="A15" s="49"/>
      <c r="B15" s="17" t="s">
        <v>26</v>
      </c>
      <c r="C15" s="18" t="s">
        <v>27</v>
      </c>
      <c r="D15" s="18" t="s">
        <v>27</v>
      </c>
      <c r="E15" s="19" t="s">
        <v>34</v>
      </c>
      <c r="F15" s="20">
        <f>41629*0.4536</f>
        <v>18882.914400000001</v>
      </c>
      <c r="G15" s="21">
        <v>18826.61</v>
      </c>
      <c r="H15" s="21">
        <f>G15-F15</f>
        <v>-56.304400000000896</v>
      </c>
      <c r="I15" s="22" t="s">
        <v>61</v>
      </c>
      <c r="J15" s="23" t="s">
        <v>30</v>
      </c>
      <c r="K15" s="24">
        <v>42800</v>
      </c>
      <c r="L15" s="24">
        <v>42801</v>
      </c>
      <c r="M15" s="18" t="s">
        <v>62</v>
      </c>
      <c r="N15" s="18" t="s">
        <v>63</v>
      </c>
      <c r="O15" s="3"/>
      <c r="P15" s="25">
        <f>0.5812+0.1</f>
        <v>0.68120000000000003</v>
      </c>
      <c r="Q15" s="26">
        <v>23000</v>
      </c>
      <c r="R15" s="3">
        <v>9400</v>
      </c>
      <c r="S15" s="27">
        <v>19.53</v>
      </c>
      <c r="T15" s="27">
        <f>X15*F15*0.005</f>
        <v>2942.9593487853645</v>
      </c>
      <c r="V15" s="3">
        <v>0.12</v>
      </c>
      <c r="W15" s="3">
        <v>0.3</v>
      </c>
      <c r="X15" s="3">
        <f>IF(O15&gt;0,O15,((P15*2.2046*S15)+(Q15+R15)/G15)+V15)</f>
        <v>31.170605198373025</v>
      </c>
      <c r="Y15" s="3">
        <f t="shared" ref="Y15:Y18" si="20">IF(O15&gt;0,O15,((P15*2.2046*S15)+(Q15+R15+T15)/G15)+V15+W15)</f>
        <v>31.62692433117417</v>
      </c>
      <c r="Z15" s="29">
        <f>Y15*F15</f>
        <v>597208.50488083914</v>
      </c>
      <c r="AA15" s="30">
        <v>42811</v>
      </c>
    </row>
    <row r="16" spans="1:27" s="22" customFormat="1" x14ac:dyDescent="0.25">
      <c r="A16" s="49"/>
      <c r="B16" s="17" t="s">
        <v>26</v>
      </c>
      <c r="C16" s="18" t="s">
        <v>37</v>
      </c>
      <c r="D16" s="18" t="s">
        <v>37</v>
      </c>
      <c r="E16" s="19" t="s">
        <v>28</v>
      </c>
      <c r="F16" s="20">
        <f>41005*0.4536</f>
        <v>18599.867999999999</v>
      </c>
      <c r="G16" s="21">
        <v>18539.580000000002</v>
      </c>
      <c r="H16" s="21">
        <f>G16-F16</f>
        <v>-60.287999999996828</v>
      </c>
      <c r="I16" s="22" t="s">
        <v>64</v>
      </c>
      <c r="J16" s="23" t="s">
        <v>30</v>
      </c>
      <c r="K16" s="24">
        <v>42800</v>
      </c>
      <c r="L16" s="24">
        <v>42801</v>
      </c>
      <c r="M16" s="18" t="s">
        <v>62</v>
      </c>
      <c r="N16" s="18" t="s">
        <v>65</v>
      </c>
      <c r="O16" s="3"/>
      <c r="P16" s="25">
        <f>0.5584+0.095</f>
        <v>0.65339999999999998</v>
      </c>
      <c r="Q16" s="26">
        <v>23000</v>
      </c>
      <c r="R16" s="3">
        <v>9400</v>
      </c>
      <c r="S16" s="27">
        <v>19.881</v>
      </c>
      <c r="T16" s="27">
        <f>X16*F16*0.005</f>
        <v>2837.0292556309159</v>
      </c>
      <c r="V16" s="3">
        <v>0.12</v>
      </c>
      <c r="W16" s="3">
        <v>0.3</v>
      </c>
      <c r="X16" s="3">
        <f t="shared" ref="X16:X18" si="21">IF(O16&gt;0,O16,((P16*2.2046*S16)+(Q16+R16)/G16)+V16)</f>
        <v>30.505907414299028</v>
      </c>
      <c r="Y16" s="3">
        <f t="shared" si="20"/>
        <v>30.95893295509504</v>
      </c>
      <c r="Z16" s="29">
        <f t="shared" ref="Z16:Z18" si="22">Y16*F16</f>
        <v>575832.0663856176</v>
      </c>
      <c r="AA16" s="30">
        <v>42794</v>
      </c>
    </row>
    <row r="17" spans="1:27" s="22" customFormat="1" x14ac:dyDescent="0.25">
      <c r="A17" s="49"/>
      <c r="B17" s="17" t="s">
        <v>26</v>
      </c>
      <c r="C17" s="18" t="s">
        <v>33</v>
      </c>
      <c r="D17" s="18" t="s">
        <v>33</v>
      </c>
      <c r="E17" s="19" t="s">
        <v>34</v>
      </c>
      <c r="F17" s="20">
        <f>41994*0.4536</f>
        <v>19048.4784</v>
      </c>
      <c r="G17" s="21">
        <v>19027.52</v>
      </c>
      <c r="H17" s="21">
        <f>G17-F17</f>
        <v>-20.958399999999529</v>
      </c>
      <c r="I17" s="22" t="s">
        <v>66</v>
      </c>
      <c r="J17" s="23" t="s">
        <v>30</v>
      </c>
      <c r="K17" s="24">
        <v>42800</v>
      </c>
      <c r="L17" s="24">
        <v>42801</v>
      </c>
      <c r="M17" s="18" t="s">
        <v>62</v>
      </c>
      <c r="N17" s="18" t="s">
        <v>67</v>
      </c>
      <c r="O17" s="3"/>
      <c r="P17" s="25">
        <f>0.5812+0.105</f>
        <v>0.68620000000000003</v>
      </c>
      <c r="Q17" s="26">
        <v>23000</v>
      </c>
      <c r="R17" s="3">
        <v>9400</v>
      </c>
      <c r="S17" s="27">
        <v>20.459</v>
      </c>
      <c r="T17" s="27">
        <f>X17*F17*0.005</f>
        <v>3121.3885128637585</v>
      </c>
      <c r="V17" s="3">
        <v>0.12</v>
      </c>
      <c r="W17" s="3">
        <v>0.3</v>
      </c>
      <c r="X17" s="3">
        <f t="shared" si="21"/>
        <v>32.773100793854049</v>
      </c>
      <c r="Y17" s="3">
        <f t="shared" si="20"/>
        <v>33.237146792116761</v>
      </c>
      <c r="Z17" s="29">
        <f t="shared" si="22"/>
        <v>633117.07274726545</v>
      </c>
      <c r="AA17" s="30">
        <v>42790</v>
      </c>
    </row>
    <row r="18" spans="1:27" s="22" customFormat="1" x14ac:dyDescent="0.25">
      <c r="A18" s="49"/>
      <c r="B18" s="17" t="s">
        <v>26</v>
      </c>
      <c r="C18" s="18" t="s">
        <v>33</v>
      </c>
      <c r="D18" s="18" t="s">
        <v>33</v>
      </c>
      <c r="E18" s="19" t="s">
        <v>34</v>
      </c>
      <c r="F18" s="20">
        <f>42696*0.4536</f>
        <v>19366.905600000002</v>
      </c>
      <c r="G18" s="21">
        <v>19321.060000000001</v>
      </c>
      <c r="H18" s="21">
        <f t="shared" ref="H18:H19" si="23">G18-F18</f>
        <v>-45.845600000000559</v>
      </c>
      <c r="I18" s="22" t="s">
        <v>68</v>
      </c>
      <c r="J18" s="23" t="s">
        <v>30</v>
      </c>
      <c r="K18" s="24">
        <v>42797</v>
      </c>
      <c r="L18" s="24">
        <v>42801</v>
      </c>
      <c r="M18" s="18" t="s">
        <v>62</v>
      </c>
      <c r="N18" s="18" t="s">
        <v>69</v>
      </c>
      <c r="O18" s="3"/>
      <c r="P18" s="25">
        <v>0.65739999999999998</v>
      </c>
      <c r="Q18" s="26">
        <v>23000</v>
      </c>
      <c r="R18" s="3">
        <v>9400</v>
      </c>
      <c r="S18" s="27">
        <v>19.928000000000001</v>
      </c>
      <c r="T18" s="27">
        <f t="shared" ref="T18:T19" si="24">X18*F18*0.005</f>
        <v>2970.7533223047872</v>
      </c>
      <c r="V18" s="3">
        <v>0.12</v>
      </c>
      <c r="W18" s="3">
        <v>0.3</v>
      </c>
      <c r="X18" s="3">
        <f t="shared" si="21"/>
        <v>30.67865753736918</v>
      </c>
      <c r="Y18" s="3">
        <f t="shared" si="20"/>
        <v>31.13241480132389</v>
      </c>
      <c r="Z18" s="29">
        <f t="shared" si="22"/>
        <v>602938.53855728253</v>
      </c>
      <c r="AA18" s="30">
        <v>42793</v>
      </c>
    </row>
    <row r="19" spans="1:27" s="22" customFormat="1" x14ac:dyDescent="0.25">
      <c r="A19" s="49"/>
      <c r="B19" s="17" t="s">
        <v>41</v>
      </c>
      <c r="C19" s="19" t="s">
        <v>42</v>
      </c>
      <c r="D19" s="18" t="s">
        <v>53</v>
      </c>
      <c r="E19" s="19">
        <v>200</v>
      </c>
      <c r="F19" s="20">
        <v>23020</v>
      </c>
      <c r="G19" s="21">
        <f>12920+5550</f>
        <v>18470</v>
      </c>
      <c r="H19" s="21">
        <f t="shared" si="23"/>
        <v>-4550</v>
      </c>
      <c r="I19" s="22" t="s">
        <v>70</v>
      </c>
      <c r="J19" s="50">
        <v>199</v>
      </c>
      <c r="K19" s="24"/>
      <c r="L19" s="24">
        <v>42801</v>
      </c>
      <c r="M19" s="18" t="s">
        <v>62</v>
      </c>
      <c r="N19" s="19"/>
      <c r="O19" s="3">
        <v>25</v>
      </c>
      <c r="P19" s="31"/>
      <c r="Q19" s="33">
        <v>19800</v>
      </c>
      <c r="R19" s="3">
        <f>65*E19</f>
        <v>13000</v>
      </c>
      <c r="S19" s="27">
        <f t="shared" ref="S19" si="25">-35*E19</f>
        <v>-7000</v>
      </c>
      <c r="T19" s="27">
        <f t="shared" si="24"/>
        <v>3753.369247428262</v>
      </c>
      <c r="U19" s="3">
        <f>E19*5</f>
        <v>1000</v>
      </c>
      <c r="V19" s="19"/>
      <c r="W19" s="3">
        <v>0.3</v>
      </c>
      <c r="X19" s="3">
        <f>((O19*F19)+Q19+R19+S19+U19)/G19</f>
        <v>32.609637249593938</v>
      </c>
      <c r="Y19" s="3">
        <f t="shared" ref="Y19" si="26">((O19*F19)+Q19+R19+S19+T19+U19)/G19+W19</f>
        <v>33.112851610580847</v>
      </c>
      <c r="Z19" s="29">
        <f>Y19*G19</f>
        <v>611594.36924742826</v>
      </c>
      <c r="AA19" s="30">
        <v>42815</v>
      </c>
    </row>
    <row r="20" spans="1:27" s="22" customFormat="1" x14ac:dyDescent="0.25">
      <c r="A20" s="49"/>
      <c r="B20" s="17" t="s">
        <v>26</v>
      </c>
      <c r="C20" s="18" t="s">
        <v>37</v>
      </c>
      <c r="D20" s="18" t="s">
        <v>37</v>
      </c>
      <c r="E20" s="19" t="s">
        <v>28</v>
      </c>
      <c r="F20" s="20">
        <f>40716*0.4536</f>
        <v>18468.777600000001</v>
      </c>
      <c r="G20" s="21">
        <v>18398.669999999998</v>
      </c>
      <c r="H20" s="21">
        <f>G20-F20</f>
        <v>-70.107600000003004</v>
      </c>
      <c r="I20" s="22" t="s">
        <v>71</v>
      </c>
      <c r="J20" s="23" t="s">
        <v>30</v>
      </c>
      <c r="K20" s="24">
        <v>42801</v>
      </c>
      <c r="L20" s="24">
        <v>42802</v>
      </c>
      <c r="M20" s="18" t="s">
        <v>31</v>
      </c>
      <c r="N20" s="18" t="s">
        <v>72</v>
      </c>
      <c r="O20" s="3"/>
      <c r="P20" s="25">
        <f>0.5812+0.095</f>
        <v>0.67620000000000002</v>
      </c>
      <c r="Q20" s="26">
        <v>23000</v>
      </c>
      <c r="R20" s="3">
        <v>9400</v>
      </c>
      <c r="S20" s="27">
        <v>20.010000000000002</v>
      </c>
      <c r="T20" s="27">
        <f>X20*F20*0.005</f>
        <v>2928.3091609624244</v>
      </c>
      <c r="V20" s="3">
        <v>0.12</v>
      </c>
      <c r="W20" s="3">
        <v>0.3</v>
      </c>
      <c r="X20" s="3">
        <f t="shared" ref="X20:X21" si="27">IF(O20&gt;0,O20,((P20*2.2046*S20)+(Q20+R20)/G20)+V20)</f>
        <v>31.710914759863957</v>
      </c>
      <c r="Y20" s="3">
        <f t="shared" ref="Y20:Y21" si="28">IF(O20&gt;0,O20,((P20*2.2046*S20)+(Q20+R20+T20)/G20)+V20+W20)</f>
        <v>32.170073501281813</v>
      </c>
      <c r="Z20" s="29">
        <f t="shared" ref="Z20:Z21" si="29">Y20*F20</f>
        <v>594141.93287082715</v>
      </c>
      <c r="AA20" s="30">
        <v>42795</v>
      </c>
    </row>
    <row r="21" spans="1:27" s="22" customFormat="1" x14ac:dyDescent="0.25">
      <c r="A21" s="49"/>
      <c r="B21" s="17" t="s">
        <v>26</v>
      </c>
      <c r="C21" s="18" t="s">
        <v>27</v>
      </c>
      <c r="D21" s="18" t="s">
        <v>27</v>
      </c>
      <c r="E21" s="19" t="s">
        <v>34</v>
      </c>
      <c r="F21" s="20">
        <f>39332*0.4536</f>
        <v>17840.995200000001</v>
      </c>
      <c r="G21" s="21">
        <v>17787.93</v>
      </c>
      <c r="H21" s="21">
        <f>G21-F21</f>
        <v>-53.065200000000914</v>
      </c>
      <c r="I21" s="22" t="s">
        <v>73</v>
      </c>
      <c r="J21" s="23" t="s">
        <v>39</v>
      </c>
      <c r="K21" s="24">
        <v>42801</v>
      </c>
      <c r="L21" s="24">
        <v>42802</v>
      </c>
      <c r="M21" s="18" t="s">
        <v>31</v>
      </c>
      <c r="N21" s="18" t="s">
        <v>74</v>
      </c>
      <c r="O21" s="3"/>
      <c r="P21" s="25">
        <f>0.5976+0.1</f>
        <v>0.6976</v>
      </c>
      <c r="Q21" s="26">
        <v>23000</v>
      </c>
      <c r="R21" s="3">
        <v>9400</v>
      </c>
      <c r="S21" s="51">
        <v>19.114999999999998</v>
      </c>
      <c r="T21" s="27">
        <f>X21*F21*0.005</f>
        <v>2795.5922364712856</v>
      </c>
      <c r="V21" s="3">
        <v>0.12</v>
      </c>
      <c r="W21" s="3">
        <v>0.3</v>
      </c>
      <c r="X21" s="3">
        <f t="shared" si="27"/>
        <v>31.338971902994352</v>
      </c>
      <c r="Y21" s="3">
        <f t="shared" si="28"/>
        <v>31.796134216792037</v>
      </c>
      <c r="Z21" s="29">
        <f t="shared" si="29"/>
        <v>567274.67794034258</v>
      </c>
      <c r="AA21" s="30">
        <v>42815</v>
      </c>
    </row>
    <row r="22" spans="1:27" s="22" customFormat="1" x14ac:dyDescent="0.25">
      <c r="A22" s="49"/>
      <c r="B22" s="17" t="s">
        <v>41</v>
      </c>
      <c r="C22" s="19" t="s">
        <v>42</v>
      </c>
      <c r="D22" s="18" t="s">
        <v>58</v>
      </c>
      <c r="E22" s="19">
        <v>200</v>
      </c>
      <c r="F22" s="20">
        <v>22450</v>
      </c>
      <c r="G22" s="21">
        <f>12650+5510</f>
        <v>18160</v>
      </c>
      <c r="H22" s="21">
        <f t="shared" ref="H22:H23" si="30">G22-F22</f>
        <v>-4290</v>
      </c>
      <c r="I22" s="22" t="s">
        <v>75</v>
      </c>
      <c r="J22" s="19"/>
      <c r="K22" s="24"/>
      <c r="L22" s="24">
        <v>42802</v>
      </c>
      <c r="M22" s="18" t="s">
        <v>31</v>
      </c>
      <c r="N22" s="19"/>
      <c r="O22" s="3">
        <v>25</v>
      </c>
      <c r="P22" s="31"/>
      <c r="Q22" s="26">
        <v>19800</v>
      </c>
      <c r="R22" s="3">
        <f>65*E22</f>
        <v>13000</v>
      </c>
      <c r="S22" s="27">
        <f t="shared" ref="S22" si="31">-35*E22</f>
        <v>-7000</v>
      </c>
      <c r="T22" s="27">
        <f>X22*F22*0.0045</f>
        <v>3271.3519410792946</v>
      </c>
      <c r="U22" s="3">
        <f>E22*5</f>
        <v>1000</v>
      </c>
      <c r="V22" s="19"/>
      <c r="W22" s="3">
        <v>0.3</v>
      </c>
      <c r="X22" s="3">
        <f>((O22*F22)+Q22+R22+S22+U22)/G22</f>
        <v>32.381607929515418</v>
      </c>
      <c r="Y22" s="3">
        <f t="shared" ref="Y22" si="32">((O22*F22)+Q22+R22+S22+T22+U22)/G22+W22</f>
        <v>32.861748454905239</v>
      </c>
      <c r="Z22" s="29">
        <f>Y22*G22</f>
        <v>596769.35194107913</v>
      </c>
      <c r="AA22" s="30">
        <v>42815</v>
      </c>
    </row>
    <row r="23" spans="1:27" s="22" customFormat="1" x14ac:dyDescent="0.25">
      <c r="A23" s="49"/>
      <c r="B23" s="17" t="s">
        <v>76</v>
      </c>
      <c r="C23" s="18" t="s">
        <v>33</v>
      </c>
      <c r="D23" s="18" t="s">
        <v>77</v>
      </c>
      <c r="E23" s="19" t="s">
        <v>78</v>
      </c>
      <c r="F23" s="20">
        <f>909+916.7+952.5+932.6</f>
        <v>3710.7999999999997</v>
      </c>
      <c r="G23" s="21">
        <v>3710.8</v>
      </c>
      <c r="H23" s="21">
        <f t="shared" si="30"/>
        <v>0</v>
      </c>
      <c r="I23" s="22" t="s">
        <v>79</v>
      </c>
      <c r="J23" s="19"/>
      <c r="K23" s="24"/>
      <c r="L23" s="24">
        <v>42802</v>
      </c>
      <c r="M23" s="18" t="s">
        <v>31</v>
      </c>
      <c r="N23" s="19"/>
      <c r="O23" s="3">
        <v>20.5</v>
      </c>
      <c r="P23" s="31"/>
      <c r="Q23" s="3"/>
      <c r="R23" s="3"/>
      <c r="S23" s="27"/>
      <c r="T23" s="27"/>
      <c r="U23" s="3"/>
      <c r="V23" s="3"/>
      <c r="W23" s="3"/>
      <c r="X23" s="3">
        <f t="shared" ref="X23:X24" si="33">IF(O23&gt;0,O23,((P23*2.2046*S23)+(Q23+R23)/G23)+V23)</f>
        <v>20.5</v>
      </c>
      <c r="Y23" s="3">
        <f t="shared" ref="Y23:Y24" si="34">IF(O23&gt;0,O23,((P23*2.2046*S23)+(Q23+R23+T23)/G23)+V23+W23)</f>
        <v>20.5</v>
      </c>
      <c r="Z23" s="29">
        <f t="shared" ref="Z23:Z24" si="35">Y23*F23</f>
        <v>76071.399999999994</v>
      </c>
      <c r="AA23" s="30">
        <v>42809</v>
      </c>
    </row>
    <row r="24" spans="1:27" s="22" customFormat="1" x14ac:dyDescent="0.25">
      <c r="A24" s="49"/>
      <c r="B24" s="17" t="s">
        <v>26</v>
      </c>
      <c r="C24" s="18" t="s">
        <v>33</v>
      </c>
      <c r="D24" s="18" t="s">
        <v>33</v>
      </c>
      <c r="E24" s="19" t="s">
        <v>34</v>
      </c>
      <c r="F24" s="20">
        <f>42978*0.4536</f>
        <v>19494.820800000001</v>
      </c>
      <c r="G24" s="21">
        <v>19477.41</v>
      </c>
      <c r="H24" s="21">
        <f>G24-F24</f>
        <v>-17.410800000001473</v>
      </c>
      <c r="I24" s="22" t="s">
        <v>80</v>
      </c>
      <c r="J24" s="23" t="s">
        <v>30</v>
      </c>
      <c r="K24" s="24">
        <v>42803</v>
      </c>
      <c r="L24" s="24">
        <v>42804</v>
      </c>
      <c r="M24" s="18" t="s">
        <v>49</v>
      </c>
      <c r="N24" s="18" t="s">
        <v>81</v>
      </c>
      <c r="O24" s="3"/>
      <c r="P24" s="25">
        <f>0.5976+0.105</f>
        <v>0.7026</v>
      </c>
      <c r="Q24" s="26">
        <v>23000</v>
      </c>
      <c r="R24" s="3">
        <v>9400</v>
      </c>
      <c r="S24" s="27">
        <v>20.010000000000002</v>
      </c>
      <c r="T24" s="27">
        <f>X24*F24*0.005</f>
        <v>3195.0056196528617</v>
      </c>
      <c r="V24" s="3">
        <v>0.12</v>
      </c>
      <c r="W24" s="3">
        <v>0.3</v>
      </c>
      <c r="X24" s="3">
        <f t="shared" si="33"/>
        <v>32.777994241966681</v>
      </c>
      <c r="Y24" s="3">
        <f t="shared" si="34"/>
        <v>33.242030713943848</v>
      </c>
      <c r="Z24" s="29">
        <f t="shared" si="35"/>
        <v>648047.43179643143</v>
      </c>
      <c r="AA24" s="30">
        <v>42796</v>
      </c>
    </row>
    <row r="25" spans="1:27" s="22" customFormat="1" x14ac:dyDescent="0.25">
      <c r="A25" s="49"/>
      <c r="B25" s="17" t="s">
        <v>41</v>
      </c>
      <c r="C25" s="19" t="s">
        <v>42</v>
      </c>
      <c r="D25" s="18" t="s">
        <v>53</v>
      </c>
      <c r="E25" s="19">
        <f>250</f>
        <v>250</v>
      </c>
      <c r="F25" s="20">
        <f>30245</f>
        <v>30245</v>
      </c>
      <c r="G25" s="21">
        <f>24710</f>
        <v>24710</v>
      </c>
      <c r="H25" s="21">
        <f t="shared" ref="H25:H32" si="36">G25-F25</f>
        <v>-5535</v>
      </c>
      <c r="I25" s="22" t="s">
        <v>82</v>
      </c>
      <c r="J25" s="19"/>
      <c r="K25" s="24"/>
      <c r="L25" s="24">
        <v>42803</v>
      </c>
      <c r="M25" s="18" t="s">
        <v>47</v>
      </c>
      <c r="N25" s="19"/>
      <c r="O25" s="3">
        <v>25</v>
      </c>
      <c r="P25" s="31"/>
      <c r="Q25" s="33">
        <f>19800</f>
        <v>19800</v>
      </c>
      <c r="R25" s="3">
        <f t="shared" ref="R25:R28" si="37">65*E25</f>
        <v>16250</v>
      </c>
      <c r="S25" s="27">
        <f t="shared" ref="S25:S26" si="38">-35*E25</f>
        <v>-8750</v>
      </c>
      <c r="T25" s="27">
        <f t="shared" ref="T25:T26" si="39">X25*F25*0.0045</f>
        <v>4321.9841840348035</v>
      </c>
      <c r="U25" s="3">
        <f t="shared" ref="U25:U26" si="40">E25*5</f>
        <v>1250</v>
      </c>
      <c r="V25" s="19"/>
      <c r="W25" s="3">
        <v>0.3</v>
      </c>
      <c r="X25" s="3">
        <f t="shared" ref="X25:X26" si="41">((O25*F25)+Q25+R25+S25+U25)/G25</f>
        <v>31.755362201537839</v>
      </c>
      <c r="Y25" s="3">
        <f t="shared" ref="Y25:Y28" si="42">((O25*F25)+Q25+R25+S25+T25+U25)/G25+W25</f>
        <v>32.230270505221966</v>
      </c>
      <c r="Z25" s="29">
        <f t="shared" ref="Z25:Z28" si="43">Y25*G25</f>
        <v>796409.98418403475</v>
      </c>
      <c r="AA25" s="30">
        <v>42816</v>
      </c>
    </row>
    <row r="26" spans="1:27" s="22" customFormat="1" x14ac:dyDescent="0.25">
      <c r="A26" s="49"/>
      <c r="B26" s="17" t="s">
        <v>41</v>
      </c>
      <c r="C26" s="19" t="s">
        <v>42</v>
      </c>
      <c r="D26" s="18" t="s">
        <v>43</v>
      </c>
      <c r="E26" s="19">
        <v>130</v>
      </c>
      <c r="F26" s="20">
        <v>16680</v>
      </c>
      <c r="G26" s="21">
        <v>12950</v>
      </c>
      <c r="H26" s="21">
        <f t="shared" si="36"/>
        <v>-3730</v>
      </c>
      <c r="I26" s="22" t="s">
        <v>83</v>
      </c>
      <c r="J26" s="19"/>
      <c r="K26" s="24"/>
      <c r="L26" s="24">
        <v>42803</v>
      </c>
      <c r="M26" s="18" t="s">
        <v>47</v>
      </c>
      <c r="N26" s="19"/>
      <c r="O26" s="3">
        <v>25</v>
      </c>
      <c r="P26" s="31"/>
      <c r="Q26" s="26">
        <v>15700</v>
      </c>
      <c r="R26" s="3">
        <f t="shared" si="37"/>
        <v>8450</v>
      </c>
      <c r="S26" s="27">
        <f t="shared" si="38"/>
        <v>-4550</v>
      </c>
      <c r="T26" s="27">
        <f t="shared" si="39"/>
        <v>2534.3617760617758</v>
      </c>
      <c r="U26" s="3">
        <f t="shared" si="40"/>
        <v>650</v>
      </c>
      <c r="V26" s="19"/>
      <c r="W26" s="3">
        <v>0.3</v>
      </c>
      <c r="X26" s="3">
        <f t="shared" si="41"/>
        <v>33.764478764478767</v>
      </c>
      <c r="Y26" s="3">
        <f t="shared" si="42"/>
        <v>34.260182376529862</v>
      </c>
      <c r="Z26" s="29">
        <f t="shared" si="43"/>
        <v>443669.36177606171</v>
      </c>
      <c r="AA26" s="30">
        <v>42816</v>
      </c>
    </row>
    <row r="27" spans="1:27" s="22" customFormat="1" x14ac:dyDescent="0.25">
      <c r="A27" s="49"/>
      <c r="B27" s="17" t="s">
        <v>41</v>
      </c>
      <c r="C27" s="19" t="s">
        <v>42</v>
      </c>
      <c r="D27" s="18" t="s">
        <v>58</v>
      </c>
      <c r="E27" s="19">
        <v>203</v>
      </c>
      <c r="F27" s="20">
        <v>23380</v>
      </c>
      <c r="G27" s="21">
        <v>18720</v>
      </c>
      <c r="H27" s="21">
        <f t="shared" si="36"/>
        <v>-4660</v>
      </c>
      <c r="I27" s="22" t="s">
        <v>84</v>
      </c>
      <c r="J27" s="19"/>
      <c r="K27" s="24"/>
      <c r="L27" s="24">
        <v>42804</v>
      </c>
      <c r="M27" s="18" t="s">
        <v>49</v>
      </c>
      <c r="N27" s="19"/>
      <c r="O27" s="3">
        <v>25</v>
      </c>
      <c r="P27" s="31"/>
      <c r="Q27" s="26">
        <v>19800</v>
      </c>
      <c r="R27" s="3">
        <f t="shared" si="37"/>
        <v>13195</v>
      </c>
      <c r="S27" s="27">
        <f>-35*E27</f>
        <v>-7105</v>
      </c>
      <c r="T27" s="27">
        <f>X27*F27*0.0045</f>
        <v>3436.2136778846157</v>
      </c>
      <c r="U27" s="3">
        <f>E27*5</f>
        <v>1015</v>
      </c>
      <c r="V27" s="19"/>
      <c r="W27" s="3">
        <v>0.3</v>
      </c>
      <c r="X27" s="3">
        <f>((O27*F27)+Q27+R27+S27+U27)/G27</f>
        <v>32.660523504273506</v>
      </c>
      <c r="Y27" s="3">
        <f t="shared" si="42"/>
        <v>33.144081927237423</v>
      </c>
      <c r="Z27" s="29">
        <f t="shared" si="43"/>
        <v>620457.21367788455</v>
      </c>
      <c r="AA27" s="30">
        <v>42817</v>
      </c>
    </row>
    <row r="28" spans="1:27" s="22" customFormat="1" x14ac:dyDescent="0.25">
      <c r="A28" s="49"/>
      <c r="B28" s="17" t="s">
        <v>41</v>
      </c>
      <c r="C28" s="19" t="s">
        <v>42</v>
      </c>
      <c r="D28" s="18" t="s">
        <v>85</v>
      </c>
      <c r="E28" s="19">
        <f>106+20</f>
        <v>126</v>
      </c>
      <c r="F28" s="20">
        <f>13680+2550</f>
        <v>16230</v>
      </c>
      <c r="G28" s="21">
        <v>13230</v>
      </c>
      <c r="H28" s="21">
        <f t="shared" si="36"/>
        <v>-3000</v>
      </c>
      <c r="I28" s="18" t="s">
        <v>86</v>
      </c>
      <c r="J28" s="19"/>
      <c r="K28" s="24"/>
      <c r="L28" s="24">
        <v>42804</v>
      </c>
      <c r="M28" s="18" t="s">
        <v>49</v>
      </c>
      <c r="N28" s="19"/>
      <c r="O28" s="3">
        <v>25</v>
      </c>
      <c r="P28" s="31"/>
      <c r="Q28" s="26">
        <v>15700</v>
      </c>
      <c r="R28" s="3">
        <f t="shared" si="37"/>
        <v>8190</v>
      </c>
      <c r="S28" s="27">
        <f>-35*E28</f>
        <v>-4410</v>
      </c>
      <c r="T28" s="27">
        <f>X28*F28*0.0045</f>
        <v>2350.9210204081633</v>
      </c>
      <c r="U28" s="3">
        <f>E28*5</f>
        <v>630</v>
      </c>
      <c r="V28" s="19"/>
      <c r="W28" s="3">
        <v>0.3</v>
      </c>
      <c r="X28" s="3">
        <f>((O28*F28)+Q28+R28+S28+U28)/G28</f>
        <v>32.188964474678762</v>
      </c>
      <c r="Y28" s="3">
        <f t="shared" si="42"/>
        <v>32.666660696931828</v>
      </c>
      <c r="Z28" s="29">
        <f t="shared" si="43"/>
        <v>432179.9210204081</v>
      </c>
      <c r="AA28" s="30">
        <v>42817</v>
      </c>
    </row>
    <row r="29" spans="1:27" s="22" customFormat="1" x14ac:dyDescent="0.25">
      <c r="A29" s="49"/>
      <c r="B29" s="17" t="s">
        <v>87</v>
      </c>
      <c r="C29" s="19" t="s">
        <v>88</v>
      </c>
      <c r="D29" s="18" t="s">
        <v>89</v>
      </c>
      <c r="E29" s="19" t="s">
        <v>90</v>
      </c>
      <c r="F29" s="20">
        <v>989.61</v>
      </c>
      <c r="G29" s="21">
        <v>989.61</v>
      </c>
      <c r="H29" s="21">
        <f t="shared" si="36"/>
        <v>0</v>
      </c>
      <c r="I29" s="18" t="s">
        <v>91</v>
      </c>
      <c r="J29" s="19"/>
      <c r="K29" s="24"/>
      <c r="L29" s="24">
        <v>42804</v>
      </c>
      <c r="M29" s="18" t="s">
        <v>49</v>
      </c>
      <c r="N29" s="19"/>
      <c r="O29" s="3">
        <v>92</v>
      </c>
      <c r="P29" s="31"/>
      <c r="Q29" s="3"/>
      <c r="R29" s="3"/>
      <c r="S29" s="27"/>
      <c r="T29" s="27"/>
      <c r="U29" s="3"/>
      <c r="V29" s="19"/>
      <c r="W29" s="3"/>
      <c r="X29" s="3">
        <f t="shared" ref="X29:X32" si="44">IF(O29&gt;0,O29,((P29*2.2046*S29)+(Q29+R29)/G29)+V29)</f>
        <v>92</v>
      </c>
      <c r="Y29" s="3">
        <f t="shared" ref="Y29:Y32" si="45">IF(O29&gt;0,O29,((P29*2.2046*S29)+(Q29+R29+T29)/G29)+V29+W29)</f>
        <v>92</v>
      </c>
      <c r="Z29" s="29">
        <f t="shared" ref="Z29:Z32" si="46">Y29*F29</f>
        <v>91044.12</v>
      </c>
      <c r="AA29" s="30">
        <v>42825</v>
      </c>
    </row>
    <row r="30" spans="1:27" s="22" customFormat="1" x14ac:dyDescent="0.25">
      <c r="A30" s="49"/>
      <c r="B30" s="17" t="s">
        <v>92</v>
      </c>
      <c r="C30" s="19" t="s">
        <v>93</v>
      </c>
      <c r="D30" s="18" t="s">
        <v>94</v>
      </c>
      <c r="E30" s="19" t="s">
        <v>95</v>
      </c>
      <c r="F30" s="20">
        <v>1000</v>
      </c>
      <c r="G30" s="21">
        <v>1000</v>
      </c>
      <c r="H30" s="21">
        <f t="shared" si="36"/>
        <v>0</v>
      </c>
      <c r="I30" s="18" t="s">
        <v>96</v>
      </c>
      <c r="J30" s="19"/>
      <c r="K30" s="24"/>
      <c r="L30" s="24">
        <v>42804</v>
      </c>
      <c r="M30" s="18" t="s">
        <v>49</v>
      </c>
      <c r="N30" s="19"/>
      <c r="O30" s="3">
        <v>39</v>
      </c>
      <c r="P30" s="31"/>
      <c r="Q30" s="3"/>
      <c r="R30" s="3"/>
      <c r="S30" s="27"/>
      <c r="T30" s="27"/>
      <c r="U30" s="3"/>
      <c r="V30" s="3"/>
      <c r="W30" s="3"/>
      <c r="X30" s="3">
        <f t="shared" si="44"/>
        <v>39</v>
      </c>
      <c r="Y30" s="3">
        <f t="shared" si="45"/>
        <v>39</v>
      </c>
      <c r="Z30" s="29">
        <f t="shared" si="46"/>
        <v>39000</v>
      </c>
      <c r="AA30" s="30">
        <v>42804</v>
      </c>
    </row>
    <row r="31" spans="1:27" s="22" customFormat="1" x14ac:dyDescent="0.25">
      <c r="A31" s="49"/>
      <c r="B31" s="17" t="s">
        <v>26</v>
      </c>
      <c r="C31" s="18" t="s">
        <v>33</v>
      </c>
      <c r="D31" s="18" t="s">
        <v>33</v>
      </c>
      <c r="E31" s="19" t="s">
        <v>34</v>
      </c>
      <c r="F31" s="20">
        <f>42730*0.4536</f>
        <v>19382.328000000001</v>
      </c>
      <c r="G31" s="21">
        <v>19415.62</v>
      </c>
      <c r="H31" s="21">
        <f t="shared" si="36"/>
        <v>33.291999999997643</v>
      </c>
      <c r="I31" s="22" t="s">
        <v>97</v>
      </c>
      <c r="J31" s="23" t="s">
        <v>30</v>
      </c>
      <c r="K31" s="24">
        <v>42804</v>
      </c>
      <c r="L31" s="24">
        <v>42805</v>
      </c>
      <c r="M31" s="18" t="s">
        <v>98</v>
      </c>
      <c r="N31" s="18" t="s">
        <v>99</v>
      </c>
      <c r="O31" s="3"/>
      <c r="P31" s="25">
        <f>0.6119+0.105</f>
        <v>0.71689999999999998</v>
      </c>
      <c r="Q31" s="26">
        <v>23000</v>
      </c>
      <c r="R31" s="3">
        <v>9400</v>
      </c>
      <c r="S31" s="27">
        <v>19.72</v>
      </c>
      <c r="T31" s="27">
        <f t="shared" ref="T31:T32" si="47">X31*F31*0.005</f>
        <v>3193.7987372995449</v>
      </c>
      <c r="V31" s="3">
        <v>0.12</v>
      </c>
      <c r="W31" s="3">
        <v>0.3</v>
      </c>
      <c r="X31" s="3">
        <f t="shared" si="44"/>
        <v>32.955780516143825</v>
      </c>
      <c r="Y31" s="3">
        <f t="shared" si="45"/>
        <v>33.420276872031479</v>
      </c>
      <c r="Z31" s="29">
        <f t="shared" si="46"/>
        <v>647762.76818452822</v>
      </c>
      <c r="AA31" s="30">
        <v>42800</v>
      </c>
    </row>
    <row r="32" spans="1:27" s="22" customFormat="1" x14ac:dyDescent="0.25">
      <c r="A32" s="49"/>
      <c r="B32" s="17" t="s">
        <v>26</v>
      </c>
      <c r="C32" s="18" t="s">
        <v>33</v>
      </c>
      <c r="D32" s="18" t="s">
        <v>33</v>
      </c>
      <c r="E32" s="19" t="s">
        <v>34</v>
      </c>
      <c r="F32" s="20">
        <f>42814*0.4536</f>
        <v>19420.430400000001</v>
      </c>
      <c r="G32" s="21">
        <v>19434.71</v>
      </c>
      <c r="H32" s="21">
        <f t="shared" si="36"/>
        <v>14.279599999998027</v>
      </c>
      <c r="I32" s="22" t="s">
        <v>100</v>
      </c>
      <c r="J32" s="23" t="s">
        <v>30</v>
      </c>
      <c r="K32" s="24">
        <v>42804</v>
      </c>
      <c r="L32" s="24">
        <v>42805</v>
      </c>
      <c r="M32" s="18" t="s">
        <v>98</v>
      </c>
      <c r="N32" s="18" t="s">
        <v>99</v>
      </c>
      <c r="O32" s="3"/>
      <c r="P32" s="25">
        <v>0.71689999999999998</v>
      </c>
      <c r="Q32" s="26">
        <v>23000</v>
      </c>
      <c r="R32" s="3">
        <v>9400</v>
      </c>
      <c r="S32" s="27">
        <v>19.928000000000001</v>
      </c>
      <c r="T32" s="27">
        <f t="shared" si="47"/>
        <v>3231.8393431637237</v>
      </c>
      <c r="V32" s="3">
        <v>0.12</v>
      </c>
      <c r="W32" s="3">
        <v>0.3</v>
      </c>
      <c r="X32" s="3">
        <f t="shared" si="44"/>
        <v>33.282880725071095</v>
      </c>
      <c r="Y32" s="3">
        <f t="shared" si="45"/>
        <v>33.749172856168684</v>
      </c>
      <c r="Z32" s="29">
        <f t="shared" si="46"/>
        <v>655423.46251079312</v>
      </c>
      <c r="AA32" s="30">
        <v>42793</v>
      </c>
    </row>
    <row r="33" spans="1:27" s="22" customFormat="1" ht="15.75" thickBot="1" x14ac:dyDescent="0.3">
      <c r="A33" s="49"/>
      <c r="B33" s="34"/>
      <c r="C33" s="6"/>
      <c r="D33" s="6"/>
      <c r="E33" s="6"/>
      <c r="F33" s="35"/>
      <c r="G33" s="35"/>
      <c r="H33" s="35"/>
      <c r="I33" s="9"/>
      <c r="J33" s="6"/>
      <c r="K33" s="10"/>
      <c r="L33" s="10"/>
      <c r="M33" s="6"/>
      <c r="N33" s="6"/>
      <c r="O33" s="11"/>
      <c r="P33" s="12"/>
      <c r="Q33" s="11"/>
      <c r="R33" s="11"/>
      <c r="S33" s="11"/>
      <c r="T33" s="11"/>
      <c r="U33" s="11"/>
      <c r="V33" s="11"/>
      <c r="W33" s="11"/>
      <c r="X33" s="11"/>
      <c r="Y33" s="11"/>
      <c r="Z33" s="15"/>
      <c r="AA33" s="36"/>
    </row>
    <row r="34" spans="1:27" s="22" customFormat="1" x14ac:dyDescent="0.25">
      <c r="A34" s="52"/>
      <c r="B34" s="38" t="s">
        <v>41</v>
      </c>
      <c r="C34" s="38" t="s">
        <v>42</v>
      </c>
      <c r="D34" s="39" t="s">
        <v>101</v>
      </c>
      <c r="E34" s="38">
        <v>260</v>
      </c>
      <c r="F34" s="40">
        <v>30740</v>
      </c>
      <c r="G34" s="41">
        <f>12600+12310</f>
        <v>24910</v>
      </c>
      <c r="H34" s="41">
        <f t="shared" ref="H34:H36" si="48">G34-F34</f>
        <v>-5830</v>
      </c>
      <c r="I34" s="39" t="s">
        <v>102</v>
      </c>
      <c r="J34" s="38"/>
      <c r="K34" s="42"/>
      <c r="L34" s="42">
        <v>42806</v>
      </c>
      <c r="M34" s="39" t="s">
        <v>57</v>
      </c>
      <c r="N34" s="38"/>
      <c r="O34" s="43">
        <v>24.5</v>
      </c>
      <c r="P34" s="44"/>
      <c r="Q34" s="53">
        <v>19800</v>
      </c>
      <c r="R34" s="3">
        <f t="shared" ref="R34:R35" si="49">65*E34</f>
        <v>16900</v>
      </c>
      <c r="S34" s="46">
        <f>-35*E34</f>
        <v>-9100</v>
      </c>
      <c r="T34" s="46">
        <f>X34*F34*0.0045</f>
        <v>4342.7623404255319</v>
      </c>
      <c r="U34" s="43">
        <f>E34*5</f>
        <v>1300</v>
      </c>
      <c r="V34" s="38"/>
      <c r="W34" s="43">
        <v>0.3</v>
      </c>
      <c r="X34" s="43">
        <f>((O34*F34)+Q34+R34+S34+U34)/G34</f>
        <v>31.39421918908069</v>
      </c>
      <c r="Y34" s="3">
        <f t="shared" ref="Y34:Y35" si="50">((O34*F34)+Q34+R34+S34+T34+U34)/G34+W34</f>
        <v>31.868557299896651</v>
      </c>
      <c r="Z34" s="47">
        <f>Y34*G34</f>
        <v>793845.76234042551</v>
      </c>
      <c r="AA34" s="48">
        <v>42821</v>
      </c>
    </row>
    <row r="35" spans="1:27" s="22" customFormat="1" x14ac:dyDescent="0.25">
      <c r="A35" s="54"/>
      <c r="B35" s="17" t="s">
        <v>41</v>
      </c>
      <c r="C35" s="19" t="s">
        <v>42</v>
      </c>
      <c r="D35" s="18" t="s">
        <v>101</v>
      </c>
      <c r="E35" s="19">
        <v>130</v>
      </c>
      <c r="F35" s="20">
        <v>15515</v>
      </c>
      <c r="G35" s="21">
        <f>7700+4940</f>
        <v>12640</v>
      </c>
      <c r="H35" s="21">
        <f t="shared" si="48"/>
        <v>-2875</v>
      </c>
      <c r="I35" s="18" t="s">
        <v>103</v>
      </c>
      <c r="J35" s="19"/>
      <c r="K35" s="24"/>
      <c r="L35" s="24">
        <v>42807</v>
      </c>
      <c r="M35" s="18" t="s">
        <v>60</v>
      </c>
      <c r="N35" s="19"/>
      <c r="O35" s="3">
        <v>24.5</v>
      </c>
      <c r="P35" s="31"/>
      <c r="Q35" s="26">
        <v>15700</v>
      </c>
      <c r="R35" s="3">
        <f t="shared" si="49"/>
        <v>8450</v>
      </c>
      <c r="S35" s="27">
        <f t="shared" ref="S35" si="51">-35*E35</f>
        <v>-4550</v>
      </c>
      <c r="T35" s="27">
        <f>X35*F35*0.0045</f>
        <v>2211.4444565862341</v>
      </c>
      <c r="U35" s="3">
        <f>E35*5</f>
        <v>650</v>
      </c>
      <c r="V35" s="19"/>
      <c r="W35" s="3">
        <v>0.3</v>
      </c>
      <c r="X35" s="3">
        <f>((O35*F35)+Q35+R35+S35+U35)/G35</f>
        <v>31.674643987341771</v>
      </c>
      <c r="Y35" s="3">
        <f t="shared" si="50"/>
        <v>32.149600036122322</v>
      </c>
      <c r="Z35" s="29">
        <f>Y35*G35</f>
        <v>406370.94445658615</v>
      </c>
      <c r="AA35" s="30">
        <v>42821</v>
      </c>
    </row>
    <row r="36" spans="1:27" s="22" customFormat="1" x14ac:dyDescent="0.25">
      <c r="A36" s="54"/>
      <c r="B36" s="17" t="s">
        <v>26</v>
      </c>
      <c r="C36" s="18" t="s">
        <v>27</v>
      </c>
      <c r="D36" s="18" t="s">
        <v>27</v>
      </c>
      <c r="E36" s="19" t="s">
        <v>34</v>
      </c>
      <c r="F36" s="20">
        <f>41233.25*0.4536</f>
        <v>18703.4022</v>
      </c>
      <c r="G36" s="21">
        <v>18548.88</v>
      </c>
      <c r="H36" s="21">
        <f t="shared" si="48"/>
        <v>-154.52219999999943</v>
      </c>
      <c r="I36" s="22" t="s">
        <v>104</v>
      </c>
      <c r="J36" s="23" t="s">
        <v>30</v>
      </c>
      <c r="K36" s="24">
        <v>42807</v>
      </c>
      <c r="L36" s="24">
        <v>42808</v>
      </c>
      <c r="M36" s="18" t="s">
        <v>62</v>
      </c>
      <c r="N36" s="18" t="s">
        <v>105</v>
      </c>
      <c r="O36" s="3"/>
      <c r="P36" s="25">
        <f>0.6127+0.1</f>
        <v>0.7127</v>
      </c>
      <c r="Q36" s="26">
        <v>23000</v>
      </c>
      <c r="R36" s="3">
        <v>9400</v>
      </c>
      <c r="S36" s="27">
        <v>19.149999999999999</v>
      </c>
      <c r="T36" s="27">
        <f>X36*F36*0.005</f>
        <v>2988.3892915196184</v>
      </c>
      <c r="V36" s="3">
        <v>0.12</v>
      </c>
      <c r="W36" s="3">
        <v>0.3</v>
      </c>
      <c r="X36" s="3">
        <f>IF(O36&gt;0,O36,((P36*2.2046*S36)+(Q36+R36)/G36)+V36)</f>
        <v>31.955568934080002</v>
      </c>
      <c r="Y36" s="3">
        <f t="shared" ref="Y36:Y37" si="52">IF(O36&gt;0,O36,((P36*2.2046*S36)+(Q36+R36+T36)/G36)+V36+W36)</f>
        <v>32.41667781459028</v>
      </c>
      <c r="Z36" s="29">
        <f>Y36*F36</f>
        <v>606302.16315409902</v>
      </c>
      <c r="AA36" s="30">
        <v>42818</v>
      </c>
    </row>
    <row r="37" spans="1:27" s="22" customFormat="1" x14ac:dyDescent="0.25">
      <c r="A37" s="54"/>
      <c r="B37" s="17" t="s">
        <v>26</v>
      </c>
      <c r="C37" s="18" t="s">
        <v>37</v>
      </c>
      <c r="D37" s="18" t="s">
        <v>37</v>
      </c>
      <c r="E37" s="19" t="s">
        <v>28</v>
      </c>
      <c r="F37" s="20">
        <f>40954*0.4536</f>
        <v>18576.734400000001</v>
      </c>
      <c r="G37" s="21">
        <v>18540.53</v>
      </c>
      <c r="H37" s="21">
        <f>G37-F37</f>
        <v>-36.204400000002352</v>
      </c>
      <c r="I37" s="22" t="s">
        <v>106</v>
      </c>
      <c r="J37" s="23" t="s">
        <v>30</v>
      </c>
      <c r="K37" s="24">
        <v>42807</v>
      </c>
      <c r="L37" s="24">
        <v>42808</v>
      </c>
      <c r="M37" s="18" t="s">
        <v>62</v>
      </c>
      <c r="N37" s="18" t="s">
        <v>107</v>
      </c>
      <c r="O37" s="3"/>
      <c r="P37" s="25">
        <f>0.6184+0.095</f>
        <v>0.71339999999999992</v>
      </c>
      <c r="Q37" s="26">
        <v>23000</v>
      </c>
      <c r="R37" s="3">
        <v>9400</v>
      </c>
      <c r="S37" s="27">
        <v>19.72</v>
      </c>
      <c r="T37" s="27">
        <f>X37*F37*0.005</f>
        <v>3054.2364214367881</v>
      </c>
      <c r="V37" s="3">
        <v>0.12</v>
      </c>
      <c r="W37" s="3">
        <v>0.3</v>
      </c>
      <c r="X37" s="3">
        <f t="shared" ref="X37" si="53">IF(O37&gt;0,O37,((P37*2.2046*S37)+(Q37+R37)/G37)+V37)</f>
        <v>32.882382400178876</v>
      </c>
      <c r="Y37" s="3">
        <f t="shared" si="52"/>
        <v>33.347115362043333</v>
      </c>
      <c r="Z37" s="29">
        <f t="shared" ref="Z37" si="54">Y37*F37</f>
        <v>619480.50508683885</v>
      </c>
      <c r="AA37" s="30">
        <v>42801</v>
      </c>
    </row>
    <row r="38" spans="1:27" s="22" customFormat="1" x14ac:dyDescent="0.25">
      <c r="A38" s="54"/>
      <c r="B38" s="17" t="s">
        <v>41</v>
      </c>
      <c r="C38" s="19" t="s">
        <v>42</v>
      </c>
      <c r="D38" s="18" t="s">
        <v>53</v>
      </c>
      <c r="E38" s="19">
        <v>200</v>
      </c>
      <c r="F38" s="20">
        <v>25430</v>
      </c>
      <c r="G38" s="21">
        <f>15550+5170</f>
        <v>20720</v>
      </c>
      <c r="H38" s="21">
        <f t="shared" ref="H38:H41" si="55">G38-F38</f>
        <v>-4710</v>
      </c>
      <c r="I38" s="22" t="s">
        <v>108</v>
      </c>
      <c r="J38" s="19"/>
      <c r="K38" s="24"/>
      <c r="L38" s="24">
        <v>42839</v>
      </c>
      <c r="M38" s="18" t="s">
        <v>62</v>
      </c>
      <c r="N38" s="19"/>
      <c r="O38" s="3">
        <v>24.5</v>
      </c>
      <c r="P38" s="31"/>
      <c r="Q38" s="55">
        <v>19800</v>
      </c>
      <c r="R38" s="3">
        <f>65*E38</f>
        <v>13000</v>
      </c>
      <c r="S38" s="27">
        <f t="shared" ref="S38" si="56">-35*E38</f>
        <v>-7000</v>
      </c>
      <c r="T38" s="27">
        <f t="shared" ref="T38" si="57">X38*F38*0.005</f>
        <v>3987.7664213320468</v>
      </c>
      <c r="U38" s="3">
        <f>E38*5</f>
        <v>1000</v>
      </c>
      <c r="V38" s="19"/>
      <c r="W38" s="3">
        <v>0.3</v>
      </c>
      <c r="X38" s="3">
        <f>((O38*F38)+Q38+R38+S38+U38)/G38</f>
        <v>31.362693050193052</v>
      </c>
      <c r="Y38" s="3">
        <f t="shared" ref="Y38" si="58">((O38*F38)+Q38+R38+S38+T38+U38)/G38+W38</f>
        <v>31.855152819562356</v>
      </c>
      <c r="Z38" s="29">
        <f>Y38*G38</f>
        <v>660038.76642133202</v>
      </c>
      <c r="AA38" s="30">
        <v>42821</v>
      </c>
    </row>
    <row r="39" spans="1:27" s="22" customFormat="1" x14ac:dyDescent="0.25">
      <c r="A39" s="54"/>
      <c r="B39" s="17" t="s">
        <v>109</v>
      </c>
      <c r="C39" s="19" t="s">
        <v>110</v>
      </c>
      <c r="D39" s="18" t="s">
        <v>94</v>
      </c>
      <c r="E39" s="19" t="s">
        <v>111</v>
      </c>
      <c r="F39" s="20">
        <v>22.7</v>
      </c>
      <c r="G39" s="21">
        <v>22.7</v>
      </c>
      <c r="H39" s="21">
        <f t="shared" si="55"/>
        <v>0</v>
      </c>
      <c r="J39" s="19"/>
      <c r="K39" s="24"/>
      <c r="L39" s="24">
        <v>42809</v>
      </c>
      <c r="M39" s="18" t="s">
        <v>31</v>
      </c>
      <c r="N39" s="19"/>
      <c r="O39" s="3">
        <v>190</v>
      </c>
      <c r="P39" s="31"/>
      <c r="Q39" s="3"/>
      <c r="R39" s="3"/>
      <c r="S39" s="27"/>
      <c r="T39" s="27"/>
      <c r="U39" s="3"/>
      <c r="V39" s="19"/>
      <c r="W39" s="3"/>
      <c r="X39" s="3">
        <f t="shared" ref="X39:X42" si="59">IF(O39&gt;0,O39,((P39*2.2046*S39)+(Q39+R39)/G39)+V39)</f>
        <v>190</v>
      </c>
      <c r="Y39" s="3">
        <f t="shared" ref="Y39:Y42" si="60">IF(O39&gt;0,O39,((P39*2.2046*S39)+(Q39+R39+T39)/G39)+V39+W39)</f>
        <v>190</v>
      </c>
      <c r="Z39" s="29">
        <f t="shared" ref="Z39:Z42" si="61">Y39*F39</f>
        <v>4313</v>
      </c>
      <c r="AA39" s="30">
        <v>42809</v>
      </c>
    </row>
    <row r="40" spans="1:27" s="22" customFormat="1" x14ac:dyDescent="0.25">
      <c r="A40" s="54"/>
      <c r="B40" s="17" t="s">
        <v>112</v>
      </c>
      <c r="C40" s="19" t="s">
        <v>110</v>
      </c>
      <c r="D40" s="18" t="s">
        <v>94</v>
      </c>
      <c r="E40" s="19" t="s">
        <v>111</v>
      </c>
      <c r="F40" s="20">
        <v>50</v>
      </c>
      <c r="G40" s="21">
        <v>50</v>
      </c>
      <c r="H40" s="21">
        <f t="shared" si="55"/>
        <v>0</v>
      </c>
      <c r="J40" s="19"/>
      <c r="K40" s="24"/>
      <c r="L40" s="24">
        <v>42809</v>
      </c>
      <c r="M40" s="18" t="s">
        <v>31</v>
      </c>
      <c r="N40" s="19"/>
      <c r="O40" s="3">
        <v>190</v>
      </c>
      <c r="P40" s="31"/>
      <c r="Q40" s="3"/>
      <c r="R40" s="3"/>
      <c r="S40" s="27"/>
      <c r="T40" s="27"/>
      <c r="U40" s="3"/>
      <c r="V40" s="19"/>
      <c r="W40" s="3"/>
      <c r="X40" s="3">
        <f t="shared" si="59"/>
        <v>190</v>
      </c>
      <c r="Y40" s="3">
        <f t="shared" si="60"/>
        <v>190</v>
      </c>
      <c r="Z40" s="29">
        <f t="shared" si="61"/>
        <v>9500</v>
      </c>
      <c r="AA40" s="30">
        <v>42809</v>
      </c>
    </row>
    <row r="41" spans="1:27" s="22" customFormat="1" x14ac:dyDescent="0.25">
      <c r="A41" s="54"/>
      <c r="B41" s="17" t="s">
        <v>76</v>
      </c>
      <c r="C41" s="19" t="s">
        <v>33</v>
      </c>
      <c r="D41" s="18" t="s">
        <v>77</v>
      </c>
      <c r="E41" s="19" t="s">
        <v>78</v>
      </c>
      <c r="F41" s="20">
        <f>938.5+906.3+919.9+936.7</f>
        <v>3701.3999999999996</v>
      </c>
      <c r="G41" s="21">
        <v>3701.4</v>
      </c>
      <c r="H41" s="21">
        <f t="shared" si="55"/>
        <v>0</v>
      </c>
      <c r="I41" s="22" t="s">
        <v>113</v>
      </c>
      <c r="J41" s="19"/>
      <c r="K41" s="24"/>
      <c r="L41" s="24">
        <v>42809</v>
      </c>
      <c r="M41" s="18" t="s">
        <v>31</v>
      </c>
      <c r="N41" s="19"/>
      <c r="O41" s="3">
        <v>20.5</v>
      </c>
      <c r="P41" s="31"/>
      <c r="Q41" s="3"/>
      <c r="R41" s="3"/>
      <c r="S41" s="27"/>
      <c r="T41" s="27"/>
      <c r="U41" s="3"/>
      <c r="V41" s="3"/>
      <c r="W41" s="3"/>
      <c r="X41" s="3">
        <f t="shared" si="59"/>
        <v>20.5</v>
      </c>
      <c r="Y41" s="3">
        <f t="shared" si="60"/>
        <v>20.5</v>
      </c>
      <c r="Z41" s="29">
        <f t="shared" si="61"/>
        <v>75878.7</v>
      </c>
      <c r="AA41" s="30">
        <v>42817</v>
      </c>
    </row>
    <row r="42" spans="1:27" s="22" customFormat="1" x14ac:dyDescent="0.25">
      <c r="A42" s="54"/>
      <c r="B42" s="17" t="s">
        <v>26</v>
      </c>
      <c r="C42" s="18" t="s">
        <v>37</v>
      </c>
      <c r="D42" s="18" t="s">
        <v>37</v>
      </c>
      <c r="E42" s="19" t="s">
        <v>28</v>
      </c>
      <c r="F42" s="20">
        <f>40905*0.4536</f>
        <v>18554.508000000002</v>
      </c>
      <c r="G42" s="21">
        <v>18495.060000000001</v>
      </c>
      <c r="H42" s="21">
        <f>G42-F42</f>
        <v>-59.44800000000032</v>
      </c>
      <c r="I42" s="22" t="s">
        <v>114</v>
      </c>
      <c r="J42" s="23" t="s">
        <v>39</v>
      </c>
      <c r="K42" s="24">
        <v>42808</v>
      </c>
      <c r="L42" s="24">
        <v>42809</v>
      </c>
      <c r="M42" s="18" t="s">
        <v>31</v>
      </c>
      <c r="N42" s="18" t="s">
        <v>115</v>
      </c>
      <c r="O42" s="3"/>
      <c r="P42" s="25">
        <f>0.6127+0.095</f>
        <v>0.7077</v>
      </c>
      <c r="Q42" s="26">
        <v>23000</v>
      </c>
      <c r="R42" s="3">
        <v>9400</v>
      </c>
      <c r="S42" s="27">
        <v>19.72</v>
      </c>
      <c r="T42" s="27">
        <f>X42*F42*0.005</f>
        <v>3027.9911339521122</v>
      </c>
      <c r="V42" s="3">
        <v>0.12</v>
      </c>
      <c r="W42" s="3">
        <v>0.3</v>
      </c>
      <c r="X42" s="3">
        <f t="shared" si="59"/>
        <v>32.638872816806696</v>
      </c>
      <c r="Y42" s="3">
        <f t="shared" si="60"/>
        <v>33.102591730611358</v>
      </c>
      <c r="Z42" s="29">
        <f t="shared" si="61"/>
        <v>614202.30308636231</v>
      </c>
      <c r="AA42" s="30">
        <v>42802</v>
      </c>
    </row>
    <row r="43" spans="1:27" s="22" customFormat="1" x14ac:dyDescent="0.25">
      <c r="A43" s="54"/>
      <c r="B43" s="17" t="s">
        <v>41</v>
      </c>
      <c r="C43" s="19" t="s">
        <v>42</v>
      </c>
      <c r="D43" s="18" t="s">
        <v>101</v>
      </c>
      <c r="E43" s="19">
        <v>130</v>
      </c>
      <c r="F43" s="20">
        <v>14865</v>
      </c>
      <c r="G43" s="21">
        <f>7090+4880</f>
        <v>11970</v>
      </c>
      <c r="H43" s="21">
        <f t="shared" ref="H43" si="62">G43-F43</f>
        <v>-2895</v>
      </c>
      <c r="I43" s="22" t="s">
        <v>116</v>
      </c>
      <c r="J43" s="19"/>
      <c r="K43" s="24"/>
      <c r="L43" s="24">
        <v>42809</v>
      </c>
      <c r="M43" s="18" t="s">
        <v>31</v>
      </c>
      <c r="N43" s="19"/>
      <c r="O43" s="3">
        <v>24.5</v>
      </c>
      <c r="P43" s="31"/>
      <c r="Q43" s="26">
        <v>15700</v>
      </c>
      <c r="R43" s="3">
        <f>65*E43</f>
        <v>8450</v>
      </c>
      <c r="S43" s="27">
        <f t="shared" ref="S43" si="63">-35*E43</f>
        <v>-4550</v>
      </c>
      <c r="T43" s="27">
        <f>X43*F43*0.0045</f>
        <v>2148.3976550751877</v>
      </c>
      <c r="U43" s="3">
        <f>E43*5</f>
        <v>650</v>
      </c>
      <c r="V43" s="19"/>
      <c r="W43" s="3">
        <v>0.3</v>
      </c>
      <c r="X43" s="3">
        <f>((O43*F43)+Q43+R43+S43+U43)/G43</f>
        <v>32.117167919799499</v>
      </c>
      <c r="Y43" s="3">
        <f t="shared" ref="Y43" si="64">((O43*F43)+Q43+R43+S43+T43+U43)/G43+W43</f>
        <v>32.596649762328752</v>
      </c>
      <c r="Z43" s="29">
        <f>Y43*G43</f>
        <v>390181.89765507518</v>
      </c>
      <c r="AA43" s="30">
        <v>42822</v>
      </c>
    </row>
    <row r="44" spans="1:27" s="22" customFormat="1" x14ac:dyDescent="0.25">
      <c r="A44" s="54"/>
      <c r="B44" s="17" t="s">
        <v>26</v>
      </c>
      <c r="C44" s="18" t="s">
        <v>33</v>
      </c>
      <c r="D44" s="18" t="s">
        <v>33</v>
      </c>
      <c r="E44" s="19" t="s">
        <v>34</v>
      </c>
      <c r="F44" s="20">
        <f>42824*0.4536</f>
        <v>19424.966400000001</v>
      </c>
      <c r="G44" s="21">
        <v>19421.93</v>
      </c>
      <c r="H44" s="21">
        <f>G44-F44</f>
        <v>-3.0364000000008673</v>
      </c>
      <c r="I44" s="22" t="s">
        <v>117</v>
      </c>
      <c r="J44" s="23" t="s">
        <v>30</v>
      </c>
      <c r="K44" s="24">
        <v>42809</v>
      </c>
      <c r="L44" s="24">
        <v>42810</v>
      </c>
      <c r="M44" s="18" t="s">
        <v>47</v>
      </c>
      <c r="N44" s="18" t="s">
        <v>118</v>
      </c>
      <c r="O44" s="3"/>
      <c r="P44" s="25">
        <f>0.6257+0.105</f>
        <v>0.73070000000000002</v>
      </c>
      <c r="Q44" s="26">
        <v>23000</v>
      </c>
      <c r="R44" s="3">
        <v>9400</v>
      </c>
      <c r="S44" s="27">
        <v>19.690000000000001</v>
      </c>
      <c r="T44" s="27">
        <f>X44*F44*0.005</f>
        <v>3254.3483757253034</v>
      </c>
      <c r="V44" s="3">
        <v>0.12</v>
      </c>
      <c r="W44" s="3">
        <v>0.3</v>
      </c>
      <c r="X44" s="3">
        <f t="shared" ref="X44" si="65">IF(O44&gt;0,O44,((P44*2.2046*S44)+(Q44+R44)/G44)+V44)</f>
        <v>33.506862341088045</v>
      </c>
      <c r="Y44" s="3">
        <f t="shared" ref="Y44" si="66">IF(O44&gt;0,O44,((P44*2.2046*S44)+(Q44+R44+T44)/G44)+V44+W44)</f>
        <v>33.974422844896125</v>
      </c>
      <c r="Z44" s="29">
        <f t="shared" ref="Z44" si="67">Y44*F44</f>
        <v>659952.0222214997</v>
      </c>
      <c r="AA44" s="30">
        <v>42803</v>
      </c>
    </row>
    <row r="45" spans="1:27" s="22" customFormat="1" x14ac:dyDescent="0.25">
      <c r="A45" s="54"/>
      <c r="B45" s="17" t="s">
        <v>41</v>
      </c>
      <c r="C45" s="19" t="s">
        <v>42</v>
      </c>
      <c r="D45" s="18" t="s">
        <v>119</v>
      </c>
      <c r="E45" s="19">
        <f>230</f>
        <v>230</v>
      </c>
      <c r="F45" s="20">
        <f>26235</f>
        <v>26235</v>
      </c>
      <c r="G45" s="21">
        <f>18960</f>
        <v>18960</v>
      </c>
      <c r="H45" s="21">
        <f t="shared" ref="H45:H46" si="68">G45-F45</f>
        <v>-7275</v>
      </c>
      <c r="I45" s="22" t="s">
        <v>120</v>
      </c>
      <c r="J45" s="19"/>
      <c r="K45" s="24"/>
      <c r="L45" s="24">
        <v>42810</v>
      </c>
      <c r="M45" s="18" t="s">
        <v>47</v>
      </c>
      <c r="N45" s="19"/>
      <c r="O45" s="3">
        <v>24.5</v>
      </c>
      <c r="P45" s="31"/>
      <c r="Q45" s="26">
        <f>19800</f>
        <v>19800</v>
      </c>
      <c r="R45" s="3">
        <f t="shared" ref="R45:R46" si="69">65*E45</f>
        <v>14950</v>
      </c>
      <c r="S45" s="27">
        <f t="shared" ref="S45:S46" si="70">-35*E45</f>
        <v>-8050</v>
      </c>
      <c r="T45" s="27">
        <f t="shared" ref="T45:T46" si="71">X45*F45*0.0045</f>
        <v>4175.6458297072777</v>
      </c>
      <c r="U45" s="3">
        <f t="shared" ref="U45:U46" si="72">E45*5</f>
        <v>1150</v>
      </c>
      <c r="V45" s="19"/>
      <c r="W45" s="3">
        <v>0.3</v>
      </c>
      <c r="X45" s="3">
        <f t="shared" ref="X45:X46" si="73">((O45*F45)+Q45+R45+S45+U45)/G45</f>
        <v>35.369593881856538</v>
      </c>
      <c r="Y45" s="3">
        <f t="shared" ref="Y45:Y46" si="74">((O45*F45)+Q45+R45+S45+T45+U45)/G45+W45</f>
        <v>35.889828366545736</v>
      </c>
      <c r="Z45" s="29">
        <f t="shared" ref="Z45:Z46" si="75">Y45*G45</f>
        <v>680471.14582970715</v>
      </c>
      <c r="AA45" s="30">
        <v>42823</v>
      </c>
    </row>
    <row r="46" spans="1:27" s="22" customFormat="1" x14ac:dyDescent="0.25">
      <c r="A46" s="54"/>
      <c r="B46" s="17" t="s">
        <v>41</v>
      </c>
      <c r="C46" s="19" t="s">
        <v>42</v>
      </c>
      <c r="D46" s="18" t="s">
        <v>45</v>
      </c>
      <c r="E46" s="19">
        <v>99</v>
      </c>
      <c r="F46" s="20">
        <v>12170</v>
      </c>
      <c r="G46" s="21">
        <v>11760</v>
      </c>
      <c r="H46" s="21">
        <f t="shared" si="68"/>
        <v>-410</v>
      </c>
      <c r="I46" s="22" t="s">
        <v>121</v>
      </c>
      <c r="J46" s="19"/>
      <c r="K46" s="24"/>
      <c r="L46" s="24">
        <v>42810</v>
      </c>
      <c r="M46" s="18" t="s">
        <v>47</v>
      </c>
      <c r="N46" s="19"/>
      <c r="O46" s="3">
        <v>24.5</v>
      </c>
      <c r="P46" s="31"/>
      <c r="Q46" s="26">
        <v>15700</v>
      </c>
      <c r="R46" s="3">
        <f t="shared" si="69"/>
        <v>6435</v>
      </c>
      <c r="S46" s="27">
        <f t="shared" si="70"/>
        <v>-3465</v>
      </c>
      <c r="T46" s="27">
        <f t="shared" si="71"/>
        <v>1477.7701913265305</v>
      </c>
      <c r="U46" s="3">
        <f t="shared" si="72"/>
        <v>495</v>
      </c>
      <c r="V46" s="19"/>
      <c r="W46" s="3">
        <v>0.3</v>
      </c>
      <c r="X46" s="3">
        <f t="shared" si="73"/>
        <v>26.983843537414966</v>
      </c>
      <c r="Y46" s="3">
        <f t="shared" si="74"/>
        <v>27.409504267969943</v>
      </c>
      <c r="Z46" s="29">
        <f t="shared" si="75"/>
        <v>322335.7701913265</v>
      </c>
      <c r="AA46" s="30">
        <v>42823</v>
      </c>
    </row>
    <row r="47" spans="1:27" s="22" customFormat="1" x14ac:dyDescent="0.25">
      <c r="A47" s="54"/>
      <c r="B47" s="17" t="s">
        <v>26</v>
      </c>
      <c r="C47" s="18" t="s">
        <v>27</v>
      </c>
      <c r="D47" s="18" t="s">
        <v>27</v>
      </c>
      <c r="E47" s="19" t="s">
        <v>34</v>
      </c>
      <c r="F47" s="20">
        <f>41067*0.4536</f>
        <v>18627.9912</v>
      </c>
      <c r="G47" s="21">
        <v>18583.87</v>
      </c>
      <c r="H47" s="21">
        <f>G47-F47</f>
        <v>-44.121200000001409</v>
      </c>
      <c r="I47" s="22" t="s">
        <v>122</v>
      </c>
      <c r="J47" s="23" t="s">
        <v>30</v>
      </c>
      <c r="K47" s="24">
        <v>42810</v>
      </c>
      <c r="L47" s="24">
        <v>42811</v>
      </c>
      <c r="M47" s="18" t="s">
        <v>49</v>
      </c>
      <c r="N47" s="18" t="s">
        <v>123</v>
      </c>
      <c r="O47" s="3"/>
      <c r="P47" s="25">
        <f>0.6257+0.1</f>
        <v>0.72570000000000001</v>
      </c>
      <c r="Q47" s="26">
        <v>23000</v>
      </c>
      <c r="R47" s="3">
        <v>9400</v>
      </c>
      <c r="S47" s="51">
        <v>18.965</v>
      </c>
      <c r="T47" s="27">
        <f>X47*F47*0.005</f>
        <v>2999.5851224405442</v>
      </c>
      <c r="V47" s="3">
        <v>0.12</v>
      </c>
      <c r="W47" s="3">
        <v>0.3</v>
      </c>
      <c r="X47" s="3">
        <f t="shared" ref="X47" si="76">IF(O47&gt;0,O47,((P47*2.2046*S47)+(Q47+R47)/G47)+V47)</f>
        <v>32.20513785126272</v>
      </c>
      <c r="Y47" s="3">
        <f t="shared" ref="Y47" si="77">IF(O47&gt;0,O47,((P47*2.2046*S47)+(Q47+R47+T47)/G47)+V47+W47)</f>
        <v>32.666545842302284</v>
      </c>
      <c r="Z47" s="29">
        <f t="shared" ref="Z47" si="78">Y47*F47</f>
        <v>608512.1284848036</v>
      </c>
      <c r="AA47" s="30">
        <v>42822</v>
      </c>
    </row>
    <row r="48" spans="1:27" s="22" customFormat="1" x14ac:dyDescent="0.25">
      <c r="A48" s="54"/>
      <c r="B48" s="17" t="s">
        <v>41</v>
      </c>
      <c r="C48" s="19" t="s">
        <v>42</v>
      </c>
      <c r="D48" s="18" t="s">
        <v>58</v>
      </c>
      <c r="E48" s="19">
        <f>200</f>
        <v>200</v>
      </c>
      <c r="F48" s="20">
        <f>23805</f>
        <v>23805</v>
      </c>
      <c r="G48" s="21">
        <f>18400</f>
        <v>18400</v>
      </c>
      <c r="H48" s="21">
        <f t="shared" ref="H48:H53" si="79">G48-F48</f>
        <v>-5405</v>
      </c>
      <c r="I48" s="22" t="s">
        <v>124</v>
      </c>
      <c r="J48" s="19"/>
      <c r="K48" s="24"/>
      <c r="L48" s="24">
        <v>42811</v>
      </c>
      <c r="M48" s="18" t="s">
        <v>49</v>
      </c>
      <c r="N48" s="19"/>
      <c r="O48" s="3">
        <v>24.5</v>
      </c>
      <c r="P48" s="31"/>
      <c r="Q48" s="26">
        <f>19800</f>
        <v>19800</v>
      </c>
      <c r="R48" s="3">
        <f t="shared" ref="R48:R49" si="80">65*E48</f>
        <v>13000</v>
      </c>
      <c r="S48" s="27">
        <f>-35*E48</f>
        <v>-7000</v>
      </c>
      <c r="T48" s="27">
        <f>X48*F48*0.0045</f>
        <v>3551.4747421874999</v>
      </c>
      <c r="U48" s="3">
        <f>E48*5</f>
        <v>1000</v>
      </c>
      <c r="V48" s="19"/>
      <c r="W48" s="3">
        <v>0.3</v>
      </c>
      <c r="X48" s="3">
        <f>((O48*F48)+Q48+R48+S48+U48)/G48</f>
        <v>33.153396739130436</v>
      </c>
      <c r="Y48" s="3">
        <f t="shared" ref="Y48:Y49" si="81">((O48*F48)+Q48+R48+S48+T48+U48)/G48+W48</f>
        <v>33.646411670771059</v>
      </c>
      <c r="Z48" s="29">
        <f t="shared" ref="Z48:Z49" si="82">Y48*G48</f>
        <v>619093.97474218754</v>
      </c>
      <c r="AA48" s="30">
        <v>42824</v>
      </c>
    </row>
    <row r="49" spans="1:27" s="22" customFormat="1" x14ac:dyDescent="0.25">
      <c r="A49" s="54"/>
      <c r="B49" s="17" t="s">
        <v>41</v>
      </c>
      <c r="C49" s="19" t="s">
        <v>42</v>
      </c>
      <c r="D49" s="18" t="s">
        <v>45</v>
      </c>
      <c r="E49" s="19">
        <v>130</v>
      </c>
      <c r="F49" s="20">
        <v>14605</v>
      </c>
      <c r="G49" s="21">
        <v>12150</v>
      </c>
      <c r="H49" s="21">
        <f t="shared" si="79"/>
        <v>-2455</v>
      </c>
      <c r="I49" s="18" t="s">
        <v>125</v>
      </c>
      <c r="J49" s="19"/>
      <c r="K49" s="24"/>
      <c r="L49" s="24">
        <v>42811</v>
      </c>
      <c r="M49" s="18" t="s">
        <v>49</v>
      </c>
      <c r="N49" s="19"/>
      <c r="O49" s="3">
        <v>24.5</v>
      </c>
      <c r="P49" s="31"/>
      <c r="Q49" s="26">
        <v>15700</v>
      </c>
      <c r="R49" s="3">
        <f t="shared" si="80"/>
        <v>8450</v>
      </c>
      <c r="S49" s="27">
        <f>-35*E49</f>
        <v>-4550</v>
      </c>
      <c r="T49" s="27">
        <f>X49*F49*0.0045</f>
        <v>2045.0921712962961</v>
      </c>
      <c r="U49" s="3">
        <f>E49*5</f>
        <v>650</v>
      </c>
      <c r="V49" s="19"/>
      <c r="W49" s="3">
        <v>0.3</v>
      </c>
      <c r="X49" s="3">
        <f>((O49*F49)+Q49+R49+S49+U49)/G49</f>
        <v>31.117078189300411</v>
      </c>
      <c r="Y49" s="3">
        <f t="shared" si="81"/>
        <v>31.585398532616981</v>
      </c>
      <c r="Z49" s="29">
        <f t="shared" si="82"/>
        <v>383762.5921712963</v>
      </c>
      <c r="AA49" s="30">
        <v>42824</v>
      </c>
    </row>
    <row r="50" spans="1:27" s="22" customFormat="1" x14ac:dyDescent="0.25">
      <c r="A50" s="54"/>
      <c r="B50" s="17" t="s">
        <v>126</v>
      </c>
      <c r="C50" s="19" t="s">
        <v>127</v>
      </c>
      <c r="D50" s="18" t="s">
        <v>128</v>
      </c>
      <c r="E50" s="19" t="s">
        <v>129</v>
      </c>
      <c r="F50" s="20">
        <v>16751.289000000001</v>
      </c>
      <c r="G50" s="21">
        <v>16754.3</v>
      </c>
      <c r="H50" s="21">
        <f>G50-F50</f>
        <v>3.010999999998603</v>
      </c>
      <c r="I50" s="18" t="s">
        <v>130</v>
      </c>
      <c r="J50" s="19"/>
      <c r="K50" s="24"/>
      <c r="L50" s="24">
        <v>42811</v>
      </c>
      <c r="M50" s="18" t="s">
        <v>49</v>
      </c>
      <c r="N50" s="19"/>
      <c r="O50" s="3">
        <v>93.5</v>
      </c>
      <c r="P50" s="31"/>
      <c r="Q50" s="3"/>
      <c r="R50" s="3"/>
      <c r="S50" s="27"/>
      <c r="T50" s="27"/>
      <c r="U50" s="3"/>
      <c r="V50" s="3"/>
      <c r="W50" s="3"/>
      <c r="X50" s="3">
        <f>IF(O50&gt;0,O50,((P50*2.2046*S50)+(Q50+R50)/G50)+V50)</f>
        <v>93.5</v>
      </c>
      <c r="Y50" s="3">
        <f t="shared" ref="Y50:Y53" si="83">IF(O50&gt;0,O50,((P50*2.2046*S50)+(Q50+R50+T50)/G50)+V50+W50)</f>
        <v>93.5</v>
      </c>
      <c r="Z50" s="29">
        <f>Y50*F50</f>
        <v>1566245.5215</v>
      </c>
      <c r="AA50" s="30">
        <v>42831</v>
      </c>
    </row>
    <row r="51" spans="1:27" s="22" customFormat="1" x14ac:dyDescent="0.25">
      <c r="A51" s="54"/>
      <c r="B51" s="17" t="s">
        <v>26</v>
      </c>
      <c r="C51" s="18" t="s">
        <v>27</v>
      </c>
      <c r="D51" s="18" t="s">
        <v>27</v>
      </c>
      <c r="E51" s="19" t="s">
        <v>34</v>
      </c>
      <c r="F51" s="20">
        <f>41109*0.4536</f>
        <v>18647.042399999998</v>
      </c>
      <c r="G51" s="21">
        <v>18574.28</v>
      </c>
      <c r="H51" s="21">
        <f>G51-F51</f>
        <v>-72.762399999999616</v>
      </c>
      <c r="I51" s="22" t="s">
        <v>131</v>
      </c>
      <c r="J51" s="23" t="s">
        <v>30</v>
      </c>
      <c r="K51" s="24">
        <v>42811</v>
      </c>
      <c r="L51" s="24">
        <v>42812</v>
      </c>
      <c r="M51" s="18" t="s">
        <v>98</v>
      </c>
      <c r="N51" s="18" t="s">
        <v>132</v>
      </c>
      <c r="O51" s="3"/>
      <c r="P51" s="25">
        <f>0.6352+0.1</f>
        <v>0.73519999999999996</v>
      </c>
      <c r="Q51" s="26">
        <v>23000</v>
      </c>
      <c r="R51" s="3">
        <v>9400</v>
      </c>
      <c r="S51" s="51">
        <v>18.965</v>
      </c>
      <c r="T51" s="27">
        <f>X51*F51*0.005</f>
        <v>3039.769552561665</v>
      </c>
      <c r="V51" s="3">
        <v>0.12</v>
      </c>
      <c r="W51" s="3">
        <v>0.3</v>
      </c>
      <c r="X51" s="3">
        <f t="shared" ref="X51:X53" si="84">IF(O51&gt;0,O51,((P51*2.2046*S51)+(Q51+R51)/G51)+V51)</f>
        <v>32.603235272974608</v>
      </c>
      <c r="Y51" s="3">
        <f t="shared" si="83"/>
        <v>33.066890044656823</v>
      </c>
      <c r="Z51" s="29">
        <f t="shared" ref="Z51:Z53" si="85">Y51*F51</f>
        <v>616599.70069885359</v>
      </c>
      <c r="AA51" s="30">
        <v>42822</v>
      </c>
    </row>
    <row r="52" spans="1:27" s="22" customFormat="1" x14ac:dyDescent="0.25">
      <c r="A52" s="54"/>
      <c r="B52" s="17" t="s">
        <v>26</v>
      </c>
      <c r="C52" s="18" t="s">
        <v>33</v>
      </c>
      <c r="D52" s="18" t="s">
        <v>33</v>
      </c>
      <c r="E52" s="19" t="s">
        <v>34</v>
      </c>
      <c r="F52" s="20">
        <f>40740*0.4536</f>
        <v>18479.664000000001</v>
      </c>
      <c r="G52" s="21">
        <v>18441</v>
      </c>
      <c r="H52" s="21">
        <f t="shared" si="79"/>
        <v>-38.664000000000669</v>
      </c>
      <c r="I52" s="22" t="s">
        <v>133</v>
      </c>
      <c r="J52" s="23" t="s">
        <v>30</v>
      </c>
      <c r="K52" s="24">
        <v>42811</v>
      </c>
      <c r="L52" s="24">
        <v>42812</v>
      </c>
      <c r="M52" s="18" t="s">
        <v>98</v>
      </c>
      <c r="N52" s="18" t="s">
        <v>134</v>
      </c>
      <c r="O52" s="3"/>
      <c r="P52" s="25">
        <f>0.6421+0.105</f>
        <v>0.74709999999999999</v>
      </c>
      <c r="Q52" s="26">
        <v>23000</v>
      </c>
      <c r="R52" s="3">
        <v>9400</v>
      </c>
      <c r="S52" s="27">
        <v>19.71</v>
      </c>
      <c r="T52" s="27">
        <f t="shared" ref="T52:T53" si="86">X52*F52*0.005</f>
        <v>3172.9990916264614</v>
      </c>
      <c r="V52" s="3">
        <v>0.12</v>
      </c>
      <c r="W52" s="3">
        <v>0.3</v>
      </c>
      <c r="X52" s="3">
        <f t="shared" si="84"/>
        <v>34.340441380605853</v>
      </c>
      <c r="Y52" s="3">
        <f t="shared" si="83"/>
        <v>34.812503583936824</v>
      </c>
      <c r="Z52" s="29">
        <f t="shared" si="85"/>
        <v>643323.36922994838</v>
      </c>
      <c r="AA52" s="30">
        <v>42807</v>
      </c>
    </row>
    <row r="53" spans="1:27" s="22" customFormat="1" x14ac:dyDescent="0.25">
      <c r="A53" s="54"/>
      <c r="B53" s="17" t="s">
        <v>26</v>
      </c>
      <c r="C53" s="18" t="s">
        <v>33</v>
      </c>
      <c r="D53" s="18" t="s">
        <v>33</v>
      </c>
      <c r="E53" s="19" t="s">
        <v>34</v>
      </c>
      <c r="F53" s="20">
        <f>41826*0.4536</f>
        <v>18972.2736</v>
      </c>
      <c r="G53" s="21">
        <v>18970.169999999998</v>
      </c>
      <c r="H53" s="21">
        <f t="shared" si="79"/>
        <v>-2.1036000000021886</v>
      </c>
      <c r="I53" s="22" t="s">
        <v>135</v>
      </c>
      <c r="J53" s="23" t="s">
        <v>30</v>
      </c>
      <c r="K53" s="24">
        <v>42811</v>
      </c>
      <c r="L53" s="24">
        <v>42812</v>
      </c>
      <c r="M53" s="18" t="s">
        <v>98</v>
      </c>
      <c r="N53" s="18" t="s">
        <v>134</v>
      </c>
      <c r="O53" s="3"/>
      <c r="P53" s="25">
        <v>0.74709999999999999</v>
      </c>
      <c r="Q53" s="26">
        <v>23000</v>
      </c>
      <c r="R53" s="3">
        <v>9400</v>
      </c>
      <c r="S53" s="27">
        <v>19.71</v>
      </c>
      <c r="T53" s="27">
        <f t="shared" si="86"/>
        <v>3252.9320932409237</v>
      </c>
      <c r="V53" s="3">
        <v>0.12</v>
      </c>
      <c r="W53" s="3">
        <v>0.3</v>
      </c>
      <c r="X53" s="3">
        <f t="shared" si="84"/>
        <v>34.291431399565347</v>
      </c>
      <c r="Y53" s="3">
        <f t="shared" si="83"/>
        <v>34.762907569427867</v>
      </c>
      <c r="Z53" s="29">
        <f t="shared" si="85"/>
        <v>659531.39353869646</v>
      </c>
      <c r="AA53" s="30">
        <v>42807</v>
      </c>
    </row>
    <row r="54" spans="1:27" s="22" customFormat="1" ht="15.75" thickBot="1" x14ac:dyDescent="0.3">
      <c r="A54" s="54"/>
      <c r="B54" s="34"/>
      <c r="C54" s="6"/>
      <c r="D54" s="6"/>
      <c r="E54" s="6"/>
      <c r="F54" s="35"/>
      <c r="G54" s="35"/>
      <c r="H54" s="35"/>
      <c r="I54" s="9"/>
      <c r="J54" s="6"/>
      <c r="K54" s="10"/>
      <c r="L54" s="10"/>
      <c r="M54" s="6"/>
      <c r="N54" s="6"/>
      <c r="O54" s="11"/>
      <c r="P54" s="12"/>
      <c r="Q54" s="11"/>
      <c r="R54" s="11"/>
      <c r="S54" s="11"/>
      <c r="T54" s="11"/>
      <c r="U54" s="11"/>
      <c r="V54" s="11"/>
      <c r="W54" s="11"/>
      <c r="X54" s="11"/>
      <c r="Y54" s="11"/>
      <c r="Z54" s="15"/>
      <c r="AA54" s="36"/>
    </row>
    <row r="55" spans="1:27" s="22" customFormat="1" x14ac:dyDescent="0.25">
      <c r="A55" s="56"/>
      <c r="B55" s="38" t="s">
        <v>41</v>
      </c>
      <c r="C55" s="38" t="s">
        <v>42</v>
      </c>
      <c r="D55" s="39" t="s">
        <v>58</v>
      </c>
      <c r="E55" s="38">
        <v>131</v>
      </c>
      <c r="F55" s="40">
        <v>14830</v>
      </c>
      <c r="G55" s="41">
        <v>11920</v>
      </c>
      <c r="H55" s="41">
        <f t="shared" ref="H55:H57" si="87">G55-F55</f>
        <v>-2910</v>
      </c>
      <c r="I55" s="39" t="s">
        <v>136</v>
      </c>
      <c r="J55" s="38"/>
      <c r="K55" s="42"/>
      <c r="L55" s="42">
        <v>42813</v>
      </c>
      <c r="M55" s="39" t="s">
        <v>57</v>
      </c>
      <c r="N55" s="38"/>
      <c r="O55" s="43">
        <v>24</v>
      </c>
      <c r="P55" s="44"/>
      <c r="Q55" s="57">
        <v>15700</v>
      </c>
      <c r="R55" s="3">
        <f t="shared" ref="R55:R56" si="88">65*E55</f>
        <v>8515</v>
      </c>
      <c r="S55" s="46">
        <f>-35*E55</f>
        <v>-4585</v>
      </c>
      <c r="T55" s="46">
        <f>X55*F55*0.0045</f>
        <v>2106.2114660234897</v>
      </c>
      <c r="U55" s="43">
        <f>E55*5</f>
        <v>655</v>
      </c>
      <c r="V55" s="38"/>
      <c r="W55" s="43">
        <v>0.3</v>
      </c>
      <c r="X55" s="43">
        <f>((O55*F55)+Q55+R55+S55+U55)/G55</f>
        <v>31.560822147651006</v>
      </c>
      <c r="Y55" s="3">
        <f t="shared" ref="Y55:Y57" si="89">((O55*F55)+Q55+R55+S55+T55+U55)/G55+W55</f>
        <v>32.037517740438211</v>
      </c>
      <c r="Z55" s="47">
        <f>Y55*G55</f>
        <v>381887.21146602347</v>
      </c>
      <c r="AA55" s="48">
        <v>42828</v>
      </c>
    </row>
    <row r="56" spans="1:27" s="22" customFormat="1" x14ac:dyDescent="0.25">
      <c r="A56" s="58"/>
      <c r="B56" s="17" t="s">
        <v>41</v>
      </c>
      <c r="C56" s="19" t="s">
        <v>42</v>
      </c>
      <c r="D56" s="18" t="s">
        <v>119</v>
      </c>
      <c r="E56" s="19">
        <v>200</v>
      </c>
      <c r="F56" s="20">
        <v>24175</v>
      </c>
      <c r="G56" s="21">
        <f>12680+6870</f>
        <v>19550</v>
      </c>
      <c r="H56" s="21">
        <f t="shared" si="87"/>
        <v>-4625</v>
      </c>
      <c r="I56" s="18" t="s">
        <v>137</v>
      </c>
      <c r="J56" s="19"/>
      <c r="K56" s="24"/>
      <c r="L56" s="24">
        <v>42814</v>
      </c>
      <c r="M56" s="18" t="s">
        <v>60</v>
      </c>
      <c r="N56" s="19"/>
      <c r="O56" s="3">
        <v>24</v>
      </c>
      <c r="P56" s="31"/>
      <c r="Q56" s="55">
        <v>19800</v>
      </c>
      <c r="R56" s="3">
        <f t="shared" si="88"/>
        <v>13000</v>
      </c>
      <c r="S56" s="27">
        <f t="shared" ref="S56:S57" si="90">-35*E56</f>
        <v>-7000</v>
      </c>
      <c r="T56" s="27">
        <f>X56*F56*0.0045</f>
        <v>3377.6988491048592</v>
      </c>
      <c r="U56" s="3">
        <f>E56*5</f>
        <v>1000</v>
      </c>
      <c r="V56" s="19"/>
      <c r="W56" s="3">
        <v>0.3</v>
      </c>
      <c r="X56" s="3">
        <f>((O56*F56)+Q56+R56+S56+U56)/G56</f>
        <v>31.04859335038363</v>
      </c>
      <c r="Y56" s="3">
        <f t="shared" si="89"/>
        <v>31.521365670030939</v>
      </c>
      <c r="Z56" s="29">
        <f>Y56*G56</f>
        <v>616242.69884910481</v>
      </c>
      <c r="AA56" s="30">
        <v>42828</v>
      </c>
    </row>
    <row r="57" spans="1:27" s="22" customFormat="1" x14ac:dyDescent="0.25">
      <c r="A57" s="58"/>
      <c r="B57" s="17" t="s">
        <v>41</v>
      </c>
      <c r="C57" s="19" t="s">
        <v>42</v>
      </c>
      <c r="D57" s="18" t="s">
        <v>43</v>
      </c>
      <c r="E57" s="19">
        <v>130</v>
      </c>
      <c r="F57" s="20">
        <v>16230</v>
      </c>
      <c r="G57" s="21">
        <f>7150+6010</f>
        <v>13160</v>
      </c>
      <c r="H57" s="21">
        <f t="shared" si="87"/>
        <v>-3070</v>
      </c>
      <c r="I57" s="22" t="s">
        <v>138</v>
      </c>
      <c r="J57" s="19"/>
      <c r="K57" s="24"/>
      <c r="L57" s="24">
        <v>42815</v>
      </c>
      <c r="M57" s="18" t="s">
        <v>62</v>
      </c>
      <c r="N57" s="19"/>
      <c r="O57" s="3">
        <v>24</v>
      </c>
      <c r="P57" s="31"/>
      <c r="Q57" s="26">
        <v>15700</v>
      </c>
      <c r="R57" s="3">
        <f>65*E57</f>
        <v>8450</v>
      </c>
      <c r="S57" s="27">
        <f t="shared" si="90"/>
        <v>-4550</v>
      </c>
      <c r="T57" s="27">
        <f t="shared" ref="T57" si="91">X57*F57*0.005</f>
        <v>2526.8112082066868</v>
      </c>
      <c r="U57" s="3">
        <f>E57*5</f>
        <v>650</v>
      </c>
      <c r="V57" s="19"/>
      <c r="W57" s="3">
        <v>0.3</v>
      </c>
      <c r="X57" s="3">
        <f>((O57*F57)+Q57+R57+S57+U57)/G57</f>
        <v>31.137537993920972</v>
      </c>
      <c r="Y57" s="3">
        <f t="shared" si="89"/>
        <v>31.629544924635766</v>
      </c>
      <c r="Z57" s="29">
        <f>Y57*G57</f>
        <v>416244.81120820669</v>
      </c>
      <c r="AA57" s="30">
        <v>42828</v>
      </c>
    </row>
    <row r="58" spans="1:27" s="22" customFormat="1" x14ac:dyDescent="0.25">
      <c r="A58" s="58"/>
      <c r="B58" s="17" t="s">
        <v>26</v>
      </c>
      <c r="C58" s="18" t="s">
        <v>37</v>
      </c>
      <c r="D58" s="18" t="s">
        <v>37</v>
      </c>
      <c r="E58" s="19" t="s">
        <v>28</v>
      </c>
      <c r="F58" s="20">
        <f>41143*0.4536</f>
        <v>18662.464800000002</v>
      </c>
      <c r="G58" s="21">
        <v>18611.439999999999</v>
      </c>
      <c r="H58" s="21">
        <f>G58-F58</f>
        <v>-51.02480000000287</v>
      </c>
      <c r="I58" s="22" t="s">
        <v>139</v>
      </c>
      <c r="J58" s="23" t="s">
        <v>39</v>
      </c>
      <c r="K58" s="24">
        <v>42815</v>
      </c>
      <c r="L58" s="24">
        <v>42816</v>
      </c>
      <c r="M58" s="18" t="s">
        <v>31</v>
      </c>
      <c r="N58" s="18" t="s">
        <v>140</v>
      </c>
      <c r="O58" s="3"/>
      <c r="P58" s="25">
        <f>0.6388+0.095</f>
        <v>0.73380000000000001</v>
      </c>
      <c r="Q58" s="26">
        <v>23000</v>
      </c>
      <c r="R58" s="3">
        <v>9400</v>
      </c>
      <c r="S58" s="27">
        <v>19.655000000000001</v>
      </c>
      <c r="T58" s="27">
        <f>X58*F58*0.005</f>
        <v>3140.6554036284065</v>
      </c>
      <c r="V58" s="3">
        <v>0.12</v>
      </c>
      <c r="W58" s="3">
        <v>0.3</v>
      </c>
      <c r="X58" s="3">
        <f t="shared" ref="X58:X59" si="92">IF(O58&gt;0,O58,((P58*2.2046*S58)+(Q58+R58)/G58)+V58)</f>
        <v>33.657455617849642</v>
      </c>
      <c r="Y58" s="3">
        <f t="shared" ref="Y58:Y59" si="93">IF(O58&gt;0,O58,((P58*2.2046*S58)+(Q58+R58+T58)/G58)+V58+W58)</f>
        <v>34.126204269411716</v>
      </c>
      <c r="Z58" s="29">
        <f t="shared" ref="Z58:Z59" si="94">Y58*F58</f>
        <v>636879.08593550592</v>
      </c>
      <c r="AA58" s="30">
        <v>42808</v>
      </c>
    </row>
    <row r="59" spans="1:27" s="22" customFormat="1" x14ac:dyDescent="0.25">
      <c r="A59" s="58"/>
      <c r="B59" s="17" t="s">
        <v>26</v>
      </c>
      <c r="C59" s="18" t="s">
        <v>37</v>
      </c>
      <c r="D59" s="18" t="s">
        <v>37</v>
      </c>
      <c r="E59" s="19" t="s">
        <v>28</v>
      </c>
      <c r="F59" s="20">
        <f>41047*0.4536</f>
        <v>18618.9192</v>
      </c>
      <c r="G59" s="21">
        <v>18565.95</v>
      </c>
      <c r="H59" s="21">
        <f>G59-F59</f>
        <v>-52.969199999999546</v>
      </c>
      <c r="I59" s="22" t="s">
        <v>141</v>
      </c>
      <c r="J59" s="23" t="s">
        <v>30</v>
      </c>
      <c r="K59" s="24">
        <v>42815</v>
      </c>
      <c r="L59" s="24">
        <v>42816</v>
      </c>
      <c r="M59" s="18" t="s">
        <v>31</v>
      </c>
      <c r="N59" s="18" t="s">
        <v>140</v>
      </c>
      <c r="O59" s="3"/>
      <c r="P59" s="25">
        <f>0.6388+0.095</f>
        <v>0.73380000000000001</v>
      </c>
      <c r="Q59" s="26">
        <v>23000</v>
      </c>
      <c r="R59" s="3">
        <v>9400</v>
      </c>
      <c r="S59" s="27">
        <v>19.655000000000001</v>
      </c>
      <c r="T59" s="27">
        <f>X59*F59*0.005</f>
        <v>3133.7243225055618</v>
      </c>
      <c r="V59" s="3">
        <v>0.12</v>
      </c>
      <c r="W59" s="3">
        <v>0.3</v>
      </c>
      <c r="X59" s="3">
        <f t="shared" si="92"/>
        <v>33.661721057423804</v>
      </c>
      <c r="Y59" s="3">
        <f t="shared" si="93"/>
        <v>34.130509852099301</v>
      </c>
      <c r="Z59" s="29">
        <f t="shared" si="94"/>
        <v>635473.20519104088</v>
      </c>
      <c r="AA59" s="30">
        <v>42808</v>
      </c>
    </row>
    <row r="60" spans="1:27" s="22" customFormat="1" x14ac:dyDescent="0.25">
      <c r="A60" s="58"/>
      <c r="B60" s="17" t="s">
        <v>41</v>
      </c>
      <c r="C60" s="19" t="s">
        <v>42</v>
      </c>
      <c r="D60" s="18" t="s">
        <v>119</v>
      </c>
      <c r="E60" s="19">
        <v>190</v>
      </c>
      <c r="F60" s="20">
        <v>22630</v>
      </c>
      <c r="G60" s="21">
        <f>12490+5820</f>
        <v>18310</v>
      </c>
      <c r="H60" s="21">
        <f t="shared" ref="H60" si="95">G60-F60</f>
        <v>-4320</v>
      </c>
      <c r="I60" s="22" t="s">
        <v>142</v>
      </c>
      <c r="J60" s="19"/>
      <c r="K60" s="24"/>
      <c r="L60" s="24">
        <v>42816</v>
      </c>
      <c r="M60" s="18" t="s">
        <v>31</v>
      </c>
      <c r="N60" s="19"/>
      <c r="O60" s="3">
        <v>24</v>
      </c>
      <c r="P60" s="31"/>
      <c r="Q60" s="55">
        <v>19800</v>
      </c>
      <c r="R60" s="3">
        <f>65*E60</f>
        <v>12350</v>
      </c>
      <c r="S60" s="27">
        <f t="shared" ref="S60" si="96">-35*E60</f>
        <v>-6650</v>
      </c>
      <c r="T60" s="27">
        <f>X60*F60*0.0045</f>
        <v>3167.7859612233751</v>
      </c>
      <c r="U60" s="3">
        <f>E60*5</f>
        <v>950</v>
      </c>
      <c r="V60" s="19"/>
      <c r="W60" s="3">
        <v>0.3</v>
      </c>
      <c r="X60" s="3">
        <f>((O60*F60)+Q60+R60+S60+U60)/G60</f>
        <v>31.107045330420537</v>
      </c>
      <c r="Y60" s="3">
        <f t="shared" ref="Y60" si="97">((O60*F60)+Q60+R60+S60+T60+U60)/G60+W60</f>
        <v>31.580053848237217</v>
      </c>
      <c r="Z60" s="29">
        <f>Y60*G60</f>
        <v>578230.78596122342</v>
      </c>
      <c r="AA60" s="30">
        <v>42798</v>
      </c>
    </row>
    <row r="61" spans="1:27" s="22" customFormat="1" x14ac:dyDescent="0.25">
      <c r="A61" s="58"/>
      <c r="B61" s="17" t="s">
        <v>26</v>
      </c>
      <c r="C61" s="18" t="s">
        <v>33</v>
      </c>
      <c r="D61" s="18" t="s">
        <v>33</v>
      </c>
      <c r="E61" s="19" t="s">
        <v>34</v>
      </c>
      <c r="F61" s="20">
        <f>42610*0.4536</f>
        <v>19327.896000000001</v>
      </c>
      <c r="G61" s="21">
        <v>19304.71</v>
      </c>
      <c r="H61" s="21">
        <f>G61-F61</f>
        <v>-23.186000000001513</v>
      </c>
      <c r="I61" s="22" t="s">
        <v>143</v>
      </c>
      <c r="J61" s="23" t="s">
        <v>30</v>
      </c>
      <c r="K61" s="24">
        <v>42816</v>
      </c>
      <c r="L61" s="24">
        <v>42817</v>
      </c>
      <c r="M61" s="18" t="s">
        <v>47</v>
      </c>
      <c r="N61" s="18" t="s">
        <v>144</v>
      </c>
      <c r="O61" s="3"/>
      <c r="P61" s="25">
        <f>0.6308+0.105</f>
        <v>0.73580000000000001</v>
      </c>
      <c r="Q61" s="26">
        <v>23000</v>
      </c>
      <c r="R61" s="3">
        <v>9400</v>
      </c>
      <c r="S61" s="27">
        <v>19.55</v>
      </c>
      <c r="T61" s="27">
        <f>X61*F61*0.005</f>
        <v>3238.5122272923568</v>
      </c>
      <c r="V61" s="3">
        <v>0.12</v>
      </c>
      <c r="W61" s="3">
        <v>0.3</v>
      </c>
      <c r="X61" s="3">
        <f t="shared" ref="X61" si="98">IF(O61&gt;0,O61,((P61*2.2046*S61)+(Q61+R61)/G61)+V61)</f>
        <v>33.511275384473883</v>
      </c>
      <c r="Y61" s="3">
        <f t="shared" ref="Y61" si="99">IF(O61&gt;0,O61,((P61*2.2046*S61)+(Q61+R61+T61)/G61)+V61+W61)</f>
        <v>33.979033005660227</v>
      </c>
      <c r="Z61" s="29">
        <f t="shared" ref="Z61" si="100">Y61*F61</f>
        <v>656743.21611396829</v>
      </c>
      <c r="AA61" s="30">
        <v>42810</v>
      </c>
    </row>
    <row r="62" spans="1:27" s="22" customFormat="1" x14ac:dyDescent="0.25">
      <c r="A62" s="58"/>
      <c r="B62" s="17" t="s">
        <v>41</v>
      </c>
      <c r="C62" s="19" t="s">
        <v>42</v>
      </c>
      <c r="D62" s="18" t="s">
        <v>119</v>
      </c>
      <c r="E62" s="19">
        <f>230</f>
        <v>230</v>
      </c>
      <c r="F62" s="20">
        <f>27515</f>
        <v>27515</v>
      </c>
      <c r="G62" s="21">
        <f>19040</f>
        <v>19040</v>
      </c>
      <c r="H62" s="21">
        <f t="shared" ref="H62:H64" si="101">G62-F62</f>
        <v>-8475</v>
      </c>
      <c r="I62" s="22" t="s">
        <v>145</v>
      </c>
      <c r="J62" s="59">
        <v>200</v>
      </c>
      <c r="K62" s="24"/>
      <c r="L62" s="24">
        <v>42817</v>
      </c>
      <c r="M62" s="18" t="s">
        <v>47</v>
      </c>
      <c r="N62" s="19"/>
      <c r="O62" s="3">
        <v>24</v>
      </c>
      <c r="P62" s="31"/>
      <c r="Q62" s="26">
        <v>19800</v>
      </c>
      <c r="R62" s="3">
        <f t="shared" ref="R62:R63" si="102">65*E62</f>
        <v>14950</v>
      </c>
      <c r="S62" s="27">
        <f t="shared" ref="S62:S63" si="103">-35*E62</f>
        <v>-8050</v>
      </c>
      <c r="T62" s="27">
        <f t="shared" ref="T62:T63" si="104">X62*F62*0.0045</f>
        <v>4475.4433652836124</v>
      </c>
      <c r="U62" s="3">
        <f t="shared" ref="U62:U63" si="105">E62*5</f>
        <v>1150</v>
      </c>
      <c r="V62" s="19"/>
      <c r="W62" s="3">
        <v>0.3</v>
      </c>
      <c r="X62" s="3">
        <f t="shared" ref="X62:X63" si="106">((O62*F62)+Q62+R62+S62+U62)/G62</f>
        <v>36.145483193277308</v>
      </c>
      <c r="Y62" s="3">
        <f t="shared" ref="Y62:Y63" si="107">((O62*F62)+Q62+R62+S62+T62+U62)/G62+W62</f>
        <v>36.680537991874139</v>
      </c>
      <c r="Z62" s="29">
        <f t="shared" ref="Z62:Z63" si="108">Y62*G62</f>
        <v>698397.44336528366</v>
      </c>
      <c r="AA62" s="30">
        <v>42799</v>
      </c>
    </row>
    <row r="63" spans="1:27" s="22" customFormat="1" x14ac:dyDescent="0.25">
      <c r="A63" s="58"/>
      <c r="B63" s="17" t="s">
        <v>41</v>
      </c>
      <c r="C63" s="19" t="s">
        <v>42</v>
      </c>
      <c r="D63" s="18" t="s">
        <v>43</v>
      </c>
      <c r="E63" s="19">
        <v>100</v>
      </c>
      <c r="F63" s="20">
        <v>11575</v>
      </c>
      <c r="G63" s="21">
        <v>12000</v>
      </c>
      <c r="H63" s="21">
        <f t="shared" si="101"/>
        <v>425</v>
      </c>
      <c r="I63" s="22" t="s">
        <v>146</v>
      </c>
      <c r="J63" s="59">
        <v>129</v>
      </c>
      <c r="K63" s="24"/>
      <c r="L63" s="24">
        <v>42817</v>
      </c>
      <c r="M63" s="18" t="s">
        <v>47</v>
      </c>
      <c r="N63" s="19"/>
      <c r="O63" s="3">
        <v>24</v>
      </c>
      <c r="P63" s="31"/>
      <c r="Q63" s="26">
        <v>15700</v>
      </c>
      <c r="R63" s="3">
        <f t="shared" si="102"/>
        <v>6500</v>
      </c>
      <c r="S63" s="27">
        <f t="shared" si="103"/>
        <v>-3500</v>
      </c>
      <c r="T63" s="27">
        <f t="shared" si="104"/>
        <v>1289.1656249999999</v>
      </c>
      <c r="U63" s="3">
        <f t="shared" si="105"/>
        <v>500</v>
      </c>
      <c r="V63" s="19"/>
      <c r="W63" s="3">
        <v>0.3</v>
      </c>
      <c r="X63" s="3">
        <f t="shared" si="106"/>
        <v>24.75</v>
      </c>
      <c r="Y63" s="3">
        <f t="shared" si="107"/>
        <v>25.157430468750004</v>
      </c>
      <c r="Z63" s="29">
        <f t="shared" si="108"/>
        <v>301889.16562500002</v>
      </c>
      <c r="AA63" s="30">
        <v>42799</v>
      </c>
    </row>
    <row r="64" spans="1:27" s="22" customFormat="1" x14ac:dyDescent="0.25">
      <c r="A64" s="58"/>
      <c r="B64" s="17" t="s">
        <v>147</v>
      </c>
      <c r="C64" s="19" t="s">
        <v>33</v>
      </c>
      <c r="D64" s="18" t="s">
        <v>77</v>
      </c>
      <c r="E64" s="19" t="s">
        <v>148</v>
      </c>
      <c r="F64" s="20">
        <v>5539.7</v>
      </c>
      <c r="G64" s="21">
        <v>5539.7</v>
      </c>
      <c r="H64" s="21">
        <f t="shared" si="101"/>
        <v>0</v>
      </c>
      <c r="I64" s="22" t="s">
        <v>149</v>
      </c>
      <c r="J64" s="19"/>
      <c r="K64" s="24"/>
      <c r="L64" s="24">
        <v>42817</v>
      </c>
      <c r="M64" s="18" t="s">
        <v>47</v>
      </c>
      <c r="N64" s="19"/>
      <c r="O64" s="3">
        <v>21.5</v>
      </c>
      <c r="P64" s="31"/>
      <c r="Q64" s="3"/>
      <c r="R64" s="3"/>
      <c r="S64" s="27"/>
      <c r="T64" s="27"/>
      <c r="U64" s="3"/>
      <c r="V64" s="3"/>
      <c r="W64" s="3"/>
      <c r="X64" s="3">
        <f t="shared" ref="X64:X65" si="109">IF(O64&gt;0,O64,((P64*2.2046*S64)+(Q64+R64)/G64)+V64)</f>
        <v>21.5</v>
      </c>
      <c r="Y64" s="3">
        <f t="shared" ref="Y64:Y65" si="110">IF(O64&gt;0,O64,((P64*2.2046*S64)+(Q64+R64+T64)/G64)+V64+W64)</f>
        <v>21.5</v>
      </c>
      <c r="Z64" s="29">
        <f t="shared" ref="Z64:Z65" si="111">Y64*F64</f>
        <v>119103.55</v>
      </c>
      <c r="AA64" s="30">
        <v>42824</v>
      </c>
    </row>
    <row r="65" spans="1:27" s="22" customFormat="1" x14ac:dyDescent="0.25">
      <c r="A65" s="58"/>
      <c r="B65" s="17" t="s">
        <v>26</v>
      </c>
      <c r="C65" s="18" t="s">
        <v>27</v>
      </c>
      <c r="D65" s="18" t="s">
        <v>27</v>
      </c>
      <c r="E65" s="19" t="s">
        <v>28</v>
      </c>
      <c r="F65" s="20">
        <f>39085.5*0.4536</f>
        <v>17729.182799999999</v>
      </c>
      <c r="G65" s="21">
        <v>17632.88</v>
      </c>
      <c r="H65" s="21">
        <f>G65-F65</f>
        <v>-96.30279999999766</v>
      </c>
      <c r="I65" s="22" t="s">
        <v>150</v>
      </c>
      <c r="J65" s="23" t="s">
        <v>30</v>
      </c>
      <c r="K65" s="24">
        <v>42817</v>
      </c>
      <c r="L65" s="24">
        <v>42818</v>
      </c>
      <c r="M65" s="18" t="s">
        <v>49</v>
      </c>
      <c r="N65" s="18" t="s">
        <v>151</v>
      </c>
      <c r="O65" s="3"/>
      <c r="P65" s="25">
        <f>0.6308+0.1</f>
        <v>0.73080000000000001</v>
      </c>
      <c r="Q65" s="26">
        <v>23000</v>
      </c>
      <c r="R65" s="3">
        <v>9400</v>
      </c>
      <c r="S65" s="51">
        <v>18.925999999999998</v>
      </c>
      <c r="T65" s="27">
        <f>X65*F65*0.005</f>
        <v>2876.5213719673966</v>
      </c>
      <c r="V65" s="3">
        <v>0.12</v>
      </c>
      <c r="W65" s="3">
        <v>0.3</v>
      </c>
      <c r="X65" s="3">
        <f t="shared" si="109"/>
        <v>32.44956526667881</v>
      </c>
      <c r="Y65" s="3">
        <f t="shared" si="110"/>
        <v>32.912699217115005</v>
      </c>
      <c r="Z65" s="29">
        <f t="shared" si="111"/>
        <v>583515.26086164871</v>
      </c>
      <c r="AA65" s="30">
        <v>42829</v>
      </c>
    </row>
    <row r="66" spans="1:27" s="22" customFormat="1" x14ac:dyDescent="0.25">
      <c r="A66" s="58"/>
      <c r="B66" s="17" t="s">
        <v>41</v>
      </c>
      <c r="C66" s="19" t="s">
        <v>42</v>
      </c>
      <c r="D66" s="18" t="s">
        <v>119</v>
      </c>
      <c r="E66" s="19">
        <f>229</f>
        <v>229</v>
      </c>
      <c r="F66" s="20">
        <f>26605</f>
        <v>26605</v>
      </c>
      <c r="G66" s="21">
        <f>18670</f>
        <v>18670</v>
      </c>
      <c r="H66" s="21">
        <f t="shared" ref="H66:H68" si="112">G66-F66</f>
        <v>-7935</v>
      </c>
      <c r="I66" s="22" t="s">
        <v>152</v>
      </c>
      <c r="J66" s="59">
        <v>200</v>
      </c>
      <c r="K66" s="24"/>
      <c r="L66" s="24">
        <v>42818</v>
      </c>
      <c r="M66" s="18" t="s">
        <v>49</v>
      </c>
      <c r="N66" s="19"/>
      <c r="O66" s="3">
        <v>24</v>
      </c>
      <c r="P66" s="31"/>
      <c r="Q66" s="55">
        <f>19800</f>
        <v>19800</v>
      </c>
      <c r="R66" s="3">
        <f t="shared" ref="R66:R67" si="113">65*E66</f>
        <v>14885</v>
      </c>
      <c r="S66" s="27">
        <f>-35*E66</f>
        <v>-8015</v>
      </c>
      <c r="T66" s="27">
        <f>X66*F66*0.0045</f>
        <v>4272.9133389126937</v>
      </c>
      <c r="U66" s="3">
        <f>E66*5</f>
        <v>1145</v>
      </c>
      <c r="V66" s="19"/>
      <c r="W66" s="3">
        <v>0.3</v>
      </c>
      <c r="X66" s="3">
        <f>((O66*F66)+Q66+R66+S66+U66)/G66</f>
        <v>35.690144617032672</v>
      </c>
      <c r="Y66" s="3">
        <f t="shared" ref="Y66:Y67" si="114">((O66*F66)+Q66+R66+S66+T66+U66)/G66+W66</f>
        <v>36.219009819973891</v>
      </c>
      <c r="Z66" s="29">
        <f t="shared" ref="Z66:Z67" si="115">Y66*G66</f>
        <v>676208.91333891253</v>
      </c>
      <c r="AA66" s="30">
        <v>42800</v>
      </c>
    </row>
    <row r="67" spans="1:27" s="22" customFormat="1" x14ac:dyDescent="0.25">
      <c r="A67" s="58"/>
      <c r="B67" s="17" t="s">
        <v>41</v>
      </c>
      <c r="C67" s="19" t="s">
        <v>42</v>
      </c>
      <c r="D67" s="18" t="s">
        <v>53</v>
      </c>
      <c r="E67" s="19">
        <v>100</v>
      </c>
      <c r="F67" s="20">
        <v>11950</v>
      </c>
      <c r="G67" s="21">
        <v>11920</v>
      </c>
      <c r="H67" s="21">
        <f t="shared" si="112"/>
        <v>-30</v>
      </c>
      <c r="I67" s="18" t="s">
        <v>153</v>
      </c>
      <c r="J67" s="59">
        <v>128</v>
      </c>
      <c r="K67" s="24"/>
      <c r="L67" s="24">
        <v>42818</v>
      </c>
      <c r="M67" s="18" t="s">
        <v>49</v>
      </c>
      <c r="N67" s="19"/>
      <c r="O67" s="3">
        <v>24</v>
      </c>
      <c r="P67" s="31"/>
      <c r="Q67" s="26">
        <v>15700</v>
      </c>
      <c r="R67" s="3">
        <f t="shared" si="113"/>
        <v>6500</v>
      </c>
      <c r="S67" s="27">
        <f>-35*E67</f>
        <v>-3500</v>
      </c>
      <c r="T67" s="27">
        <f>X67*F67*0.0045</f>
        <v>1380.4656040268455</v>
      </c>
      <c r="U67" s="3">
        <f>E67*5</f>
        <v>500</v>
      </c>
      <c r="V67" s="19"/>
      <c r="W67" s="3">
        <v>0.3</v>
      </c>
      <c r="X67" s="3">
        <f>((O67*F67)+Q67+R67+S67+U67)/G67</f>
        <v>25.671140939597315</v>
      </c>
      <c r="Y67" s="3">
        <f t="shared" si="114"/>
        <v>26.086951812418363</v>
      </c>
      <c r="Z67" s="29">
        <f t="shared" si="115"/>
        <v>310956.46560402686</v>
      </c>
      <c r="AA67" s="30">
        <v>42800</v>
      </c>
    </row>
    <row r="68" spans="1:27" s="22" customFormat="1" x14ac:dyDescent="0.25">
      <c r="A68" s="58"/>
      <c r="B68" s="17" t="s">
        <v>26</v>
      </c>
      <c r="C68" s="18" t="s">
        <v>33</v>
      </c>
      <c r="D68" s="18" t="s">
        <v>33</v>
      </c>
      <c r="E68" s="19" t="s">
        <v>34</v>
      </c>
      <c r="F68" s="20">
        <f>41884*0.4536</f>
        <v>18998.582399999999</v>
      </c>
      <c r="G68" s="21">
        <v>18955.560000000001</v>
      </c>
      <c r="H68" s="21">
        <f t="shared" si="112"/>
        <v>-43.022399999998015</v>
      </c>
      <c r="I68" s="22" t="s">
        <v>154</v>
      </c>
      <c r="J68" s="23" t="s">
        <v>30</v>
      </c>
      <c r="K68" s="24">
        <v>42818</v>
      </c>
      <c r="L68" s="24">
        <v>42819</v>
      </c>
      <c r="M68" s="18" t="s">
        <v>98</v>
      </c>
      <c r="N68" s="18" t="s">
        <v>155</v>
      </c>
      <c r="O68" s="3"/>
      <c r="P68" s="25">
        <f>0.6302+0.105</f>
        <v>0.73519999999999996</v>
      </c>
      <c r="Q68" s="26">
        <v>23000</v>
      </c>
      <c r="R68" s="3">
        <v>9400</v>
      </c>
      <c r="S68" s="51">
        <v>19.241</v>
      </c>
      <c r="T68" s="27">
        <f t="shared" ref="T68" si="116">X68*F68*0.005</f>
        <v>3136.2380674263927</v>
      </c>
      <c r="V68" s="3">
        <v>0.12</v>
      </c>
      <c r="W68" s="3">
        <v>0.3</v>
      </c>
      <c r="X68" s="3">
        <f t="shared" ref="X68" si="117">IF(O68&gt;0,O68,((P68*2.2046*S68)+(Q68+R68)/G68)+V68)</f>
        <v>33.015495592201582</v>
      </c>
      <c r="Y68" s="3">
        <f t="shared" ref="Y68" si="118">IF(O68&gt;0,O68,((P68*2.2046*S68)+(Q68+R68+T68)/G68)+V68+W68)</f>
        <v>33.480947737504934</v>
      </c>
      <c r="Z68" s="29">
        <f t="shared" ref="Z68" si="119">Y68*F68</f>
        <v>636090.54442108108</v>
      </c>
      <c r="AA68" s="30">
        <v>42815</v>
      </c>
    </row>
    <row r="69" spans="1:27" s="22" customFormat="1" ht="15.75" thickBot="1" x14ac:dyDescent="0.3">
      <c r="A69" s="58"/>
      <c r="B69" s="34"/>
      <c r="C69" s="6"/>
      <c r="D69" s="6"/>
      <c r="E69" s="6"/>
      <c r="F69" s="35"/>
      <c r="G69" s="35"/>
      <c r="H69" s="35"/>
      <c r="I69" s="9"/>
      <c r="J69" s="6"/>
      <c r="K69" s="10"/>
      <c r="L69" s="10"/>
      <c r="M69" s="6"/>
      <c r="N69" s="6"/>
      <c r="O69" s="11"/>
      <c r="P69" s="12"/>
      <c r="Q69" s="11"/>
      <c r="R69" s="11"/>
      <c r="S69" s="11"/>
      <c r="T69" s="11"/>
      <c r="U69" s="11"/>
      <c r="V69" s="11"/>
      <c r="W69" s="11"/>
      <c r="X69" s="11"/>
      <c r="Y69" s="11"/>
      <c r="Z69" s="15"/>
      <c r="AA69" s="36"/>
    </row>
    <row r="70" spans="1:27" s="22" customFormat="1" x14ac:dyDescent="0.25">
      <c r="A70" s="60"/>
      <c r="B70" s="38" t="s">
        <v>41</v>
      </c>
      <c r="C70" s="38" t="s">
        <v>42</v>
      </c>
      <c r="D70" s="39" t="s">
        <v>119</v>
      </c>
      <c r="E70" s="38">
        <v>260</v>
      </c>
      <c r="F70" s="40">
        <v>31405</v>
      </c>
      <c r="G70" s="41">
        <f>12920+12590</f>
        <v>25510</v>
      </c>
      <c r="H70" s="41">
        <f t="shared" ref="H70:H75" si="120">G70-F70</f>
        <v>-5895</v>
      </c>
      <c r="I70" s="39" t="s">
        <v>156</v>
      </c>
      <c r="J70" s="38"/>
      <c r="K70" s="42"/>
      <c r="L70" s="42">
        <v>42820</v>
      </c>
      <c r="M70" s="39" t="s">
        <v>57</v>
      </c>
      <c r="N70" s="38"/>
      <c r="O70" s="43">
        <v>23.8</v>
      </c>
      <c r="P70" s="44"/>
      <c r="Q70" s="61">
        <v>19800</v>
      </c>
      <c r="R70" s="3">
        <f t="shared" ref="R70:R71" si="121">65*E70</f>
        <v>16900</v>
      </c>
      <c r="S70" s="46">
        <f>-35*E70</f>
        <v>-9100</v>
      </c>
      <c r="T70" s="46">
        <f>X70*F70*0.0045</f>
        <v>4300.8298050764406</v>
      </c>
      <c r="U70" s="43">
        <f>E70*5</f>
        <v>1300</v>
      </c>
      <c r="V70" s="38"/>
      <c r="W70" s="43">
        <v>0.3</v>
      </c>
      <c r="X70" s="43">
        <f>((O70*F70)+Q70+R70+S70+U70)/G70</f>
        <v>30.432732261858096</v>
      </c>
      <c r="Y70" s="3">
        <f t="shared" ref="Y70:Y71" si="122">((O70*F70)+Q70+R70+S70+T70+U70)/G70+W70</f>
        <v>30.901326138968109</v>
      </c>
      <c r="Z70" s="47">
        <f>Y70*G70</f>
        <v>788292.82980507647</v>
      </c>
      <c r="AA70" s="48">
        <v>42835</v>
      </c>
    </row>
    <row r="71" spans="1:27" s="22" customFormat="1" x14ac:dyDescent="0.25">
      <c r="A71" s="62"/>
      <c r="B71" s="17" t="s">
        <v>41</v>
      </c>
      <c r="C71" s="19" t="s">
        <v>42</v>
      </c>
      <c r="D71" s="18" t="s">
        <v>45</v>
      </c>
      <c r="E71" s="19">
        <v>200</v>
      </c>
      <c r="F71" s="20">
        <v>25895</v>
      </c>
      <c r="G71" s="21">
        <f>13510+7340</f>
        <v>20850</v>
      </c>
      <c r="H71" s="21">
        <f t="shared" si="120"/>
        <v>-5045</v>
      </c>
      <c r="I71" s="18" t="s">
        <v>157</v>
      </c>
      <c r="J71" s="19"/>
      <c r="K71" s="24"/>
      <c r="L71" s="24">
        <v>42821</v>
      </c>
      <c r="M71" s="18" t="s">
        <v>60</v>
      </c>
      <c r="N71" s="19"/>
      <c r="O71" s="3">
        <v>23.8</v>
      </c>
      <c r="P71" s="31"/>
      <c r="Q71" s="26">
        <v>19800</v>
      </c>
      <c r="R71" s="3">
        <f t="shared" si="121"/>
        <v>13000</v>
      </c>
      <c r="S71" s="27">
        <f t="shared" ref="S71" si="123">-35*E71</f>
        <v>-7000</v>
      </c>
      <c r="T71" s="27">
        <f>X71*F71*0.0045</f>
        <v>3594.1943298561146</v>
      </c>
      <c r="U71" s="3">
        <f>E71*5</f>
        <v>1000</v>
      </c>
      <c r="V71" s="19"/>
      <c r="W71" s="3">
        <v>0.3</v>
      </c>
      <c r="X71" s="3">
        <f>((O71*F71)+Q71+R71+S71+U71)/G71</f>
        <v>30.844172661870502</v>
      </c>
      <c r="Y71" s="3">
        <f t="shared" si="122"/>
        <v>31.31655608296672</v>
      </c>
      <c r="Z71" s="29">
        <f>Y71*G71</f>
        <v>652950.19432985608</v>
      </c>
      <c r="AA71" s="30">
        <v>42835</v>
      </c>
    </row>
    <row r="72" spans="1:27" s="22" customFormat="1" x14ac:dyDescent="0.25">
      <c r="A72" s="62"/>
      <c r="B72" s="17" t="s">
        <v>158</v>
      </c>
      <c r="C72" s="19" t="s">
        <v>159</v>
      </c>
      <c r="D72" s="18" t="s">
        <v>89</v>
      </c>
      <c r="E72" s="19" t="s">
        <v>160</v>
      </c>
      <c r="F72" s="20">
        <v>18506.554</v>
      </c>
      <c r="G72" s="21">
        <v>18506</v>
      </c>
      <c r="H72" s="21">
        <f t="shared" si="120"/>
        <v>-0.55400000000008731</v>
      </c>
      <c r="I72" s="18" t="s">
        <v>161</v>
      </c>
      <c r="J72" s="19"/>
      <c r="K72" s="24"/>
      <c r="L72" s="24">
        <v>42821</v>
      </c>
      <c r="M72" s="18" t="s">
        <v>60</v>
      </c>
      <c r="N72" s="19"/>
      <c r="O72" s="3">
        <v>32.200000000000003</v>
      </c>
      <c r="P72" s="31"/>
      <c r="Q72" s="3"/>
      <c r="R72" s="3"/>
      <c r="S72" s="27"/>
      <c r="T72" s="27"/>
      <c r="U72" s="3"/>
      <c r="V72" s="3"/>
      <c r="W72" s="3"/>
      <c r="X72" s="3">
        <f t="shared" ref="X72:X74" si="124">IF(O72&gt;0,O72,((P72*2.2046*S72)+(Q72+R72)/G72)+V72)</f>
        <v>32.200000000000003</v>
      </c>
      <c r="Y72" s="3">
        <f t="shared" ref="Y72:Y78" si="125">IF(O72&gt;0,O72,((P72*2.2046*S72)+(Q72+R72+T72)/G72)+V72+W72)</f>
        <v>32.200000000000003</v>
      </c>
      <c r="Z72" s="29">
        <f t="shared" ref="Z72:Z74" si="126">Y72*F72</f>
        <v>595911.0388000001</v>
      </c>
      <c r="AA72" s="30">
        <v>42842</v>
      </c>
    </row>
    <row r="73" spans="1:27" s="22" customFormat="1" x14ac:dyDescent="0.25">
      <c r="A73" s="62"/>
      <c r="B73" s="17" t="s">
        <v>162</v>
      </c>
      <c r="C73" s="19" t="s">
        <v>163</v>
      </c>
      <c r="D73" s="18" t="s">
        <v>89</v>
      </c>
      <c r="E73" s="19" t="s">
        <v>164</v>
      </c>
      <c r="F73" s="20">
        <v>5022.3</v>
      </c>
      <c r="G73" s="21">
        <v>5024.3</v>
      </c>
      <c r="H73" s="21">
        <f t="shared" si="120"/>
        <v>2</v>
      </c>
      <c r="I73" s="18" t="s">
        <v>165</v>
      </c>
      <c r="J73" s="19"/>
      <c r="K73" s="24"/>
      <c r="L73" s="24">
        <v>42821</v>
      </c>
      <c r="M73" s="18" t="s">
        <v>60</v>
      </c>
      <c r="N73" s="19"/>
      <c r="O73" s="3">
        <v>96</v>
      </c>
      <c r="P73" s="31"/>
      <c r="Q73" s="3"/>
      <c r="R73" s="3"/>
      <c r="S73" s="27"/>
      <c r="T73" s="27"/>
      <c r="U73" s="3"/>
      <c r="V73" s="3"/>
      <c r="W73" s="3"/>
      <c r="X73" s="3">
        <f t="shared" si="124"/>
        <v>96</v>
      </c>
      <c r="Y73" s="3">
        <f t="shared" si="125"/>
        <v>96</v>
      </c>
      <c r="Z73" s="29">
        <f t="shared" si="126"/>
        <v>482140.80000000005</v>
      </c>
      <c r="AA73" s="30">
        <v>42842</v>
      </c>
    </row>
    <row r="74" spans="1:27" s="22" customFormat="1" x14ac:dyDescent="0.25">
      <c r="A74" s="62"/>
      <c r="B74" s="17" t="s">
        <v>166</v>
      </c>
      <c r="C74" s="19" t="s">
        <v>93</v>
      </c>
      <c r="D74" s="18" t="s">
        <v>94</v>
      </c>
      <c r="E74" s="19">
        <v>300</v>
      </c>
      <c r="F74" s="20">
        <v>3000</v>
      </c>
      <c r="G74" s="21">
        <v>3000</v>
      </c>
      <c r="H74" s="21">
        <f t="shared" si="120"/>
        <v>0</v>
      </c>
      <c r="I74" s="18" t="s">
        <v>167</v>
      </c>
      <c r="J74" s="19"/>
      <c r="K74" s="24"/>
      <c r="L74" s="24">
        <v>42822</v>
      </c>
      <c r="M74" s="18" t="s">
        <v>62</v>
      </c>
      <c r="N74" s="19"/>
      <c r="O74" s="3">
        <v>39</v>
      </c>
      <c r="P74" s="31"/>
      <c r="Q74" s="3"/>
      <c r="R74" s="3"/>
      <c r="S74" s="27"/>
      <c r="T74" s="27"/>
      <c r="U74" s="3"/>
      <c r="V74" s="3"/>
      <c r="W74" s="3"/>
      <c r="X74" s="3">
        <f t="shared" si="124"/>
        <v>39</v>
      </c>
      <c r="Y74" s="3">
        <f t="shared" si="125"/>
        <v>39</v>
      </c>
      <c r="Z74" s="29">
        <f t="shared" si="126"/>
        <v>117000</v>
      </c>
      <c r="AA74" s="30">
        <v>42822</v>
      </c>
    </row>
    <row r="75" spans="1:27" s="22" customFormat="1" x14ac:dyDescent="0.25">
      <c r="A75" s="62"/>
      <c r="B75" s="17" t="s">
        <v>26</v>
      </c>
      <c r="C75" s="18" t="s">
        <v>27</v>
      </c>
      <c r="D75" s="18" t="s">
        <v>27</v>
      </c>
      <c r="E75" s="19" t="s">
        <v>34</v>
      </c>
      <c r="F75" s="20">
        <f>40733*0.4536</f>
        <v>18476.488799999999</v>
      </c>
      <c r="G75" s="21">
        <v>18395.68</v>
      </c>
      <c r="H75" s="21">
        <f t="shared" si="120"/>
        <v>-80.808799999998882</v>
      </c>
      <c r="I75" s="22" t="s">
        <v>168</v>
      </c>
      <c r="J75" s="23" t="s">
        <v>30</v>
      </c>
      <c r="K75" s="24">
        <v>42821</v>
      </c>
      <c r="L75" s="24">
        <v>42822</v>
      </c>
      <c r="M75" s="18" t="s">
        <v>62</v>
      </c>
      <c r="N75" s="18" t="s">
        <v>169</v>
      </c>
      <c r="O75" s="3"/>
      <c r="P75" s="25">
        <f>0.6192+0.1</f>
        <v>0.71919999999999995</v>
      </c>
      <c r="Q75" s="26">
        <v>23000</v>
      </c>
      <c r="R75" s="3">
        <v>9400</v>
      </c>
      <c r="S75" s="27">
        <v>18.739999999999998</v>
      </c>
      <c r="T75" s="27">
        <f>X75*F75*0.005</f>
        <v>2918.7733023852797</v>
      </c>
      <c r="V75" s="3">
        <v>0.12</v>
      </c>
      <c r="W75" s="3">
        <v>0.3</v>
      </c>
      <c r="X75" s="3">
        <f>IF(O75&gt;0,O75,((P75*2.2046*S75)+(Q75+R75)/G75)+V75)</f>
        <v>31.594458600654466</v>
      </c>
      <c r="Y75" s="3">
        <f t="shared" si="125"/>
        <v>32.053124836552527</v>
      </c>
      <c r="Z75" s="29">
        <f>Y75*F75</f>
        <v>592229.20204756455</v>
      </c>
      <c r="AA75" s="30">
        <v>42832</v>
      </c>
    </row>
    <row r="76" spans="1:27" s="22" customFormat="1" x14ac:dyDescent="0.25">
      <c r="A76" s="62"/>
      <c r="B76" s="17" t="s">
        <v>26</v>
      </c>
      <c r="C76" s="18" t="s">
        <v>37</v>
      </c>
      <c r="D76" s="18" t="s">
        <v>37</v>
      </c>
      <c r="E76" s="19" t="s">
        <v>28</v>
      </c>
      <c r="F76" s="20">
        <f>41777*0.4536</f>
        <v>18950.047200000001</v>
      </c>
      <c r="G76" s="21">
        <v>18914.63</v>
      </c>
      <c r="H76" s="21">
        <f>G76-F76</f>
        <v>-35.417199999999866</v>
      </c>
      <c r="I76" s="22" t="s">
        <v>170</v>
      </c>
      <c r="J76" s="23" t="s">
        <v>30</v>
      </c>
      <c r="K76" s="24">
        <v>42821</v>
      </c>
      <c r="L76" s="24">
        <v>42822</v>
      </c>
      <c r="M76" s="18" t="s">
        <v>62</v>
      </c>
      <c r="N76" s="18" t="s">
        <v>171</v>
      </c>
      <c r="O76" s="3"/>
      <c r="P76" s="25">
        <f>0.6247+0.095</f>
        <v>0.71970000000000001</v>
      </c>
      <c r="Q76" s="26">
        <v>23000</v>
      </c>
      <c r="R76" s="3">
        <v>9400</v>
      </c>
      <c r="S76" s="51">
        <v>19.241</v>
      </c>
      <c r="T76" s="27">
        <f>X76*F76*0.005</f>
        <v>3066.2791231952142</v>
      </c>
      <c r="V76" s="3">
        <v>0.12</v>
      </c>
      <c r="W76" s="3">
        <v>0.3</v>
      </c>
      <c r="X76" s="3">
        <f t="shared" ref="X76:X78" si="127">IF(O76&gt;0,O76,((P76*2.2046*S76)+(Q76+R76)/G76)+V76)</f>
        <v>32.361704335968241</v>
      </c>
      <c r="Y76" s="3">
        <f t="shared" si="125"/>
        <v>32.823815840300874</v>
      </c>
      <c r="Z76" s="29">
        <f t="shared" ref="Z76:Z78" si="128">Y76*F76</f>
        <v>622012.85945780925</v>
      </c>
      <c r="AA76" s="30">
        <v>42815</v>
      </c>
    </row>
    <row r="77" spans="1:27" s="22" customFormat="1" x14ac:dyDescent="0.25">
      <c r="A77" s="62"/>
      <c r="B77" s="17" t="s">
        <v>41</v>
      </c>
      <c r="C77" s="19" t="s">
        <v>42</v>
      </c>
      <c r="D77" s="18" t="s">
        <v>43</v>
      </c>
      <c r="E77" s="19">
        <v>200</v>
      </c>
      <c r="F77" s="20">
        <v>23700</v>
      </c>
      <c r="G77" s="21">
        <f>13070+5760</f>
        <v>18830</v>
      </c>
      <c r="H77" s="21">
        <f>G77-F77</f>
        <v>-4870</v>
      </c>
      <c r="I77" s="18" t="s">
        <v>172</v>
      </c>
      <c r="J77" s="19"/>
      <c r="K77" s="24"/>
      <c r="L77" s="24">
        <v>42822</v>
      </c>
      <c r="M77" s="18" t="s">
        <v>62</v>
      </c>
      <c r="N77" s="19"/>
      <c r="O77" s="3">
        <v>23.8</v>
      </c>
      <c r="P77" s="31"/>
      <c r="Q77" s="63">
        <v>19800</v>
      </c>
      <c r="R77" s="3">
        <f>65*E77</f>
        <v>13000</v>
      </c>
      <c r="S77" s="27">
        <f>-35*E77</f>
        <v>-7000</v>
      </c>
      <c r="T77" s="27">
        <f t="shared" ref="T77" si="129">X77*F77*0.005</f>
        <v>3718.3701540095594</v>
      </c>
      <c r="U77" s="3">
        <f>E77*5</f>
        <v>1000</v>
      </c>
      <c r="V77" s="19"/>
      <c r="W77" s="3">
        <v>0.3</v>
      </c>
      <c r="X77" s="3">
        <f>((O77*F77)+Q77+R77+S77+U77)/G77</f>
        <v>31.378651088688262</v>
      </c>
      <c r="Y77" s="3">
        <f>((O77*F77)+Q77+R77+S77+T77+U77)/G77+W77</f>
        <v>31.87612162262398</v>
      </c>
      <c r="Z77" s="29">
        <f>Y77*G77</f>
        <v>600227.37015400955</v>
      </c>
      <c r="AA77" s="30">
        <v>42835</v>
      </c>
    </row>
    <row r="78" spans="1:27" s="22" customFormat="1" x14ac:dyDescent="0.25">
      <c r="A78" s="62"/>
      <c r="B78" s="17" t="s">
        <v>26</v>
      </c>
      <c r="C78" s="18" t="s">
        <v>37</v>
      </c>
      <c r="D78" s="18" t="s">
        <v>37</v>
      </c>
      <c r="E78" s="19" t="s">
        <v>28</v>
      </c>
      <c r="F78" s="20">
        <f>41548*0.4536</f>
        <v>18846.1728</v>
      </c>
      <c r="G78" s="21">
        <v>18800</v>
      </c>
      <c r="H78" s="21">
        <f>G78-F78</f>
        <v>-46.172800000000279</v>
      </c>
      <c r="I78" s="22" t="s">
        <v>173</v>
      </c>
      <c r="J78" s="23" t="s">
        <v>39</v>
      </c>
      <c r="K78" s="24">
        <v>42822</v>
      </c>
      <c r="L78" s="24">
        <v>42823</v>
      </c>
      <c r="M78" s="18" t="s">
        <v>31</v>
      </c>
      <c r="N78" s="18" t="s">
        <v>174</v>
      </c>
      <c r="O78" s="3"/>
      <c r="P78" s="25">
        <f>0.6192+0.095</f>
        <v>0.71419999999999995</v>
      </c>
      <c r="Q78" s="26">
        <v>23000</v>
      </c>
      <c r="R78" s="3">
        <v>9400</v>
      </c>
      <c r="S78" s="51">
        <v>19.241</v>
      </c>
      <c r="T78" s="27">
        <f>X78*F78*0.005</f>
        <v>3028.4712206477807</v>
      </c>
      <c r="V78" s="3">
        <v>0.12</v>
      </c>
      <c r="W78" s="3">
        <v>0.3</v>
      </c>
      <c r="X78" s="3">
        <f t="shared" si="127"/>
        <v>32.138845937439143</v>
      </c>
      <c r="Y78" s="3">
        <f t="shared" si="125"/>
        <v>32.599934832154453</v>
      </c>
      <c r="Z78" s="29">
        <f t="shared" si="128"/>
        <v>614384.00511552184</v>
      </c>
      <c r="AA78" s="30">
        <v>42815</v>
      </c>
    </row>
    <row r="79" spans="1:27" s="22" customFormat="1" x14ac:dyDescent="0.25">
      <c r="A79" s="62"/>
      <c r="B79" s="17" t="s">
        <v>41</v>
      </c>
      <c r="C79" s="19" t="s">
        <v>42</v>
      </c>
      <c r="D79" s="18" t="s">
        <v>43</v>
      </c>
      <c r="E79" s="19">
        <v>200</v>
      </c>
      <c r="F79" s="20">
        <v>23130</v>
      </c>
      <c r="G79" s="21">
        <f>13840+4460</f>
        <v>18300</v>
      </c>
      <c r="H79" s="21">
        <f t="shared" ref="H79:H87" si="130">G79-F79</f>
        <v>-4830</v>
      </c>
      <c r="I79" s="22" t="s">
        <v>175</v>
      </c>
      <c r="J79" s="59">
        <v>199</v>
      </c>
      <c r="K79" s="24"/>
      <c r="L79" s="24">
        <v>42823</v>
      </c>
      <c r="M79" s="18" t="s">
        <v>31</v>
      </c>
      <c r="N79" s="19"/>
      <c r="O79" s="3">
        <v>23.8</v>
      </c>
      <c r="P79" s="31"/>
      <c r="Q79" s="26">
        <v>19800</v>
      </c>
      <c r="R79" s="3">
        <f>65*E79</f>
        <v>13000</v>
      </c>
      <c r="S79" s="27">
        <f t="shared" ref="S79" si="131">-35*E79</f>
        <v>-7000</v>
      </c>
      <c r="T79" s="27">
        <f>X79*F79*0.0045</f>
        <v>3283.4779229508194</v>
      </c>
      <c r="U79" s="3">
        <f>E79*5</f>
        <v>1000</v>
      </c>
      <c r="V79" s="19"/>
      <c r="W79" s="3">
        <v>0.2</v>
      </c>
      <c r="X79" s="3">
        <f>((O79*F79)+Q79+R79+S79+U79)/G79</f>
        <v>31.546120218579237</v>
      </c>
      <c r="Y79" s="3">
        <f t="shared" ref="Y79" si="132">((O79*F79)+Q79+R79+S79+T79+U79)/G79+W79</f>
        <v>31.925545241691303</v>
      </c>
      <c r="Z79" s="29">
        <f>Y79*G79</f>
        <v>584237.47792295087</v>
      </c>
      <c r="AA79" s="30">
        <v>42836</v>
      </c>
    </row>
    <row r="80" spans="1:27" s="22" customFormat="1" x14ac:dyDescent="0.25">
      <c r="A80" s="62"/>
      <c r="B80" s="17" t="s">
        <v>147</v>
      </c>
      <c r="C80" s="18" t="s">
        <v>33</v>
      </c>
      <c r="D80" s="18" t="s">
        <v>77</v>
      </c>
      <c r="E80" s="19" t="s">
        <v>78</v>
      </c>
      <c r="F80" s="20">
        <v>3681.8</v>
      </c>
      <c r="G80" s="21">
        <v>3681.8</v>
      </c>
      <c r="H80" s="21">
        <f t="shared" si="130"/>
        <v>0</v>
      </c>
      <c r="I80" s="22" t="s">
        <v>176</v>
      </c>
      <c r="J80" s="19"/>
      <c r="K80" s="24"/>
      <c r="L80" s="24">
        <v>42823</v>
      </c>
      <c r="M80" s="18" t="s">
        <v>31</v>
      </c>
      <c r="N80" s="19"/>
      <c r="O80" s="3">
        <v>21</v>
      </c>
      <c r="P80" s="31"/>
      <c r="Q80" s="3"/>
      <c r="R80" s="3"/>
      <c r="S80" s="27"/>
      <c r="T80" s="27"/>
      <c r="U80" s="3"/>
      <c r="V80" s="19"/>
      <c r="W80" s="3"/>
      <c r="X80" s="3">
        <f t="shared" ref="X80:X85" si="133">IF(O80&gt;0,O80,((P80*2.2046*S80)+(Q80+R80)/G80)+V80)</f>
        <v>21</v>
      </c>
      <c r="Y80" s="3">
        <f t="shared" ref="Y80:Y85" si="134">IF(O80&gt;0,O80,((P80*2.2046*S80)+(Q80+R80+T80)/G80)+V80+W80)</f>
        <v>21</v>
      </c>
      <c r="Z80" s="29">
        <f t="shared" ref="Z80:Z85" si="135">Y80*F80</f>
        <v>77317.8</v>
      </c>
      <c r="AA80" s="30">
        <v>42830</v>
      </c>
    </row>
    <row r="81" spans="1:27" s="22" customFormat="1" x14ac:dyDescent="0.25">
      <c r="A81" s="62"/>
      <c r="B81" s="17" t="s">
        <v>177</v>
      </c>
      <c r="C81" s="18" t="s">
        <v>178</v>
      </c>
      <c r="D81" s="18" t="s">
        <v>179</v>
      </c>
      <c r="E81" s="19" t="s">
        <v>180</v>
      </c>
      <c r="F81" s="20">
        <v>2298</v>
      </c>
      <c r="G81" s="21"/>
      <c r="H81" s="21">
        <f t="shared" si="130"/>
        <v>-2298</v>
      </c>
      <c r="I81" s="22" t="s">
        <v>181</v>
      </c>
      <c r="J81" s="19"/>
      <c r="K81" s="24"/>
      <c r="L81" s="24">
        <v>42824</v>
      </c>
      <c r="M81" s="18" t="s">
        <v>47</v>
      </c>
      <c r="N81" s="19"/>
      <c r="O81" s="3">
        <v>70</v>
      </c>
      <c r="P81" s="31"/>
      <c r="Q81" s="3"/>
      <c r="R81" s="3"/>
      <c r="S81" s="27"/>
      <c r="T81" s="27"/>
      <c r="U81" s="3"/>
      <c r="V81" s="3"/>
      <c r="W81" s="3"/>
      <c r="X81" s="3">
        <f t="shared" si="133"/>
        <v>70</v>
      </c>
      <c r="Y81" s="3">
        <f t="shared" si="134"/>
        <v>70</v>
      </c>
      <c r="Z81" s="29">
        <f t="shared" si="135"/>
        <v>160860</v>
      </c>
      <c r="AA81" s="30">
        <v>42823</v>
      </c>
    </row>
    <row r="82" spans="1:27" s="22" customFormat="1" x14ac:dyDescent="0.25">
      <c r="A82" s="62"/>
      <c r="B82" s="17" t="s">
        <v>182</v>
      </c>
      <c r="C82" s="19" t="s">
        <v>178</v>
      </c>
      <c r="D82" s="18" t="s">
        <v>179</v>
      </c>
      <c r="E82" s="19" t="s">
        <v>183</v>
      </c>
      <c r="F82" s="20">
        <v>346.4</v>
      </c>
      <c r="G82" s="21"/>
      <c r="H82" s="21">
        <f t="shared" si="130"/>
        <v>-346.4</v>
      </c>
      <c r="I82" s="22" t="s">
        <v>181</v>
      </c>
      <c r="J82" s="19"/>
      <c r="K82" s="24"/>
      <c r="L82" s="24">
        <v>42824</v>
      </c>
      <c r="M82" s="18" t="s">
        <v>47</v>
      </c>
      <c r="N82" s="19"/>
      <c r="O82" s="3">
        <v>64</v>
      </c>
      <c r="P82" s="31"/>
      <c r="Q82" s="3"/>
      <c r="R82" s="3"/>
      <c r="S82" s="27"/>
      <c r="T82" s="27"/>
      <c r="U82" s="3"/>
      <c r="V82" s="3"/>
      <c r="W82" s="3"/>
      <c r="X82" s="3">
        <f t="shared" si="133"/>
        <v>64</v>
      </c>
      <c r="Y82" s="3">
        <f t="shared" si="134"/>
        <v>64</v>
      </c>
      <c r="Z82" s="29">
        <f t="shared" si="135"/>
        <v>22169.599999999999</v>
      </c>
      <c r="AA82" s="30">
        <v>42823</v>
      </c>
    </row>
    <row r="83" spans="1:27" s="22" customFormat="1" x14ac:dyDescent="0.25">
      <c r="A83" s="62"/>
      <c r="B83" s="17" t="s">
        <v>184</v>
      </c>
      <c r="C83" s="18" t="s">
        <v>178</v>
      </c>
      <c r="D83" s="18" t="s">
        <v>179</v>
      </c>
      <c r="E83" s="19"/>
      <c r="F83" s="20">
        <v>105</v>
      </c>
      <c r="G83" s="21"/>
      <c r="H83" s="21">
        <f t="shared" si="130"/>
        <v>-105</v>
      </c>
      <c r="I83" s="22" t="s">
        <v>181</v>
      </c>
      <c r="J83" s="19"/>
      <c r="K83" s="24"/>
      <c r="L83" s="24">
        <v>42824</v>
      </c>
      <c r="M83" s="18" t="s">
        <v>47</v>
      </c>
      <c r="N83" s="19"/>
      <c r="O83" s="3">
        <v>139</v>
      </c>
      <c r="P83" s="31"/>
      <c r="Q83" s="3"/>
      <c r="R83" s="3"/>
      <c r="S83" s="27"/>
      <c r="T83" s="27"/>
      <c r="U83" s="3"/>
      <c r="V83" s="3"/>
      <c r="W83" s="3"/>
      <c r="X83" s="3">
        <f t="shared" si="133"/>
        <v>139</v>
      </c>
      <c r="Y83" s="3">
        <f t="shared" si="134"/>
        <v>139</v>
      </c>
      <c r="Z83" s="29">
        <f t="shared" si="135"/>
        <v>14595</v>
      </c>
      <c r="AA83" s="30">
        <v>42823</v>
      </c>
    </row>
    <row r="84" spans="1:27" s="22" customFormat="1" x14ac:dyDescent="0.25">
      <c r="A84" s="62"/>
      <c r="B84" s="17" t="s">
        <v>185</v>
      </c>
      <c r="C84" s="19" t="s">
        <v>178</v>
      </c>
      <c r="D84" s="18" t="s">
        <v>179</v>
      </c>
      <c r="E84" s="19"/>
      <c r="F84" s="20">
        <v>2007</v>
      </c>
      <c r="G84" s="21"/>
      <c r="H84" s="21">
        <f t="shared" si="130"/>
        <v>-2007</v>
      </c>
      <c r="I84" s="22" t="s">
        <v>181</v>
      </c>
      <c r="J84" s="19"/>
      <c r="K84" s="24"/>
      <c r="L84" s="24">
        <v>42824</v>
      </c>
      <c r="M84" s="18" t="s">
        <v>47</v>
      </c>
      <c r="N84" s="19"/>
      <c r="O84" s="3">
        <v>23</v>
      </c>
      <c r="P84" s="31"/>
      <c r="Q84" s="3"/>
      <c r="R84" s="3"/>
      <c r="S84" s="27"/>
      <c r="T84" s="27"/>
      <c r="U84" s="3"/>
      <c r="V84" s="3"/>
      <c r="W84" s="3"/>
      <c r="X84" s="3">
        <f t="shared" si="133"/>
        <v>23</v>
      </c>
      <c r="Y84" s="3">
        <f t="shared" si="134"/>
        <v>23</v>
      </c>
      <c r="Z84" s="29">
        <f t="shared" si="135"/>
        <v>46161</v>
      </c>
      <c r="AA84" s="30">
        <v>42823</v>
      </c>
    </row>
    <row r="85" spans="1:27" s="22" customFormat="1" x14ac:dyDescent="0.25">
      <c r="A85" s="62"/>
      <c r="B85" s="17" t="s">
        <v>26</v>
      </c>
      <c r="C85" s="18" t="s">
        <v>33</v>
      </c>
      <c r="D85" s="18" t="s">
        <v>33</v>
      </c>
      <c r="E85" s="19" t="s">
        <v>34</v>
      </c>
      <c r="F85" s="20">
        <f>43002*0.4536</f>
        <v>19505.707200000001</v>
      </c>
      <c r="G85" s="21">
        <v>19476.52</v>
      </c>
      <c r="H85" s="21">
        <f t="shared" si="130"/>
        <v>-29.187200000000303</v>
      </c>
      <c r="I85" s="22" t="s">
        <v>186</v>
      </c>
      <c r="J85" s="23" t="s">
        <v>30</v>
      </c>
      <c r="K85" s="24">
        <v>42823</v>
      </c>
      <c r="L85" s="24">
        <v>42824</v>
      </c>
      <c r="M85" s="18" t="s">
        <v>47</v>
      </c>
      <c r="N85" s="18" t="s">
        <v>187</v>
      </c>
      <c r="O85" s="3"/>
      <c r="P85" s="25">
        <f>0.6144+0.105</f>
        <v>0.71939999999999993</v>
      </c>
      <c r="Q85" s="26">
        <v>23000</v>
      </c>
      <c r="R85" s="3">
        <v>9400</v>
      </c>
      <c r="S85" s="27">
        <v>19.149999999999999</v>
      </c>
      <c r="T85" s="27">
        <f>X85*F85*0.005</f>
        <v>3136.0530413110646</v>
      </c>
      <c r="V85" s="3">
        <v>0.12</v>
      </c>
      <c r="W85" s="3">
        <v>0.3</v>
      </c>
      <c r="X85" s="3">
        <f t="shared" si="133"/>
        <v>32.155235482167647</v>
      </c>
      <c r="Y85" s="3">
        <f t="shared" si="134"/>
        <v>32.616252596175229</v>
      </c>
      <c r="Z85" s="29">
        <f t="shared" si="135"/>
        <v>636203.07310223393</v>
      </c>
      <c r="AA85" s="30">
        <v>42817</v>
      </c>
    </row>
    <row r="86" spans="1:27" s="22" customFormat="1" x14ac:dyDescent="0.25">
      <c r="A86" s="62"/>
      <c r="B86" s="17" t="s">
        <v>41</v>
      </c>
      <c r="C86" s="19" t="s">
        <v>42</v>
      </c>
      <c r="D86" s="18" t="s">
        <v>43</v>
      </c>
      <c r="E86" s="19">
        <f>229</f>
        <v>229</v>
      </c>
      <c r="F86" s="20">
        <f>25295-110</f>
        <v>25185</v>
      </c>
      <c r="G86" s="21">
        <f>18400</f>
        <v>18400</v>
      </c>
      <c r="H86" s="21">
        <f t="shared" si="130"/>
        <v>-6785</v>
      </c>
      <c r="I86" s="22" t="s">
        <v>188</v>
      </c>
      <c r="J86" s="59">
        <v>200</v>
      </c>
      <c r="K86" s="24"/>
      <c r="L86" s="24">
        <v>42824</v>
      </c>
      <c r="M86" s="18" t="s">
        <v>47</v>
      </c>
      <c r="N86" s="19"/>
      <c r="O86" s="3">
        <v>23.8</v>
      </c>
      <c r="P86" s="31"/>
      <c r="Q86" s="63">
        <f>19800</f>
        <v>19800</v>
      </c>
      <c r="R86" s="3">
        <f t="shared" ref="R86:R87" si="136">65*E86</f>
        <v>14885</v>
      </c>
      <c r="S86" s="27">
        <f t="shared" ref="S86:S87" si="137">-35*E86</f>
        <v>-8015</v>
      </c>
      <c r="T86" s="27">
        <f t="shared" ref="T86:T87" si="138">X86*F86*0.0045</f>
        <v>3863.2708687499999</v>
      </c>
      <c r="U86" s="3">
        <f t="shared" ref="U86:U87" si="139">E86*5</f>
        <v>1145</v>
      </c>
      <c r="V86" s="19"/>
      <c r="W86" s="64"/>
      <c r="X86" s="3">
        <f t="shared" ref="X86:X87" si="140">((O86*F86)+Q86+R86+S86+U86)/G86</f>
        <v>34.087934782608698</v>
      </c>
      <c r="Y86" s="3">
        <f t="shared" ref="Y86:Y87" si="141">((O86*F86)+Q86+R86+S86+T86+U86)/G86+W86</f>
        <v>34.297895155910332</v>
      </c>
      <c r="Z86" s="29">
        <f t="shared" ref="Z86:Z87" si="142">Y86*G86</f>
        <v>631081.27086875006</v>
      </c>
      <c r="AA86" s="30">
        <v>42837</v>
      </c>
    </row>
    <row r="87" spans="1:27" s="22" customFormat="1" x14ac:dyDescent="0.25">
      <c r="A87" s="62"/>
      <c r="B87" s="17" t="s">
        <v>41</v>
      </c>
      <c r="C87" s="19" t="s">
        <v>42</v>
      </c>
      <c r="D87" s="18" t="s">
        <v>53</v>
      </c>
      <c r="E87" s="19">
        <v>100</v>
      </c>
      <c r="F87" s="20">
        <v>11965</v>
      </c>
      <c r="G87" s="21">
        <v>10780</v>
      </c>
      <c r="H87" s="21">
        <f t="shared" si="130"/>
        <v>-1185</v>
      </c>
      <c r="I87" s="22" t="s">
        <v>189</v>
      </c>
      <c r="J87" s="59">
        <v>128</v>
      </c>
      <c r="K87" s="24"/>
      <c r="L87" s="24">
        <v>42824</v>
      </c>
      <c r="M87" s="18" t="s">
        <v>47</v>
      </c>
      <c r="N87" s="19"/>
      <c r="O87" s="3">
        <v>23.8</v>
      </c>
      <c r="P87" s="31"/>
      <c r="Q87" s="26">
        <v>15700</v>
      </c>
      <c r="R87" s="3">
        <f t="shared" si="136"/>
        <v>6500</v>
      </c>
      <c r="S87" s="27">
        <f t="shared" si="137"/>
        <v>-3500</v>
      </c>
      <c r="T87" s="27">
        <f t="shared" si="138"/>
        <v>1518.2136546846009</v>
      </c>
      <c r="U87" s="3">
        <f t="shared" si="139"/>
        <v>500</v>
      </c>
      <c r="V87" s="19"/>
      <c r="W87" s="3">
        <v>0.3</v>
      </c>
      <c r="X87" s="3">
        <f t="shared" si="140"/>
        <v>28.197309833024118</v>
      </c>
      <c r="Y87" s="3">
        <f t="shared" si="141"/>
        <v>28.638145979098759</v>
      </c>
      <c r="Z87" s="29">
        <f t="shared" si="142"/>
        <v>308719.2136546846</v>
      </c>
      <c r="AA87" s="30">
        <v>42837</v>
      </c>
    </row>
    <row r="88" spans="1:27" s="22" customFormat="1" x14ac:dyDescent="0.25">
      <c r="A88" s="62"/>
      <c r="B88" s="17" t="s">
        <v>26</v>
      </c>
      <c r="C88" s="18" t="s">
        <v>27</v>
      </c>
      <c r="D88" s="18" t="s">
        <v>27</v>
      </c>
      <c r="E88" s="19" t="s">
        <v>34</v>
      </c>
      <c r="F88" s="20">
        <f>40951*0.4536</f>
        <v>18575.373599999999</v>
      </c>
      <c r="G88" s="21">
        <v>18467.52</v>
      </c>
      <c r="H88" s="21">
        <f>G88-F88</f>
        <v>-107.85359999999855</v>
      </c>
      <c r="I88" s="22" t="s">
        <v>190</v>
      </c>
      <c r="J88" s="23" t="s">
        <v>30</v>
      </c>
      <c r="K88" s="24">
        <v>42824</v>
      </c>
      <c r="L88" s="24">
        <v>42825</v>
      </c>
      <c r="M88" s="18" t="s">
        <v>49</v>
      </c>
      <c r="N88" s="18" t="s">
        <v>191</v>
      </c>
      <c r="O88" s="3"/>
      <c r="P88" s="25">
        <f>0.6144+0.1</f>
        <v>0.71439999999999992</v>
      </c>
      <c r="Q88" s="26">
        <v>23000</v>
      </c>
      <c r="R88" s="3">
        <v>9400</v>
      </c>
      <c r="S88" s="51">
        <v>18.742000000000001</v>
      </c>
      <c r="T88" s="27">
        <f>X88*F88*0.005</f>
        <v>2915.6323265756887</v>
      </c>
      <c r="V88" s="3">
        <v>0.12</v>
      </c>
      <c r="W88" s="3">
        <v>0.3</v>
      </c>
      <c r="X88" s="3">
        <f t="shared" ref="X88" si="143">IF(O88&gt;0,O88,((P88*2.2046*S88)+(Q88+R88)/G88)+V88)</f>
        <v>31.392448834253209</v>
      </c>
      <c r="Y88" s="3">
        <f t="shared" ref="Y88" si="144">IF(O88&gt;0,O88,((P88*2.2046*S88)+(Q88+R88+T88)/G88)+V88+W88)</f>
        <v>31.850327765835562</v>
      </c>
      <c r="Z88" s="29">
        <f t="shared" ref="Z88" si="145">Y88*F88</f>
        <v>591631.73753284884</v>
      </c>
      <c r="AA88" s="30">
        <v>42836</v>
      </c>
    </row>
    <row r="89" spans="1:27" s="22" customFormat="1" x14ac:dyDescent="0.25">
      <c r="A89" s="62"/>
      <c r="B89" s="17" t="s">
        <v>41</v>
      </c>
      <c r="C89" s="19" t="s">
        <v>42</v>
      </c>
      <c r="D89" s="18" t="s">
        <v>53</v>
      </c>
      <c r="E89" s="19">
        <f>247</f>
        <v>247</v>
      </c>
      <c r="F89" s="20">
        <f>28690</f>
        <v>28690</v>
      </c>
      <c r="G89" s="21">
        <f>23290</f>
        <v>23290</v>
      </c>
      <c r="H89" s="21">
        <f t="shared" ref="H89:H90" si="146">G89-F89</f>
        <v>-5400</v>
      </c>
      <c r="I89" s="22" t="s">
        <v>192</v>
      </c>
      <c r="J89" s="65">
        <v>250</v>
      </c>
      <c r="K89" s="24"/>
      <c r="L89" s="24">
        <v>42825</v>
      </c>
      <c r="M89" s="18" t="s">
        <v>49</v>
      </c>
      <c r="N89" s="19"/>
      <c r="O89" s="3">
        <v>23.8</v>
      </c>
      <c r="P89" s="31"/>
      <c r="Q89" s="26">
        <f>19800</f>
        <v>19800</v>
      </c>
      <c r="R89" s="3">
        <f t="shared" ref="R89:R90" si="147">65*E89</f>
        <v>16055</v>
      </c>
      <c r="S89" s="27">
        <f>-35*E89</f>
        <v>-8645</v>
      </c>
      <c r="T89" s="27">
        <f>X89*F89*0.0045</f>
        <v>3942.8134836839845</v>
      </c>
      <c r="U89" s="3">
        <f>E89*5</f>
        <v>1235</v>
      </c>
      <c r="V89" s="19"/>
      <c r="W89" s="3">
        <v>0.3</v>
      </c>
      <c r="X89" s="3">
        <f>((O89*F89)+Q89+R89+S89+U89)/G89</f>
        <v>30.53958780592529</v>
      </c>
      <c r="Y89" s="3">
        <f t="shared" ref="Y89:Y90" si="148">((O89*F89)+Q89+R89+S89+T89+U89)/G89+W89</f>
        <v>31.00887992630674</v>
      </c>
      <c r="Z89" s="29">
        <f t="shared" ref="Z89:Z90" si="149">Y89*G89</f>
        <v>722196.81348368397</v>
      </c>
      <c r="AA89" s="30">
        <v>42838</v>
      </c>
    </row>
    <row r="90" spans="1:27" s="22" customFormat="1" x14ac:dyDescent="0.25">
      <c r="A90" s="62"/>
      <c r="B90" s="17" t="s">
        <v>41</v>
      </c>
      <c r="C90" s="19" t="s">
        <v>42</v>
      </c>
      <c r="D90" s="18" t="s">
        <v>119</v>
      </c>
      <c r="E90" s="19">
        <v>129</v>
      </c>
      <c r="F90" s="20">
        <v>14980</v>
      </c>
      <c r="G90" s="21">
        <v>11630</v>
      </c>
      <c r="H90" s="21">
        <f t="shared" si="146"/>
        <v>-3350</v>
      </c>
      <c r="I90" s="18" t="s">
        <v>193</v>
      </c>
      <c r="J90" s="65">
        <v>126</v>
      </c>
      <c r="K90" s="24"/>
      <c r="L90" s="24">
        <v>42825</v>
      </c>
      <c r="M90" s="18" t="s">
        <v>49</v>
      </c>
      <c r="N90" s="19"/>
      <c r="O90" s="3">
        <v>23.8</v>
      </c>
      <c r="P90" s="31"/>
      <c r="Q90" s="26">
        <v>15700</v>
      </c>
      <c r="R90" s="3">
        <f t="shared" si="147"/>
        <v>8385</v>
      </c>
      <c r="S90" s="27">
        <f>-35*E90</f>
        <v>-4515</v>
      </c>
      <c r="T90" s="27">
        <f>X90*F90*0.0045</f>
        <v>2183.6608761822872</v>
      </c>
      <c r="U90" s="3">
        <f>E90*5</f>
        <v>645</v>
      </c>
      <c r="V90" s="19"/>
      <c r="W90" s="3">
        <v>0.3</v>
      </c>
      <c r="X90" s="3">
        <f>((O90*F90)+Q90+R90+S90+U90)/G90</f>
        <v>32.39372312983663</v>
      </c>
      <c r="Y90" s="3">
        <f t="shared" si="148"/>
        <v>32.881484168201403</v>
      </c>
      <c r="Z90" s="29">
        <f t="shared" si="149"/>
        <v>382411.66087618232</v>
      </c>
      <c r="AA90" s="30">
        <v>42838</v>
      </c>
    </row>
    <row r="91" spans="1:27" s="22" customFormat="1" ht="15.75" thickBot="1" x14ac:dyDescent="0.3">
      <c r="A91" s="62"/>
      <c r="B91" s="34"/>
      <c r="C91" s="6"/>
      <c r="D91" s="6"/>
      <c r="E91" s="6"/>
      <c r="F91" s="35"/>
      <c r="G91" s="35"/>
      <c r="H91" s="35"/>
      <c r="I91" s="9"/>
      <c r="J91" s="6"/>
      <c r="K91" s="10"/>
      <c r="L91" s="10"/>
      <c r="M91" s="6"/>
      <c r="N91" s="6"/>
      <c r="O91" s="11"/>
      <c r="P91" s="12"/>
      <c r="Q91" s="11"/>
      <c r="R91" s="11"/>
      <c r="S91" s="11"/>
      <c r="T91" s="11"/>
      <c r="U91" s="11"/>
      <c r="V91" s="11"/>
      <c r="W91" s="11"/>
      <c r="X91" s="11"/>
      <c r="Y91" s="11"/>
      <c r="Z91" s="15"/>
      <c r="AA91" s="3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4"/>
  <sheetViews>
    <sheetView tabSelected="1" zoomScale="80" zoomScaleNormal="80" workbookViewId="0">
      <selection activeCell="AG13" sqref="AG13"/>
    </sheetView>
  </sheetViews>
  <sheetFormatPr baseColWidth="10" defaultRowHeight="15" x14ac:dyDescent="0.25"/>
  <cols>
    <col min="1" max="1" width="3.5703125" customWidth="1"/>
    <col min="2" max="2" width="22.5703125" customWidth="1"/>
    <col min="4" max="4" width="21.42578125" customWidth="1"/>
    <col min="5" max="5" width="12" customWidth="1"/>
    <col min="8" max="8" width="10.42578125" customWidth="1"/>
    <col min="10" max="11" width="0" hidden="1" customWidth="1"/>
    <col min="13" max="13" width="4.42578125" customWidth="1"/>
    <col min="14" max="14" width="7.5703125" hidden="1" customWidth="1"/>
    <col min="15" max="21" width="0" hidden="1" customWidth="1"/>
    <col min="22" max="22" width="6.5703125" hidden="1" customWidth="1"/>
    <col min="23" max="23" width="7.42578125" hidden="1" customWidth="1"/>
    <col min="24" max="24" width="0" hidden="1" customWidth="1"/>
    <col min="26" max="26" width="16.140625" customWidth="1"/>
  </cols>
  <sheetData>
    <row r="1" spans="1:27" x14ac:dyDescent="0.25">
      <c r="A1" s="1" t="s">
        <v>194</v>
      </c>
      <c r="S1" s="2"/>
      <c r="W1" s="3"/>
      <c r="Z1" s="4"/>
    </row>
    <row r="2" spans="1:27" ht="45.75" thickBot="1" x14ac:dyDescent="0.3">
      <c r="A2" s="5"/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7" t="s">
        <v>6</v>
      </c>
      <c r="H2" s="8" t="s">
        <v>7</v>
      </c>
      <c r="I2" s="9" t="s">
        <v>8</v>
      </c>
      <c r="J2" s="6" t="s">
        <v>9</v>
      </c>
      <c r="K2" s="10" t="s">
        <v>10</v>
      </c>
      <c r="L2" s="10" t="s">
        <v>11</v>
      </c>
      <c r="M2" s="6" t="s">
        <v>12</v>
      </c>
      <c r="N2" s="6" t="s">
        <v>13</v>
      </c>
      <c r="O2" s="11" t="s">
        <v>14</v>
      </c>
      <c r="P2" s="12" t="s">
        <v>15</v>
      </c>
      <c r="Q2" s="11" t="s">
        <v>16</v>
      </c>
      <c r="R2" s="13" t="s">
        <v>17</v>
      </c>
      <c r="S2" s="13" t="s">
        <v>18</v>
      </c>
      <c r="T2" s="14" t="s">
        <v>19</v>
      </c>
      <c r="U2" s="11" t="s">
        <v>20</v>
      </c>
      <c r="V2" s="11" t="s">
        <v>21</v>
      </c>
      <c r="W2" s="14" t="s">
        <v>22</v>
      </c>
      <c r="X2" s="11" t="s">
        <v>23</v>
      </c>
      <c r="Y2" s="11" t="s">
        <v>24</v>
      </c>
      <c r="Z2" s="15" t="s">
        <v>25</v>
      </c>
      <c r="AA2" s="11"/>
    </row>
    <row r="3" spans="1:27" s="22" customFormat="1" x14ac:dyDescent="0.25">
      <c r="A3" s="16"/>
      <c r="B3" s="17" t="s">
        <v>26</v>
      </c>
      <c r="C3" s="18" t="s">
        <v>33</v>
      </c>
      <c r="D3" s="18" t="s">
        <v>33</v>
      </c>
      <c r="E3" s="19" t="s">
        <v>34</v>
      </c>
      <c r="F3" s="20">
        <f>42942*0.4536</f>
        <v>19478.4912</v>
      </c>
      <c r="G3" s="21">
        <v>19471.97</v>
      </c>
      <c r="H3" s="21">
        <f t="shared" ref="H3:H4" si="0">G3-F3</f>
        <v>-6.5211999999992258</v>
      </c>
      <c r="I3" s="22" t="s">
        <v>195</v>
      </c>
      <c r="J3" s="23" t="s">
        <v>30</v>
      </c>
      <c r="K3" s="24">
        <v>42825</v>
      </c>
      <c r="L3" s="24">
        <v>42826</v>
      </c>
      <c r="M3" s="18" t="s">
        <v>98</v>
      </c>
      <c r="N3" s="18" t="s">
        <v>196</v>
      </c>
      <c r="O3" s="3"/>
      <c r="P3" s="25">
        <f>0.5736+0.105</f>
        <v>0.67859999999999998</v>
      </c>
      <c r="Q3" s="26">
        <v>23000</v>
      </c>
      <c r="R3" s="3">
        <v>9400</v>
      </c>
      <c r="S3" s="27">
        <v>18.8</v>
      </c>
      <c r="T3" s="28">
        <f t="shared" ref="T3:T4" si="1">X3*F3*0.005</f>
        <v>2912.9607907915442</v>
      </c>
      <c r="V3" s="3">
        <v>0.12</v>
      </c>
      <c r="W3" s="3">
        <v>0.3</v>
      </c>
      <c r="X3" s="3">
        <f t="shared" ref="X3:X4" si="2">IF(O3&gt;0,O3,((P3*2.2046*S3)+(Q3+R3)/G3)+V3)</f>
        <v>29.909511582617281</v>
      </c>
      <c r="Y3" s="3">
        <f t="shared" ref="Y3:Y4" si="3">IF(O3&gt;0,O3,((P3*2.2046*S3)+(Q3+R3+T3)/G3)+V3+W3)</f>
        <v>30.359109224293576</v>
      </c>
      <c r="Z3" s="29">
        <f t="shared" ref="Z3:Z4" si="4">Y3*F3</f>
        <v>591349.64186524122</v>
      </c>
      <c r="AA3" s="30">
        <v>42821</v>
      </c>
    </row>
    <row r="4" spans="1:27" s="22" customFormat="1" x14ac:dyDescent="0.25">
      <c r="A4" s="16"/>
      <c r="B4" s="17" t="s">
        <v>26</v>
      </c>
      <c r="C4" s="18" t="s">
        <v>33</v>
      </c>
      <c r="D4" s="18" t="s">
        <v>33</v>
      </c>
      <c r="E4" s="19" t="s">
        <v>34</v>
      </c>
      <c r="F4" s="20">
        <f>42758*0.4536</f>
        <v>19395.0288</v>
      </c>
      <c r="G4" s="21">
        <v>19397.47</v>
      </c>
      <c r="H4" s="21">
        <f t="shared" si="0"/>
        <v>2.4412000000011176</v>
      </c>
      <c r="I4" s="22" t="s">
        <v>197</v>
      </c>
      <c r="J4" s="23" t="s">
        <v>30</v>
      </c>
      <c r="K4" s="24">
        <v>42825</v>
      </c>
      <c r="L4" s="24">
        <v>42826</v>
      </c>
      <c r="M4" s="18" t="s">
        <v>98</v>
      </c>
      <c r="N4" s="18" t="s">
        <v>196</v>
      </c>
      <c r="O4" s="3"/>
      <c r="P4" s="25">
        <f>0.5736+0.105</f>
        <v>0.67859999999999998</v>
      </c>
      <c r="Q4" s="26">
        <v>23000</v>
      </c>
      <c r="R4" s="3">
        <v>9400</v>
      </c>
      <c r="S4" s="27">
        <v>18.82</v>
      </c>
      <c r="T4" s="28">
        <f t="shared" si="1"/>
        <v>2904.0005056235418</v>
      </c>
      <c r="V4" s="3">
        <v>0.12</v>
      </c>
      <c r="W4" s="3">
        <v>0.3</v>
      </c>
      <c r="X4" s="3">
        <f t="shared" si="2"/>
        <v>29.945823082495668</v>
      </c>
      <c r="Y4" s="3">
        <f t="shared" si="3"/>
        <v>30.395533354279749</v>
      </c>
      <c r="Z4" s="29">
        <f t="shared" si="4"/>
        <v>589522.24479761638</v>
      </c>
      <c r="AA4" s="30">
        <v>42821</v>
      </c>
    </row>
    <row r="5" spans="1:27" ht="15.75" thickBot="1" x14ac:dyDescent="0.3">
      <c r="A5" s="66"/>
      <c r="B5" s="19"/>
      <c r="C5" s="19"/>
      <c r="D5" s="19"/>
      <c r="E5" s="19"/>
      <c r="F5" s="67"/>
      <c r="G5" s="67"/>
      <c r="H5" s="68"/>
      <c r="I5" s="69"/>
      <c r="J5" s="19"/>
      <c r="K5" s="24"/>
      <c r="L5" s="24"/>
      <c r="M5" s="19"/>
      <c r="N5" s="19"/>
      <c r="O5" s="3"/>
      <c r="P5" s="31"/>
      <c r="Q5" s="31"/>
      <c r="R5" s="12"/>
      <c r="S5" s="31"/>
      <c r="T5" s="3"/>
      <c r="U5" s="3"/>
      <c r="V5" s="3"/>
      <c r="W5" s="3"/>
      <c r="X5" s="3"/>
      <c r="Y5" s="11"/>
      <c r="Z5" s="29"/>
      <c r="AA5" s="70"/>
    </row>
    <row r="6" spans="1:27" s="22" customFormat="1" x14ac:dyDescent="0.25">
      <c r="A6" s="60"/>
      <c r="B6" s="38" t="s">
        <v>41</v>
      </c>
      <c r="C6" s="38" t="s">
        <v>42</v>
      </c>
      <c r="D6" s="39" t="s">
        <v>198</v>
      </c>
      <c r="E6" s="38">
        <f>230</f>
        <v>230</v>
      </c>
      <c r="F6" s="40">
        <f>28110</f>
        <v>28110</v>
      </c>
      <c r="G6" s="41">
        <f>19930</f>
        <v>19930</v>
      </c>
      <c r="H6" s="41">
        <f t="shared" ref="H6:H8" si="5">G6-F6</f>
        <v>-8180</v>
      </c>
      <c r="I6" s="39" t="s">
        <v>199</v>
      </c>
      <c r="J6" s="71">
        <v>200</v>
      </c>
      <c r="K6" s="42"/>
      <c r="L6" s="42">
        <v>42827</v>
      </c>
      <c r="M6" s="39" t="s">
        <v>57</v>
      </c>
      <c r="N6" s="38"/>
      <c r="O6" s="43">
        <v>23.5</v>
      </c>
      <c r="P6" s="44"/>
      <c r="Q6" s="45">
        <f>19800</f>
        <v>19800</v>
      </c>
      <c r="R6" s="3">
        <f t="shared" ref="R6:R8" si="6">65*E6</f>
        <v>14950</v>
      </c>
      <c r="S6" s="46">
        <f>-40*E6</f>
        <v>-9200</v>
      </c>
      <c r="T6" s="72">
        <f>X6*F6*0.0045</f>
        <v>4362.1734106874055</v>
      </c>
      <c r="U6" s="43">
        <f>E6*5</f>
        <v>1150</v>
      </c>
      <c r="V6" s="38"/>
      <c r="W6" s="43">
        <v>0.3</v>
      </c>
      <c r="X6" s="43">
        <f>((O6*F6)+Q6+R6+S6+U6)/G6</f>
        <v>34.484947315604614</v>
      </c>
      <c r="Y6" s="3">
        <f t="shared" ref="Y6:Y8" si="7">((O6*F6)+Q6+R6+S6+T6+U6)/G6+W6</f>
        <v>35.00382204770132</v>
      </c>
      <c r="Z6" s="47">
        <f>Y6*G6</f>
        <v>697626.17341068725</v>
      </c>
      <c r="AA6" s="48">
        <v>42842</v>
      </c>
    </row>
    <row r="7" spans="1:27" s="22" customFormat="1" x14ac:dyDescent="0.25">
      <c r="A7" s="62"/>
      <c r="B7" s="17" t="s">
        <v>41</v>
      </c>
      <c r="C7" s="19" t="s">
        <v>42</v>
      </c>
      <c r="D7" s="18" t="s">
        <v>43</v>
      </c>
      <c r="E7" s="19">
        <v>100</v>
      </c>
      <c r="F7" s="20">
        <v>10675</v>
      </c>
      <c r="G7" s="21">
        <v>11430</v>
      </c>
      <c r="H7" s="21">
        <f t="shared" si="5"/>
        <v>755</v>
      </c>
      <c r="I7" s="18" t="s">
        <v>200</v>
      </c>
      <c r="J7" s="65">
        <v>130</v>
      </c>
      <c r="K7" s="24"/>
      <c r="L7" s="24">
        <v>42827</v>
      </c>
      <c r="M7" s="18" t="s">
        <v>57</v>
      </c>
      <c r="N7" s="19"/>
      <c r="O7" s="3">
        <v>23.5</v>
      </c>
      <c r="P7" s="31"/>
      <c r="Q7" s="26">
        <v>15700</v>
      </c>
      <c r="R7" s="3">
        <f t="shared" si="6"/>
        <v>6500</v>
      </c>
      <c r="S7" s="27">
        <f t="shared" ref="S7:S8" si="8">-40*E7</f>
        <v>-4000</v>
      </c>
      <c r="T7" s="27">
        <f>X7*F7*0.0045</f>
        <v>1132.9053887795274</v>
      </c>
      <c r="U7" s="3">
        <f>E7*5</f>
        <v>500</v>
      </c>
      <c r="V7" s="19"/>
      <c r="W7" s="3">
        <v>0.3</v>
      </c>
      <c r="X7" s="3">
        <f>((O7*F7)+Q7+R7+S7+U7)/G7</f>
        <v>23.583770778652667</v>
      </c>
      <c r="Y7" s="3">
        <f t="shared" si="7"/>
        <v>23.982887610566888</v>
      </c>
      <c r="Z7" s="29">
        <f>Y7*G7</f>
        <v>274124.40538877953</v>
      </c>
      <c r="AA7" s="30">
        <v>42842</v>
      </c>
    </row>
    <row r="8" spans="1:27" s="22" customFormat="1" x14ac:dyDescent="0.25">
      <c r="A8" s="62"/>
      <c r="B8" s="17" t="s">
        <v>41</v>
      </c>
      <c r="C8" s="19" t="s">
        <v>42</v>
      </c>
      <c r="D8" s="18" t="s">
        <v>43</v>
      </c>
      <c r="E8" s="19">
        <v>200</v>
      </c>
      <c r="F8" s="20">
        <v>22515</v>
      </c>
      <c r="G8" s="21">
        <f>12570+5340</f>
        <v>17910</v>
      </c>
      <c r="H8" s="21">
        <f t="shared" si="5"/>
        <v>-4605</v>
      </c>
      <c r="I8" s="18" t="s">
        <v>201</v>
      </c>
      <c r="J8" s="19"/>
      <c r="K8" s="24"/>
      <c r="L8" s="24">
        <v>42828</v>
      </c>
      <c r="M8" s="18" t="s">
        <v>60</v>
      </c>
      <c r="N8" s="19"/>
      <c r="O8" s="3">
        <v>23.5</v>
      </c>
      <c r="P8" s="31"/>
      <c r="Q8" s="26">
        <v>19800</v>
      </c>
      <c r="R8" s="3">
        <f t="shared" si="6"/>
        <v>13000</v>
      </c>
      <c r="S8" s="27">
        <f t="shared" si="8"/>
        <v>-8000</v>
      </c>
      <c r="T8" s="28">
        <f>X8*F8*0.0045</f>
        <v>3139.1029616834167</v>
      </c>
      <c r="U8" s="3">
        <f>E8*5</f>
        <v>1000</v>
      </c>
      <c r="V8" s="19"/>
      <c r="W8" s="3">
        <v>0.3</v>
      </c>
      <c r="X8" s="3">
        <f>((O8*F8)+Q8+R8+S8+U8)/G8</f>
        <v>30.98283082077052</v>
      </c>
      <c r="Y8" s="3">
        <f t="shared" si="7"/>
        <v>31.458101784571937</v>
      </c>
      <c r="Z8" s="29">
        <f>Y8*G8</f>
        <v>563414.60296168341</v>
      </c>
      <c r="AA8" s="30">
        <v>42842</v>
      </c>
    </row>
    <row r="9" spans="1:27" s="22" customFormat="1" x14ac:dyDescent="0.25">
      <c r="A9" s="62"/>
      <c r="B9" s="17" t="s">
        <v>26</v>
      </c>
      <c r="C9" s="18" t="s">
        <v>27</v>
      </c>
      <c r="D9" s="18" t="s">
        <v>27</v>
      </c>
      <c r="E9" s="19" t="s">
        <v>34</v>
      </c>
      <c r="F9" s="20">
        <f>40864*0.4536</f>
        <v>18535.910400000001</v>
      </c>
      <c r="G9" s="21">
        <v>18520.240000000002</v>
      </c>
      <c r="H9" s="21">
        <f>G9-F9</f>
        <v>-15.670399999999063</v>
      </c>
      <c r="I9" s="22" t="s">
        <v>202</v>
      </c>
      <c r="J9" s="23" t="s">
        <v>30</v>
      </c>
      <c r="K9" s="24">
        <v>42828</v>
      </c>
      <c r="L9" s="24">
        <v>42829</v>
      </c>
      <c r="M9" s="18" t="s">
        <v>62</v>
      </c>
      <c r="N9" s="18" t="s">
        <v>203</v>
      </c>
      <c r="O9" s="3"/>
      <c r="P9" s="25">
        <f>0.5412+0.1</f>
        <v>0.64119999999999999</v>
      </c>
      <c r="Q9" s="26">
        <v>23000</v>
      </c>
      <c r="R9" s="3">
        <v>9400</v>
      </c>
      <c r="S9" s="51">
        <v>18.635000000000002</v>
      </c>
      <c r="T9" s="28">
        <f>X9*F9*0.005</f>
        <v>2614.6456853910954</v>
      </c>
      <c r="V9" s="3">
        <v>0.12</v>
      </c>
      <c r="W9" s="3">
        <v>0.3</v>
      </c>
      <c r="X9" s="3">
        <f>IF(O9&gt;0,O9,((P9*2.2046*S9)+(Q9+R9)/G9)+V9)</f>
        <v>28.211678077501876</v>
      </c>
      <c r="Y9" s="3">
        <f t="shared" ref="Y9:Y12" si="9">IF(O9&gt;0,O9,((P9*2.2046*S9)+(Q9+R9+T9)/G9)+V9+W9)</f>
        <v>28.652855820629995</v>
      </c>
      <c r="Z9" s="29">
        <f>Y9*F9</f>
        <v>531106.76819531608</v>
      </c>
      <c r="AA9" s="30">
        <v>42842</v>
      </c>
    </row>
    <row r="10" spans="1:27" s="22" customFormat="1" x14ac:dyDescent="0.25">
      <c r="A10" s="62"/>
      <c r="B10" s="17" t="s">
        <v>26</v>
      </c>
      <c r="C10" s="18" t="s">
        <v>37</v>
      </c>
      <c r="D10" s="18" t="s">
        <v>37</v>
      </c>
      <c r="E10" s="19" t="s">
        <v>28</v>
      </c>
      <c r="F10" s="20">
        <f>41893*0.4536</f>
        <v>19002.664799999999</v>
      </c>
      <c r="G10" s="21">
        <v>19012.38</v>
      </c>
      <c r="H10" s="21">
        <f>G10-F10</f>
        <v>9.7152000000023691</v>
      </c>
      <c r="I10" s="22" t="s">
        <v>204</v>
      </c>
      <c r="J10" s="23" t="s">
        <v>30</v>
      </c>
      <c r="K10" s="24">
        <v>42828</v>
      </c>
      <c r="L10" s="24">
        <v>42829</v>
      </c>
      <c r="M10" s="18" t="s">
        <v>62</v>
      </c>
      <c r="N10" s="18" t="s">
        <v>205</v>
      </c>
      <c r="O10" s="3"/>
      <c r="P10" s="25">
        <f>0.5522+0.095</f>
        <v>0.6472</v>
      </c>
      <c r="Q10" s="26">
        <v>23000</v>
      </c>
      <c r="R10" s="3">
        <v>9400</v>
      </c>
      <c r="S10" s="51">
        <v>18.803000000000001</v>
      </c>
      <c r="T10" s="28">
        <f>X10*F10*0.005</f>
        <v>2722.3782993196533</v>
      </c>
      <c r="V10" s="3">
        <v>0.12</v>
      </c>
      <c r="W10" s="3">
        <v>0.3</v>
      </c>
      <c r="X10" s="3">
        <f t="shared" ref="X10:X12" si="10">IF(O10&gt;0,O10,((P10*2.2046*S10)+(Q10+R10)/G10)+V10)</f>
        <v>28.652595075188124</v>
      </c>
      <c r="Y10" s="3">
        <f t="shared" si="9"/>
        <v>29.095784844134446</v>
      </c>
      <c r="Z10" s="29">
        <f t="shared" ref="Z10:Z12" si="11">Y10*F10</f>
        <v>552897.44648600707</v>
      </c>
      <c r="AA10" s="30">
        <v>42822</v>
      </c>
    </row>
    <row r="11" spans="1:27" s="22" customFormat="1" x14ac:dyDescent="0.25">
      <c r="A11" s="62"/>
      <c r="B11" s="17" t="s">
        <v>41</v>
      </c>
      <c r="C11" s="19" t="s">
        <v>42</v>
      </c>
      <c r="D11" s="18" t="s">
        <v>45</v>
      </c>
      <c r="E11" s="19">
        <v>200</v>
      </c>
      <c r="F11" s="20">
        <v>25775</v>
      </c>
      <c r="G11" s="21">
        <f>15720+5240</f>
        <v>20960</v>
      </c>
      <c r="H11" s="21">
        <f>G11-F11</f>
        <v>-4815</v>
      </c>
      <c r="I11" s="18" t="s">
        <v>206</v>
      </c>
      <c r="J11" s="19"/>
      <c r="K11" s="24"/>
      <c r="L11" s="24">
        <v>42829</v>
      </c>
      <c r="M11" s="18" t="s">
        <v>62</v>
      </c>
      <c r="N11" s="19"/>
      <c r="O11" s="3">
        <v>23.5</v>
      </c>
      <c r="P11" s="31"/>
      <c r="Q11" s="33">
        <v>19800</v>
      </c>
      <c r="R11" s="3">
        <f>65*E11</f>
        <v>13000</v>
      </c>
      <c r="S11" s="27">
        <f t="shared" ref="S11" si="12">-40*E11</f>
        <v>-8000</v>
      </c>
      <c r="T11" s="28">
        <f t="shared" ref="T11" si="13">X11*F11*0.005</f>
        <v>3882.9281220181297</v>
      </c>
      <c r="U11" s="3">
        <f>E11*5</f>
        <v>1000</v>
      </c>
      <c r="V11" s="19"/>
      <c r="W11" s="3">
        <v>0.3</v>
      </c>
      <c r="X11" s="3">
        <f>((O11*F11)+Q11+R11+S11+U11)/G11</f>
        <v>30.129413167938932</v>
      </c>
      <c r="Y11" s="3">
        <f>((O11*F11)+Q11+R11+S11+T11+U11)/G11+W11</f>
        <v>30.61466737223369</v>
      </c>
      <c r="Z11" s="29">
        <f>Y11*G11</f>
        <v>641683.42812201811</v>
      </c>
      <c r="AA11" s="30">
        <v>42842</v>
      </c>
    </row>
    <row r="12" spans="1:27" s="22" customFormat="1" x14ac:dyDescent="0.25">
      <c r="A12" s="62"/>
      <c r="B12" s="17" t="s">
        <v>26</v>
      </c>
      <c r="C12" s="18" t="s">
        <v>37</v>
      </c>
      <c r="D12" s="18" t="s">
        <v>37</v>
      </c>
      <c r="E12" s="19" t="s">
        <v>28</v>
      </c>
      <c r="F12" s="20">
        <f>41924*0.4536</f>
        <v>19016.7264</v>
      </c>
      <c r="G12" s="21">
        <v>18982.38</v>
      </c>
      <c r="H12" s="21">
        <f>G12-F12</f>
        <v>-34.346399999998539</v>
      </c>
      <c r="I12" s="22" t="s">
        <v>207</v>
      </c>
      <c r="J12" s="23" t="s">
        <v>39</v>
      </c>
      <c r="K12" s="24">
        <v>42829</v>
      </c>
      <c r="L12" s="24">
        <v>42830</v>
      </c>
      <c r="M12" s="18" t="s">
        <v>31</v>
      </c>
      <c r="N12" s="18" t="s">
        <v>208</v>
      </c>
      <c r="O12" s="3"/>
      <c r="P12" s="25">
        <f>0.5412+0.095</f>
        <v>0.63619999999999999</v>
      </c>
      <c r="Q12" s="26">
        <v>23000</v>
      </c>
      <c r="R12" s="3">
        <v>9400</v>
      </c>
      <c r="S12" s="27">
        <v>18.91</v>
      </c>
      <c r="T12" s="28">
        <f>X12*F12*0.005</f>
        <v>2695.5619132478646</v>
      </c>
      <c r="V12" s="3">
        <v>0.12</v>
      </c>
      <c r="W12" s="3">
        <v>0.3</v>
      </c>
      <c r="X12" s="3">
        <f t="shared" si="10"/>
        <v>28.34937892620535</v>
      </c>
      <c r="Y12" s="3">
        <f t="shared" si="9"/>
        <v>28.791382295290148</v>
      </c>
      <c r="Z12" s="29">
        <f t="shared" si="11"/>
        <v>547517.83978733676</v>
      </c>
      <c r="AA12" s="30">
        <v>42824</v>
      </c>
    </row>
    <row r="13" spans="1:27" s="22" customFormat="1" x14ac:dyDescent="0.25">
      <c r="A13" s="62"/>
      <c r="B13" s="17" t="s">
        <v>41</v>
      </c>
      <c r="C13" s="19" t="s">
        <v>42</v>
      </c>
      <c r="D13" s="18" t="s">
        <v>43</v>
      </c>
      <c r="E13" s="19">
        <v>130</v>
      </c>
      <c r="F13" s="20">
        <v>14325</v>
      </c>
      <c r="G13" s="21">
        <f>6920+4400</f>
        <v>11320</v>
      </c>
      <c r="H13" s="21">
        <f t="shared" ref="H13:H18" si="14">G13-F13</f>
        <v>-3005</v>
      </c>
      <c r="I13" s="22" t="s">
        <v>209</v>
      </c>
      <c r="J13" s="59">
        <v>128</v>
      </c>
      <c r="K13" s="24"/>
      <c r="L13" s="24">
        <v>42830</v>
      </c>
      <c r="M13" s="18" t="s">
        <v>31</v>
      </c>
      <c r="N13" s="19"/>
      <c r="O13" s="3">
        <v>23.5</v>
      </c>
      <c r="P13" s="31"/>
      <c r="Q13" s="26">
        <v>15700</v>
      </c>
      <c r="R13" s="3">
        <f>65*E13</f>
        <v>8450</v>
      </c>
      <c r="S13" s="27">
        <f t="shared" ref="S13" si="15">-40*E13</f>
        <v>-5200</v>
      </c>
      <c r="T13" s="28">
        <f>X13*F13*0.0045</f>
        <v>2028.6183607553003</v>
      </c>
      <c r="U13" s="3">
        <f>E13*5</f>
        <v>650</v>
      </c>
      <c r="V13" s="19"/>
      <c r="W13" s="3">
        <v>0.1</v>
      </c>
      <c r="X13" s="3">
        <f>((O13*F13)+Q13+R13+S13+U13)/G13</f>
        <v>31.469743816254418</v>
      </c>
      <c r="Y13" s="3">
        <f t="shared" ref="Y13" si="16">((O13*F13)+Q13+R13+S13+T13+U13)/G13+W13</f>
        <v>31.748950385225736</v>
      </c>
      <c r="Z13" s="29">
        <f>Y13*G13</f>
        <v>359398.11836075532</v>
      </c>
      <c r="AA13" s="30">
        <v>42843</v>
      </c>
    </row>
    <row r="14" spans="1:27" s="22" customFormat="1" x14ac:dyDescent="0.25">
      <c r="A14" s="62"/>
      <c r="B14" s="17" t="s">
        <v>210</v>
      </c>
      <c r="C14" s="18" t="s">
        <v>211</v>
      </c>
      <c r="D14" s="18" t="s">
        <v>94</v>
      </c>
      <c r="E14" s="19" t="s">
        <v>111</v>
      </c>
      <c r="F14" s="20">
        <v>22.7</v>
      </c>
      <c r="G14" s="21">
        <v>22.7</v>
      </c>
      <c r="H14" s="21">
        <f t="shared" si="14"/>
        <v>0</v>
      </c>
      <c r="I14" s="22" t="s">
        <v>212</v>
      </c>
      <c r="J14" s="19"/>
      <c r="K14" s="24"/>
      <c r="L14" s="24">
        <v>42830</v>
      </c>
      <c r="M14" s="18" t="s">
        <v>31</v>
      </c>
      <c r="N14" s="19"/>
      <c r="O14" s="3">
        <v>190</v>
      </c>
      <c r="P14" s="31"/>
      <c r="Q14" s="3"/>
      <c r="R14" s="3"/>
      <c r="S14" s="27"/>
      <c r="T14" s="27"/>
      <c r="U14" s="3"/>
      <c r="V14" s="3"/>
      <c r="W14" s="3"/>
      <c r="X14" s="3">
        <f t="shared" ref="X14:X19" si="17">IF(O14&gt;0,O14,((P14*2.2046*S14)+(Q14+R14)/G14)+V14)</f>
        <v>190</v>
      </c>
      <c r="Y14" s="3">
        <f t="shared" ref="Y14:Y19" si="18">IF(O14&gt;0,O14,((P14*2.2046*S14)+(Q14+R14+T14)/G14)+V14+W14)</f>
        <v>190</v>
      </c>
      <c r="Z14" s="29">
        <f t="shared" ref="Z14:Z19" si="19">Y14*F14</f>
        <v>4313</v>
      </c>
      <c r="AA14" s="30">
        <v>42830</v>
      </c>
    </row>
    <row r="15" spans="1:27" s="22" customFormat="1" x14ac:dyDescent="0.25">
      <c r="A15" s="62"/>
      <c r="B15" s="17" t="s">
        <v>213</v>
      </c>
      <c r="C15" s="19" t="s">
        <v>214</v>
      </c>
      <c r="D15" s="18" t="s">
        <v>94</v>
      </c>
      <c r="E15" s="19" t="s">
        <v>111</v>
      </c>
      <c r="F15" s="20">
        <v>50</v>
      </c>
      <c r="G15" s="21">
        <v>50</v>
      </c>
      <c r="H15" s="21">
        <f t="shared" si="14"/>
        <v>0</v>
      </c>
      <c r="I15" s="22" t="s">
        <v>212</v>
      </c>
      <c r="J15" s="19"/>
      <c r="K15" s="24"/>
      <c r="L15" s="24">
        <v>42830</v>
      </c>
      <c r="M15" s="18" t="s">
        <v>31</v>
      </c>
      <c r="N15" s="19"/>
      <c r="O15" s="3">
        <v>190</v>
      </c>
      <c r="P15" s="31"/>
      <c r="Q15" s="3"/>
      <c r="R15" s="3"/>
      <c r="S15" s="27"/>
      <c r="T15" s="27"/>
      <c r="U15" s="3"/>
      <c r="V15" s="3"/>
      <c r="W15" s="3"/>
      <c r="X15" s="3">
        <f t="shared" si="17"/>
        <v>190</v>
      </c>
      <c r="Y15" s="3">
        <f t="shared" si="18"/>
        <v>190</v>
      </c>
      <c r="Z15" s="29">
        <f t="shared" si="19"/>
        <v>9500</v>
      </c>
      <c r="AA15" s="30">
        <v>42830</v>
      </c>
    </row>
    <row r="16" spans="1:27" s="22" customFormat="1" x14ac:dyDescent="0.25">
      <c r="A16" s="62"/>
      <c r="B16" s="17" t="s">
        <v>215</v>
      </c>
      <c r="C16" s="18" t="s">
        <v>214</v>
      </c>
      <c r="D16" s="18" t="s">
        <v>94</v>
      </c>
      <c r="E16" s="19" t="s">
        <v>111</v>
      </c>
      <c r="F16" s="20">
        <v>22.7</v>
      </c>
      <c r="G16" s="21">
        <v>22.7</v>
      </c>
      <c r="H16" s="21">
        <f t="shared" si="14"/>
        <v>0</v>
      </c>
      <c r="I16" s="22" t="s">
        <v>212</v>
      </c>
      <c r="J16" s="19"/>
      <c r="K16" s="24"/>
      <c r="L16" s="24">
        <v>42830</v>
      </c>
      <c r="M16" s="18" t="s">
        <v>31</v>
      </c>
      <c r="N16" s="19"/>
      <c r="O16" s="3">
        <v>54</v>
      </c>
      <c r="P16" s="31"/>
      <c r="Q16" s="3"/>
      <c r="R16" s="3"/>
      <c r="S16" s="27"/>
      <c r="T16" s="27"/>
      <c r="U16" s="3"/>
      <c r="V16" s="3"/>
      <c r="W16" s="3"/>
      <c r="X16" s="3">
        <f t="shared" si="17"/>
        <v>54</v>
      </c>
      <c r="Y16" s="3">
        <f t="shared" si="18"/>
        <v>54</v>
      </c>
      <c r="Z16" s="29">
        <f t="shared" si="19"/>
        <v>1225.8</v>
      </c>
      <c r="AA16" s="30">
        <v>42830</v>
      </c>
    </row>
    <row r="17" spans="1:27" s="22" customFormat="1" x14ac:dyDescent="0.25">
      <c r="A17" s="62"/>
      <c r="B17" s="17" t="s">
        <v>216</v>
      </c>
      <c r="C17" s="19" t="s">
        <v>214</v>
      </c>
      <c r="D17" s="18" t="s">
        <v>94</v>
      </c>
      <c r="E17" s="19" t="s">
        <v>111</v>
      </c>
      <c r="F17" s="20">
        <v>100</v>
      </c>
      <c r="G17" s="21">
        <v>100</v>
      </c>
      <c r="H17" s="21">
        <f t="shared" si="14"/>
        <v>0</v>
      </c>
      <c r="I17" s="22" t="s">
        <v>212</v>
      </c>
      <c r="J17" s="19"/>
      <c r="K17" s="24"/>
      <c r="L17" s="24">
        <v>42830</v>
      </c>
      <c r="M17" s="18" t="s">
        <v>31</v>
      </c>
      <c r="N17" s="19"/>
      <c r="O17" s="3">
        <v>170</v>
      </c>
      <c r="P17" s="31"/>
      <c r="Q17" s="3"/>
      <c r="R17" s="3"/>
      <c r="S17" s="27"/>
      <c r="T17" s="27"/>
      <c r="U17" s="3"/>
      <c r="V17" s="3"/>
      <c r="W17" s="3"/>
      <c r="X17" s="3">
        <f t="shared" si="17"/>
        <v>170</v>
      </c>
      <c r="Y17" s="3">
        <f t="shared" si="18"/>
        <v>170</v>
      </c>
      <c r="Z17" s="29">
        <f t="shared" si="19"/>
        <v>17000</v>
      </c>
      <c r="AA17" s="30">
        <v>42830</v>
      </c>
    </row>
    <row r="18" spans="1:27" s="22" customFormat="1" x14ac:dyDescent="0.25">
      <c r="A18" s="62"/>
      <c r="B18" s="17" t="s">
        <v>217</v>
      </c>
      <c r="C18" s="18" t="s">
        <v>33</v>
      </c>
      <c r="D18" s="18" t="s">
        <v>77</v>
      </c>
      <c r="E18" s="19" t="s">
        <v>218</v>
      </c>
      <c r="F18" s="20">
        <v>2758.8</v>
      </c>
      <c r="G18" s="21">
        <v>2758.8</v>
      </c>
      <c r="H18" s="21">
        <f t="shared" si="14"/>
        <v>0</v>
      </c>
      <c r="I18" s="22" t="s">
        <v>219</v>
      </c>
      <c r="J18" s="19"/>
      <c r="K18" s="24"/>
      <c r="L18" s="24">
        <v>42831</v>
      </c>
      <c r="M18" s="18" t="s">
        <v>47</v>
      </c>
      <c r="N18" s="19"/>
      <c r="O18" s="3">
        <v>20.5</v>
      </c>
      <c r="P18" s="31"/>
      <c r="Q18" s="3"/>
      <c r="R18" s="3"/>
      <c r="S18" s="27"/>
      <c r="T18" s="27"/>
      <c r="U18" s="3"/>
      <c r="V18" s="3"/>
      <c r="W18" s="3">
        <v>-0.7</v>
      </c>
      <c r="X18" s="3">
        <f t="shared" si="17"/>
        <v>20.5</v>
      </c>
      <c r="Y18" s="3">
        <f t="shared" si="18"/>
        <v>20.5</v>
      </c>
      <c r="Z18" s="29">
        <f t="shared" si="19"/>
        <v>56555.4</v>
      </c>
      <c r="AA18" s="30">
        <v>42842</v>
      </c>
    </row>
    <row r="19" spans="1:27" s="22" customFormat="1" x14ac:dyDescent="0.25">
      <c r="A19" s="62"/>
      <c r="B19" s="17" t="s">
        <v>26</v>
      </c>
      <c r="C19" s="18" t="s">
        <v>33</v>
      </c>
      <c r="D19" s="18" t="s">
        <v>33</v>
      </c>
      <c r="E19" s="19" t="s">
        <v>34</v>
      </c>
      <c r="F19" s="20">
        <f>42566*0.4536</f>
        <v>19307.937600000001</v>
      </c>
      <c r="G19" s="21">
        <v>19249.23</v>
      </c>
      <c r="H19" s="21">
        <f>G19-F19</f>
        <v>-58.707600000001548</v>
      </c>
      <c r="I19" s="22" t="s">
        <v>220</v>
      </c>
      <c r="J19" s="23" t="s">
        <v>30</v>
      </c>
      <c r="K19" s="24">
        <v>42830</v>
      </c>
      <c r="L19" s="24">
        <v>42831</v>
      </c>
      <c r="M19" s="18" t="s">
        <v>47</v>
      </c>
      <c r="N19" s="18" t="s">
        <v>221</v>
      </c>
      <c r="O19" s="3"/>
      <c r="P19" s="25">
        <f>0.5529+0.105</f>
        <v>0.65789999999999993</v>
      </c>
      <c r="Q19" s="26">
        <v>23000</v>
      </c>
      <c r="R19" s="3">
        <v>9400</v>
      </c>
      <c r="S19" s="51">
        <v>18.786999999999999</v>
      </c>
      <c r="T19" s="28">
        <f>X19*F19*0.005</f>
        <v>2804.6679380970509</v>
      </c>
      <c r="V19" s="3">
        <v>0.12</v>
      </c>
      <c r="W19" s="3">
        <v>0.3</v>
      </c>
      <c r="X19" s="3">
        <f t="shared" si="17"/>
        <v>29.0519681200653</v>
      </c>
      <c r="Y19" s="3">
        <f t="shared" si="18"/>
        <v>29.497670983925158</v>
      </c>
      <c r="Z19" s="29">
        <f t="shared" si="19"/>
        <v>569539.19070295757</v>
      </c>
      <c r="AA19" s="30">
        <v>42828</v>
      </c>
    </row>
    <row r="20" spans="1:27" s="22" customFormat="1" x14ac:dyDescent="0.25">
      <c r="A20" s="62"/>
      <c r="B20" s="17" t="s">
        <v>41</v>
      </c>
      <c r="C20" s="19" t="s">
        <v>42</v>
      </c>
      <c r="D20" s="18" t="s">
        <v>45</v>
      </c>
      <c r="E20" s="19">
        <f>230</f>
        <v>230</v>
      </c>
      <c r="F20" s="20">
        <f>27535</f>
        <v>27535</v>
      </c>
      <c r="G20" s="21">
        <f>19090</f>
        <v>19090</v>
      </c>
      <c r="H20" s="21">
        <f t="shared" ref="H20:H21" si="20">G20-F20</f>
        <v>-8445</v>
      </c>
      <c r="I20" s="22" t="s">
        <v>222</v>
      </c>
      <c r="J20" s="19">
        <v>200</v>
      </c>
      <c r="K20" s="24"/>
      <c r="L20" s="24">
        <v>42831</v>
      </c>
      <c r="M20" s="18" t="s">
        <v>47</v>
      </c>
      <c r="N20" s="19"/>
      <c r="O20" s="3">
        <v>23.5</v>
      </c>
      <c r="P20" s="31"/>
      <c r="Q20" s="33">
        <f>19800</f>
        <v>19800</v>
      </c>
      <c r="R20" s="3">
        <f t="shared" ref="R20:R21" si="21">65*E20</f>
        <v>14950</v>
      </c>
      <c r="S20" s="27">
        <f t="shared" ref="S20:S21" si="22">-40*E20</f>
        <v>-9200</v>
      </c>
      <c r="T20" s="28">
        <f t="shared" ref="T20:T21" si="23">X20*F20*0.0045</f>
        <v>4373.256471647459</v>
      </c>
      <c r="U20" s="3">
        <f t="shared" ref="U20:U21" si="24">E20*5</f>
        <v>1150</v>
      </c>
      <c r="V20" s="19"/>
      <c r="W20" s="3">
        <v>0.3</v>
      </c>
      <c r="X20" s="3">
        <f t="shared" ref="X20:X21" si="25">((O20*F20)+Q20+R20+S20+U20)/G20</f>
        <v>35.294525929806184</v>
      </c>
      <c r="Y20" s="3">
        <f t="shared" ref="Y20:Y21" si="26">((O20*F20)+Q20+R20+S20+T20+U20)/G20+W20</f>
        <v>35.823612177666178</v>
      </c>
      <c r="Z20" s="29">
        <f t="shared" ref="Z20:Z21" si="27">Y20*G20</f>
        <v>683872.7564716473</v>
      </c>
      <c r="AA20" s="30">
        <v>42844</v>
      </c>
    </row>
    <row r="21" spans="1:27" s="22" customFormat="1" x14ac:dyDescent="0.25">
      <c r="A21" s="62"/>
      <c r="B21" s="17" t="s">
        <v>41</v>
      </c>
      <c r="C21" s="19" t="s">
        <v>42</v>
      </c>
      <c r="D21" s="18" t="s">
        <v>43</v>
      </c>
      <c r="E21" s="19">
        <v>100</v>
      </c>
      <c r="F21" s="20">
        <v>10855</v>
      </c>
      <c r="G21" s="21">
        <v>11250</v>
      </c>
      <c r="H21" s="21">
        <f t="shared" si="20"/>
        <v>395</v>
      </c>
      <c r="I21" s="22" t="s">
        <v>223</v>
      </c>
      <c r="J21" s="19">
        <v>130</v>
      </c>
      <c r="K21" s="24"/>
      <c r="L21" s="24">
        <v>42831</v>
      </c>
      <c r="M21" s="18" t="s">
        <v>47</v>
      </c>
      <c r="N21" s="19"/>
      <c r="O21" s="3">
        <v>23.5</v>
      </c>
      <c r="P21" s="31"/>
      <c r="Q21" s="26">
        <v>15700</v>
      </c>
      <c r="R21" s="3">
        <f t="shared" si="21"/>
        <v>6500</v>
      </c>
      <c r="S21" s="27">
        <f t="shared" si="22"/>
        <v>-4000</v>
      </c>
      <c r="T21" s="28">
        <f t="shared" si="23"/>
        <v>1188.8070349999998</v>
      </c>
      <c r="U21" s="3">
        <f t="shared" si="24"/>
        <v>500</v>
      </c>
      <c r="V21" s="19"/>
      <c r="W21" s="3">
        <v>0.3</v>
      </c>
      <c r="X21" s="3">
        <f t="shared" si="25"/>
        <v>24.33711111111111</v>
      </c>
      <c r="Y21" s="3">
        <f t="shared" si="26"/>
        <v>24.742782847555556</v>
      </c>
      <c r="Z21" s="29">
        <f t="shared" si="27"/>
        <v>278356.30703500001</v>
      </c>
      <c r="AA21" s="30">
        <v>42844</v>
      </c>
    </row>
    <row r="22" spans="1:27" s="22" customFormat="1" x14ac:dyDescent="0.25">
      <c r="A22" s="62"/>
      <c r="B22" s="17" t="s">
        <v>26</v>
      </c>
      <c r="C22" s="18" t="s">
        <v>27</v>
      </c>
      <c r="D22" s="18" t="s">
        <v>27</v>
      </c>
      <c r="E22" s="19" t="s">
        <v>34</v>
      </c>
      <c r="F22" s="20">
        <f>41467*0.4536</f>
        <v>18809.431199999999</v>
      </c>
      <c r="G22" s="21">
        <v>18765.66</v>
      </c>
      <c r="H22" s="21">
        <f>G22-F22</f>
        <v>-43.771199999999226</v>
      </c>
      <c r="I22" s="22" t="s">
        <v>224</v>
      </c>
      <c r="J22" s="23" t="s">
        <v>30</v>
      </c>
      <c r="K22" s="24">
        <v>42832</v>
      </c>
      <c r="L22" s="24">
        <v>42833</v>
      </c>
      <c r="M22" s="18" t="s">
        <v>98</v>
      </c>
      <c r="N22" s="18" t="s">
        <v>225</v>
      </c>
      <c r="O22" s="3"/>
      <c r="P22" s="25">
        <f>0.5529+0.1</f>
        <v>0.65289999999999992</v>
      </c>
      <c r="Q22" s="26">
        <v>23000</v>
      </c>
      <c r="R22" s="3">
        <v>9400</v>
      </c>
      <c r="S22" s="27">
        <v>18.579999999999998</v>
      </c>
      <c r="T22" s="28">
        <f>X22*F22*0.005</f>
        <v>2688.8364451891143</v>
      </c>
      <c r="V22" s="3">
        <v>0.12</v>
      </c>
      <c r="W22" s="3">
        <v>0.3</v>
      </c>
      <c r="X22" s="3">
        <f t="shared" ref="X22:X23" si="28">IF(O22&gt;0,O22,((P22*2.2046*S22)+(Q22+R22)/G22)+V22)</f>
        <v>28.590300435976122</v>
      </c>
      <c r="Y22" s="3">
        <f t="shared" ref="Y22:Y23" si="29">IF(O22&gt;0,O22,((P22*2.2046*S22)+(Q22+R22+T22)/G22)+V22+W22)</f>
        <v>29.033585374805302</v>
      </c>
      <c r="Z22" s="29">
        <f t="shared" ref="Z22:Z23" si="30">Y22*F22</f>
        <v>546105.22659672657</v>
      </c>
      <c r="AA22" s="30">
        <v>42842</v>
      </c>
    </row>
    <row r="23" spans="1:27" s="22" customFormat="1" x14ac:dyDescent="0.25">
      <c r="A23" s="62"/>
      <c r="B23" s="17" t="s">
        <v>26</v>
      </c>
      <c r="C23" s="18" t="s">
        <v>37</v>
      </c>
      <c r="D23" s="18" t="s">
        <v>37</v>
      </c>
      <c r="E23" s="19" t="s">
        <v>28</v>
      </c>
      <c r="F23" s="20">
        <f>41922*0.4536</f>
        <v>19015.819200000002</v>
      </c>
      <c r="G23" s="21">
        <v>18999.189999999999</v>
      </c>
      <c r="H23" s="21">
        <f>G23-F23</f>
        <v>-16.629200000003038</v>
      </c>
      <c r="I23" s="22" t="s">
        <v>226</v>
      </c>
      <c r="J23" s="23" t="s">
        <v>30</v>
      </c>
      <c r="K23" s="24">
        <v>42831</v>
      </c>
      <c r="L23" s="24">
        <v>42832</v>
      </c>
      <c r="M23" s="18" t="s">
        <v>49</v>
      </c>
      <c r="N23" s="18" t="s">
        <v>227</v>
      </c>
      <c r="O23" s="3"/>
      <c r="P23" s="25">
        <f>0.5502+0.095</f>
        <v>0.6452</v>
      </c>
      <c r="Q23" s="26">
        <v>23000</v>
      </c>
      <c r="R23" s="3">
        <v>9400</v>
      </c>
      <c r="S23" s="27">
        <v>18.87</v>
      </c>
      <c r="T23" s="28">
        <f>X23*F23*0.005</f>
        <v>2725.5538440423147</v>
      </c>
      <c r="V23" s="3">
        <v>0.12</v>
      </c>
      <c r="W23" s="3">
        <v>0.3</v>
      </c>
      <c r="X23" s="3">
        <f t="shared" si="28"/>
        <v>28.666173309455051</v>
      </c>
      <c r="Y23" s="3">
        <f t="shared" si="29"/>
        <v>29.109629627542418</v>
      </c>
      <c r="Z23" s="29">
        <f t="shared" si="30"/>
        <v>553543.45397630997</v>
      </c>
      <c r="AA23" s="30">
        <v>42825</v>
      </c>
    </row>
    <row r="24" spans="1:27" s="22" customFormat="1" x14ac:dyDescent="0.25">
      <c r="A24" s="62"/>
      <c r="B24" s="17" t="s">
        <v>41</v>
      </c>
      <c r="C24" s="19" t="s">
        <v>42</v>
      </c>
      <c r="D24" s="18" t="s">
        <v>228</v>
      </c>
      <c r="E24" s="19">
        <v>250</v>
      </c>
      <c r="F24" s="20">
        <v>28980</v>
      </c>
      <c r="G24" s="21">
        <v>23080</v>
      </c>
      <c r="H24" s="21">
        <f t="shared" ref="H24:H29" si="31">G24-F24</f>
        <v>-5900</v>
      </c>
      <c r="I24" s="22" t="s">
        <v>229</v>
      </c>
      <c r="J24" s="19"/>
      <c r="K24" s="24"/>
      <c r="L24" s="24">
        <v>42832</v>
      </c>
      <c r="M24" s="18" t="s">
        <v>49</v>
      </c>
      <c r="N24" s="19"/>
      <c r="O24" s="3">
        <v>23.5</v>
      </c>
      <c r="P24" s="31"/>
      <c r="Q24" s="26">
        <v>19800</v>
      </c>
      <c r="R24" s="3">
        <f t="shared" ref="R24:R25" si="32">65*E24</f>
        <v>16250</v>
      </c>
      <c r="S24" s="27">
        <f t="shared" ref="S24:S25" si="33">-40*E24</f>
        <v>-10000</v>
      </c>
      <c r="T24" s="28">
        <f>X24*F24*0.0045</f>
        <v>4002.3100216637777</v>
      </c>
      <c r="U24" s="3">
        <f>E24*5</f>
        <v>1250</v>
      </c>
      <c r="V24" s="19"/>
      <c r="W24" s="3">
        <v>0.3</v>
      </c>
      <c r="X24" s="3">
        <f>((O24*F24)+Q24+R24+S24+U24)/G24</f>
        <v>30.690207972270365</v>
      </c>
      <c r="Y24" s="3">
        <f t="shared" ref="Y24:Y26" si="34">((O24*F24)+Q24+R24+S24+T24+U24)/G24+W24</f>
        <v>31.163618285167409</v>
      </c>
      <c r="Z24" s="29">
        <f t="shared" ref="Z24:Z26" si="35">Y24*G24</f>
        <v>719256.31002166378</v>
      </c>
      <c r="AA24" s="30">
        <v>42845</v>
      </c>
    </row>
    <row r="25" spans="1:27" s="22" customFormat="1" x14ac:dyDescent="0.25">
      <c r="A25" s="62"/>
      <c r="B25" s="17" t="s">
        <v>41</v>
      </c>
      <c r="C25" s="19" t="s">
        <v>42</v>
      </c>
      <c r="D25" s="18" t="s">
        <v>53</v>
      </c>
      <c r="E25" s="19">
        <v>250</v>
      </c>
      <c r="F25" s="20">
        <v>28790</v>
      </c>
      <c r="G25" s="21">
        <v>22970</v>
      </c>
      <c r="H25" s="21">
        <f t="shared" si="31"/>
        <v>-5820</v>
      </c>
      <c r="I25" s="22" t="s">
        <v>230</v>
      </c>
      <c r="J25" s="23">
        <v>249</v>
      </c>
      <c r="K25" s="24"/>
      <c r="L25" s="24">
        <v>42832</v>
      </c>
      <c r="M25" s="18" t="s">
        <v>49</v>
      </c>
      <c r="N25" s="19"/>
      <c r="O25" s="3">
        <v>23.5</v>
      </c>
      <c r="P25" s="31"/>
      <c r="Q25" s="26">
        <v>19800</v>
      </c>
      <c r="R25" s="3">
        <f t="shared" si="32"/>
        <v>16250</v>
      </c>
      <c r="S25" s="27">
        <f t="shared" si="33"/>
        <v>-10000</v>
      </c>
      <c r="T25" s="28">
        <f>X25*F25*0.0045</f>
        <v>3969.9272997387893</v>
      </c>
      <c r="U25" s="3">
        <f>E25*5</f>
        <v>1250</v>
      </c>
      <c r="V25" s="19"/>
      <c r="W25" s="3">
        <v>0.3</v>
      </c>
      <c r="X25" s="3">
        <f>((O25*F25)+Q25+R25+S25+U25)/G25</f>
        <v>30.642794949934697</v>
      </c>
      <c r="Y25" s="3">
        <f t="shared" si="34"/>
        <v>31.115625916401338</v>
      </c>
      <c r="Z25" s="29">
        <f t="shared" si="35"/>
        <v>714725.92729973875</v>
      </c>
      <c r="AA25" s="30">
        <v>42845</v>
      </c>
    </row>
    <row r="26" spans="1:27" s="22" customFormat="1" x14ac:dyDescent="0.25">
      <c r="A26" s="62"/>
      <c r="B26" s="17" t="s">
        <v>41</v>
      </c>
      <c r="C26" s="19" t="s">
        <v>231</v>
      </c>
      <c r="D26" s="18" t="s">
        <v>231</v>
      </c>
      <c r="E26" s="19">
        <v>252</v>
      </c>
      <c r="F26" s="20">
        <v>24069.7</v>
      </c>
      <c r="G26" s="21">
        <v>23792</v>
      </c>
      <c r="H26" s="21">
        <f t="shared" si="31"/>
        <v>-277.70000000000073</v>
      </c>
      <c r="I26" s="22" t="s">
        <v>232</v>
      </c>
      <c r="J26" s="19"/>
      <c r="K26" s="24"/>
      <c r="L26" s="24">
        <v>42833</v>
      </c>
      <c r="M26" s="18" t="s">
        <v>98</v>
      </c>
      <c r="N26" s="19"/>
      <c r="O26" s="3">
        <v>30.4</v>
      </c>
      <c r="P26" s="31"/>
      <c r="Q26" s="55">
        <v>19800</v>
      </c>
      <c r="R26" s="3"/>
      <c r="S26" s="27"/>
      <c r="T26" s="27"/>
      <c r="U26" s="3">
        <f>E26*5</f>
        <v>1260</v>
      </c>
      <c r="V26" s="19"/>
      <c r="W26" s="3">
        <v>0.3</v>
      </c>
      <c r="X26" s="3">
        <f>((O26*F26)+Q26+R26+S26+U26)/G26</f>
        <v>31.64</v>
      </c>
      <c r="Y26" s="3">
        <f t="shared" si="34"/>
        <v>31.94</v>
      </c>
      <c r="Z26" s="29">
        <f t="shared" si="35"/>
        <v>759916.48</v>
      </c>
      <c r="AA26" s="30">
        <v>42837</v>
      </c>
    </row>
    <row r="27" spans="1:27" s="22" customFormat="1" x14ac:dyDescent="0.25">
      <c r="A27" s="62"/>
      <c r="B27" s="17" t="s">
        <v>26</v>
      </c>
      <c r="C27" s="18" t="s">
        <v>33</v>
      </c>
      <c r="D27" s="18" t="s">
        <v>33</v>
      </c>
      <c r="E27" s="19" t="s">
        <v>34</v>
      </c>
      <c r="F27" s="20">
        <f>42289*0.4536</f>
        <v>19182.290400000002</v>
      </c>
      <c r="G27" s="21">
        <v>19065.560000000001</v>
      </c>
      <c r="H27" s="21">
        <f t="shared" si="31"/>
        <v>-116.73040000000037</v>
      </c>
      <c r="I27" s="22" t="s">
        <v>233</v>
      </c>
      <c r="J27" s="23" t="s">
        <v>30</v>
      </c>
      <c r="K27" s="24">
        <v>42831</v>
      </c>
      <c r="L27" s="24">
        <v>42832</v>
      </c>
      <c r="M27" s="18" t="s">
        <v>49</v>
      </c>
      <c r="N27" s="18" t="s">
        <v>234</v>
      </c>
      <c r="O27" s="3"/>
      <c r="P27" s="25">
        <f>0.5548+0.105</f>
        <v>0.65979999999999994</v>
      </c>
      <c r="Q27" s="26">
        <v>23000</v>
      </c>
      <c r="R27" s="3">
        <v>9400</v>
      </c>
      <c r="S27" s="51">
        <v>18.797000000000001</v>
      </c>
      <c r="T27" s="28">
        <f t="shared" ref="T27" si="36">X27*F27*0.005</f>
        <v>2796.9144275458298</v>
      </c>
      <c r="V27" s="3">
        <v>0.12</v>
      </c>
      <c r="W27" s="3">
        <v>0.3</v>
      </c>
      <c r="X27" s="3">
        <f t="shared" ref="X27:X29" si="37">IF(O27&gt;0,O27,((P27*2.2046*S27)+(Q27+R27)/G27)+V27)</f>
        <v>29.161423054525642</v>
      </c>
      <c r="Y27" s="3">
        <f t="shared" ref="Y27:Y29" si="38">IF(O27&gt;0,O27,((P27*2.2046*S27)+(Q27+R27+T27)/G27)+V27+W27)</f>
        <v>29.608122885401098</v>
      </c>
      <c r="Z27" s="29">
        <f t="shared" ref="Z27:Z29" si="39">Y27*F27</f>
        <v>567951.61138664978</v>
      </c>
      <c r="AA27" s="30">
        <v>42828</v>
      </c>
    </row>
    <row r="28" spans="1:27" s="22" customFormat="1" x14ac:dyDescent="0.25">
      <c r="A28" s="62"/>
      <c r="B28" s="17" t="s">
        <v>216</v>
      </c>
      <c r="C28" s="19" t="s">
        <v>214</v>
      </c>
      <c r="D28" s="18" t="s">
        <v>94</v>
      </c>
      <c r="E28" s="19" t="s">
        <v>235</v>
      </c>
      <c r="F28" s="20">
        <v>400</v>
      </c>
      <c r="G28" s="21">
        <v>400</v>
      </c>
      <c r="H28" s="21">
        <f t="shared" si="31"/>
        <v>0</v>
      </c>
      <c r="I28" s="73" t="s">
        <v>236</v>
      </c>
      <c r="J28" s="19"/>
      <c r="K28" s="24"/>
      <c r="L28" s="24">
        <v>42833</v>
      </c>
      <c r="M28" s="18" t="s">
        <v>98</v>
      </c>
      <c r="N28" s="18"/>
      <c r="O28" s="3">
        <v>170</v>
      </c>
      <c r="P28" s="25"/>
      <c r="Q28" s="3"/>
      <c r="R28" s="3"/>
      <c r="S28" s="51"/>
      <c r="T28" s="27"/>
      <c r="V28" s="3"/>
      <c r="W28" s="3"/>
      <c r="X28" s="3">
        <f t="shared" si="37"/>
        <v>170</v>
      </c>
      <c r="Y28" s="3">
        <f t="shared" si="38"/>
        <v>170</v>
      </c>
      <c r="Z28" s="29">
        <f t="shared" si="39"/>
        <v>68000</v>
      </c>
      <c r="AA28" s="30">
        <v>42835</v>
      </c>
    </row>
    <row r="29" spans="1:27" s="22" customFormat="1" x14ac:dyDescent="0.25">
      <c r="A29" s="62"/>
      <c r="B29" s="17" t="s">
        <v>215</v>
      </c>
      <c r="C29" s="18" t="s">
        <v>214</v>
      </c>
      <c r="D29" s="18" t="s">
        <v>94</v>
      </c>
      <c r="E29" s="19" t="s">
        <v>235</v>
      </c>
      <c r="F29" s="20">
        <v>90.8</v>
      </c>
      <c r="G29" s="21">
        <v>90.8</v>
      </c>
      <c r="H29" s="21">
        <f t="shared" si="31"/>
        <v>0</v>
      </c>
      <c r="I29" s="73" t="s">
        <v>236</v>
      </c>
      <c r="J29" s="19"/>
      <c r="K29" s="24"/>
      <c r="L29" s="24">
        <v>42833</v>
      </c>
      <c r="M29" s="18" t="s">
        <v>98</v>
      </c>
      <c r="N29" s="18"/>
      <c r="O29" s="3">
        <v>52</v>
      </c>
      <c r="P29" s="25"/>
      <c r="Q29" s="3"/>
      <c r="R29" s="3"/>
      <c r="S29" s="51"/>
      <c r="T29" s="27"/>
      <c r="V29" s="3"/>
      <c r="W29" s="3"/>
      <c r="X29" s="3">
        <f t="shared" si="37"/>
        <v>52</v>
      </c>
      <c r="Y29" s="3">
        <f t="shared" si="38"/>
        <v>52</v>
      </c>
      <c r="Z29" s="29">
        <f t="shared" si="39"/>
        <v>4721.5999999999995</v>
      </c>
      <c r="AA29" s="30">
        <v>42835</v>
      </c>
    </row>
    <row r="30" spans="1:27" s="22" customFormat="1" ht="15.75" thickBot="1" x14ac:dyDescent="0.3">
      <c r="A30" s="74"/>
      <c r="B30" s="34"/>
      <c r="C30" s="6"/>
      <c r="D30" s="6"/>
      <c r="E30" s="6"/>
      <c r="F30" s="35"/>
      <c r="G30" s="35"/>
      <c r="H30" s="35"/>
      <c r="I30" s="9"/>
      <c r="J30" s="6"/>
      <c r="K30" s="10"/>
      <c r="L30" s="10"/>
      <c r="M30" s="6"/>
      <c r="N30" s="6"/>
      <c r="O30" s="11"/>
      <c r="P30" s="12"/>
      <c r="Q30" s="11"/>
      <c r="R30" s="11"/>
      <c r="S30" s="11"/>
      <c r="T30" s="11"/>
      <c r="U30" s="11"/>
      <c r="V30" s="11"/>
      <c r="W30" s="11"/>
      <c r="X30" s="11"/>
      <c r="Y30" s="11"/>
      <c r="Z30" s="15"/>
      <c r="AA30" s="36"/>
    </row>
    <row r="31" spans="1:27" s="22" customFormat="1" x14ac:dyDescent="0.25">
      <c r="A31" s="75"/>
      <c r="B31" s="38" t="s">
        <v>41</v>
      </c>
      <c r="C31" s="38" t="s">
        <v>237</v>
      </c>
      <c r="D31" s="39" t="s">
        <v>237</v>
      </c>
      <c r="E31" s="38">
        <v>239</v>
      </c>
      <c r="F31" s="40">
        <f>27850-1006.6</f>
        <v>26843.4</v>
      </c>
      <c r="G31" s="41">
        <f>10420+11350</f>
        <v>21770</v>
      </c>
      <c r="H31" s="41">
        <f t="shared" ref="H31:H32" si="40">G31-F31</f>
        <v>-5073.4000000000015</v>
      </c>
      <c r="I31" s="39" t="s">
        <v>238</v>
      </c>
      <c r="J31" s="38"/>
      <c r="K31" s="42"/>
      <c r="L31" s="42">
        <v>42835</v>
      </c>
      <c r="M31" s="39" t="s">
        <v>60</v>
      </c>
      <c r="N31" s="38"/>
      <c r="O31" s="43">
        <v>24.9</v>
      </c>
      <c r="P31" s="44"/>
      <c r="Q31" s="43"/>
      <c r="R31" s="3">
        <f>105*E31</f>
        <v>25095</v>
      </c>
      <c r="S31" s="46">
        <f>-40*E31</f>
        <v>-9560</v>
      </c>
      <c r="T31" s="46"/>
      <c r="U31" s="43">
        <f>E31*10</f>
        <v>2390</v>
      </c>
      <c r="V31" s="38"/>
      <c r="W31" s="3"/>
      <c r="X31" s="43">
        <f>((O31*F31)+Q31+R31+S31+U31)/G31</f>
        <v>31.526213137344971</v>
      </c>
      <c r="Y31" s="3">
        <f t="shared" ref="Y31:Y32" si="41">((O31*F31)+Q31+R31+S31+T31+U31)/G31+W31</f>
        <v>31.526213137344971</v>
      </c>
      <c r="Z31" s="47">
        <f>Y31*G31</f>
        <v>686325.66</v>
      </c>
      <c r="AA31" s="48">
        <v>42842</v>
      </c>
    </row>
    <row r="32" spans="1:27" s="22" customFormat="1" x14ac:dyDescent="0.25">
      <c r="A32" s="76"/>
      <c r="B32" s="17" t="s">
        <v>41</v>
      </c>
      <c r="C32" s="19" t="s">
        <v>231</v>
      </c>
      <c r="D32" s="18" t="s">
        <v>231</v>
      </c>
      <c r="E32" s="19">
        <v>272</v>
      </c>
      <c r="F32" s="20">
        <v>25442.5</v>
      </c>
      <c r="G32" s="21">
        <v>25410</v>
      </c>
      <c r="H32" s="21">
        <f t="shared" si="40"/>
        <v>-32.5</v>
      </c>
      <c r="I32" s="18" t="s">
        <v>239</v>
      </c>
      <c r="J32" s="19"/>
      <c r="K32" s="24"/>
      <c r="L32" s="24">
        <v>42836</v>
      </c>
      <c r="M32" s="18" t="s">
        <v>62</v>
      </c>
      <c r="N32" s="19"/>
      <c r="O32" s="3">
        <v>30.4</v>
      </c>
      <c r="P32" s="31"/>
      <c r="Q32" s="55">
        <v>19800</v>
      </c>
      <c r="R32" s="3"/>
      <c r="S32" s="27"/>
      <c r="T32" s="28">
        <f>X32*F32*0.005</f>
        <v>3978.1416391184571</v>
      </c>
      <c r="U32" s="3">
        <f>E32*5</f>
        <v>1360</v>
      </c>
      <c r="V32" s="19"/>
      <c r="W32" s="3">
        <v>0.2</v>
      </c>
      <c r="X32" s="3">
        <f>((O32*F32)+Q32+R32+S32+U32)/G32</f>
        <v>31.271625344352618</v>
      </c>
      <c r="Y32" s="3">
        <f t="shared" si="41"/>
        <v>31.628183456872033</v>
      </c>
      <c r="Z32" s="29">
        <f>Y32*G32</f>
        <v>803672.14163911832</v>
      </c>
      <c r="AA32" s="30">
        <v>42843</v>
      </c>
    </row>
    <row r="33" spans="1:27" s="22" customFormat="1" x14ac:dyDescent="0.25">
      <c r="A33" s="76"/>
      <c r="B33" s="17" t="s">
        <v>41</v>
      </c>
      <c r="C33" s="19" t="s">
        <v>231</v>
      </c>
      <c r="D33" s="18" t="s">
        <v>231</v>
      </c>
      <c r="E33" s="19">
        <v>228</v>
      </c>
      <c r="F33" s="20">
        <v>21400.3</v>
      </c>
      <c r="G33" s="21">
        <v>21250</v>
      </c>
      <c r="H33" s="21">
        <f>G33-F33</f>
        <v>-150.29999999999927</v>
      </c>
      <c r="I33" s="22" t="s">
        <v>240</v>
      </c>
      <c r="J33" s="19"/>
      <c r="K33" s="24"/>
      <c r="L33" s="24">
        <v>42836</v>
      </c>
      <c r="M33" s="18" t="s">
        <v>62</v>
      </c>
      <c r="N33" s="19"/>
      <c r="O33" s="3">
        <v>31.5</v>
      </c>
      <c r="P33" s="31"/>
      <c r="Q33" s="3"/>
      <c r="R33" s="3"/>
      <c r="S33" s="27"/>
      <c r="T33" s="27"/>
      <c r="U33" s="3"/>
      <c r="V33" s="19"/>
      <c r="W33" s="3">
        <v>0.2</v>
      </c>
      <c r="X33" s="3">
        <f>((O33*F33)+Q33+R33+S33+U33)/G33</f>
        <v>31.722797647058822</v>
      </c>
      <c r="Y33" s="3">
        <f>((O33*F33)+Q33+R33+S33+T33+U33)/G33+W33</f>
        <v>31.922797647058822</v>
      </c>
      <c r="Z33" s="29">
        <f>Y33*G33</f>
        <v>678359.45</v>
      </c>
      <c r="AA33" s="30">
        <v>42844</v>
      </c>
    </row>
    <row r="34" spans="1:27" s="22" customFormat="1" x14ac:dyDescent="0.25">
      <c r="A34" s="76"/>
      <c r="B34" s="17" t="s">
        <v>26</v>
      </c>
      <c r="C34" s="18" t="s">
        <v>27</v>
      </c>
      <c r="D34" s="18" t="s">
        <v>27</v>
      </c>
      <c r="E34" s="19" t="s">
        <v>28</v>
      </c>
      <c r="F34" s="20">
        <f>41320*0.4536</f>
        <v>18742.752</v>
      </c>
      <c r="G34" s="21">
        <v>18571.04</v>
      </c>
      <c r="H34" s="21">
        <f>G34-F34</f>
        <v>-171.71199999999953</v>
      </c>
      <c r="I34" s="22" t="s">
        <v>241</v>
      </c>
      <c r="J34" s="23" t="s">
        <v>30</v>
      </c>
      <c r="K34" s="24">
        <v>42835</v>
      </c>
      <c r="L34" s="24">
        <v>42836</v>
      </c>
      <c r="M34" s="18" t="s">
        <v>62</v>
      </c>
      <c r="N34" s="18" t="s">
        <v>242</v>
      </c>
      <c r="O34" s="3"/>
      <c r="P34" s="25">
        <f>0.5725+0.1</f>
        <v>0.67249999999999999</v>
      </c>
      <c r="Q34" s="26">
        <v>23000</v>
      </c>
      <c r="R34" s="3">
        <v>9400</v>
      </c>
      <c r="S34" s="27">
        <v>18.86</v>
      </c>
      <c r="T34" s="28">
        <f>X34*F34*0.005</f>
        <v>2795.1408392185699</v>
      </c>
      <c r="V34" s="3">
        <v>0.12</v>
      </c>
      <c r="W34" s="3">
        <v>0.3</v>
      </c>
      <c r="X34" s="3">
        <f>IF(O34&gt;0,O34,((P34*2.2046*S34)+(Q34+R34)/G34)+V34)</f>
        <v>29.826365298101045</v>
      </c>
      <c r="Y34" s="3">
        <f t="shared" ref="Y34:Y37" si="42">IF(O34&gt;0,O34,((P34*2.2046*S34)+(Q34+R34+T34)/G34)+V34+W34)</f>
        <v>30.276876030898919</v>
      </c>
      <c r="Z34" s="29">
        <f>Y34*F34</f>
        <v>567471.97878188279</v>
      </c>
      <c r="AA34" s="30">
        <v>42846</v>
      </c>
    </row>
    <row r="35" spans="1:27" s="22" customFormat="1" x14ac:dyDescent="0.25">
      <c r="A35" s="76"/>
      <c r="B35" s="17" t="s">
        <v>26</v>
      </c>
      <c r="C35" s="18" t="s">
        <v>37</v>
      </c>
      <c r="D35" s="18" t="s">
        <v>37</v>
      </c>
      <c r="E35" s="19" t="s">
        <v>28</v>
      </c>
      <c r="F35" s="20">
        <f>41151*0.4536</f>
        <v>18666.0936</v>
      </c>
      <c r="G35" s="21">
        <v>18625.52</v>
      </c>
      <c r="H35" s="21">
        <f>G35-F35</f>
        <v>-40.573599999999715</v>
      </c>
      <c r="I35" s="22" t="s">
        <v>243</v>
      </c>
      <c r="J35" s="23" t="s">
        <v>30</v>
      </c>
      <c r="K35" s="24">
        <v>42835</v>
      </c>
      <c r="L35" s="24">
        <v>42836</v>
      </c>
      <c r="M35" s="18" t="s">
        <v>62</v>
      </c>
      <c r="N35" s="18" t="s">
        <v>244</v>
      </c>
      <c r="O35" s="3"/>
      <c r="P35" s="25">
        <f>0.5645+0.095</f>
        <v>0.65949999999999998</v>
      </c>
      <c r="Q35" s="26">
        <v>23000</v>
      </c>
      <c r="R35" s="3">
        <v>9400</v>
      </c>
      <c r="S35" s="51">
        <v>18.925999999999998</v>
      </c>
      <c r="T35" s="28">
        <f>X35*F35*0.005</f>
        <v>2741.7409683759179</v>
      </c>
      <c r="V35" s="3">
        <v>0.12</v>
      </c>
      <c r="W35" s="3">
        <v>0.3</v>
      </c>
      <c r="X35" s="3">
        <f t="shared" ref="X35:X37" si="43">IF(O35&gt;0,O35,((P35*2.2046*S35)+(Q35+R35)/G35)+V35)</f>
        <v>29.376697954369178</v>
      </c>
      <c r="Y35" s="3">
        <f t="shared" si="42"/>
        <v>29.823901413299502</v>
      </c>
      <c r="Z35" s="29">
        <f t="shared" ref="Z35:Z37" si="44">Y35*F35</f>
        <v>556695.73529782076</v>
      </c>
      <c r="AA35" s="30">
        <v>42829</v>
      </c>
    </row>
    <row r="36" spans="1:27" s="22" customFormat="1" x14ac:dyDescent="0.25">
      <c r="A36" s="76"/>
      <c r="B36" s="17" t="s">
        <v>26</v>
      </c>
      <c r="C36" s="18" t="s">
        <v>37</v>
      </c>
      <c r="D36" s="18" t="s">
        <v>37</v>
      </c>
      <c r="E36" s="19" t="s">
        <v>28</v>
      </c>
      <c r="F36" s="20">
        <f>42081*0.4536</f>
        <v>19087.941600000002</v>
      </c>
      <c r="G36" s="21">
        <v>19052.38</v>
      </c>
      <c r="H36" s="21">
        <f>G36-F36</f>
        <v>-35.561600000000908</v>
      </c>
      <c r="I36" s="22" t="s">
        <v>245</v>
      </c>
      <c r="J36" s="23" t="s">
        <v>39</v>
      </c>
      <c r="K36" s="24">
        <v>42836</v>
      </c>
      <c r="L36" s="24">
        <v>42837</v>
      </c>
      <c r="M36" s="18" t="s">
        <v>31</v>
      </c>
      <c r="N36" s="18" t="s">
        <v>246</v>
      </c>
      <c r="O36" s="3"/>
      <c r="P36" s="25">
        <f>0.5725+0.095</f>
        <v>0.66749999999999998</v>
      </c>
      <c r="Q36" s="26">
        <v>23000</v>
      </c>
      <c r="R36" s="3">
        <v>9400</v>
      </c>
      <c r="S36" s="51">
        <v>18.782</v>
      </c>
      <c r="T36" s="28">
        <f>X36*F36*0.005</f>
        <v>2811.6167739729603</v>
      </c>
      <c r="V36" s="3">
        <v>0.12</v>
      </c>
      <c r="W36" s="3">
        <v>0.3</v>
      </c>
      <c r="X36" s="3">
        <f t="shared" si="43"/>
        <v>29.459612072293428</v>
      </c>
      <c r="Y36" s="3">
        <f t="shared" si="42"/>
        <v>29.907185067056968</v>
      </c>
      <c r="Z36" s="29">
        <f t="shared" si="44"/>
        <v>570866.60198037559</v>
      </c>
      <c r="AA36" s="30">
        <v>42830</v>
      </c>
    </row>
    <row r="37" spans="1:27" s="22" customFormat="1" x14ac:dyDescent="0.25">
      <c r="A37" s="76"/>
      <c r="B37" s="17" t="s">
        <v>26</v>
      </c>
      <c r="C37" s="18" t="s">
        <v>33</v>
      </c>
      <c r="D37" s="18" t="s">
        <v>33</v>
      </c>
      <c r="E37" s="19" t="s">
        <v>34</v>
      </c>
      <c r="F37" s="20">
        <f>42676*0.4536</f>
        <v>19357.833600000002</v>
      </c>
      <c r="G37" s="21">
        <v>19333.78</v>
      </c>
      <c r="H37" s="21">
        <f>G37-F37</f>
        <v>-24.053600000002916</v>
      </c>
      <c r="I37" s="22" t="s">
        <v>247</v>
      </c>
      <c r="J37" s="23" t="s">
        <v>30</v>
      </c>
      <c r="K37" s="24">
        <v>42836</v>
      </c>
      <c r="L37" s="24">
        <v>42837</v>
      </c>
      <c r="M37" s="18" t="s">
        <v>31</v>
      </c>
      <c r="N37" s="18" t="s">
        <v>248</v>
      </c>
      <c r="O37" s="3"/>
      <c r="P37" s="25">
        <f>0.5725+0.105</f>
        <v>0.67749999999999999</v>
      </c>
      <c r="Q37" s="26">
        <v>23000</v>
      </c>
      <c r="R37" s="3">
        <v>9400</v>
      </c>
      <c r="S37" s="51">
        <v>18.782</v>
      </c>
      <c r="T37" s="28">
        <f>X37*F37*0.005</f>
        <v>2889.0529508187833</v>
      </c>
      <c r="V37" s="3">
        <v>0.12</v>
      </c>
      <c r="W37" s="3">
        <v>0.3</v>
      </c>
      <c r="X37" s="3">
        <f t="shared" si="43"/>
        <v>29.848928454667398</v>
      </c>
      <c r="Y37" s="3">
        <f t="shared" si="42"/>
        <v>30.298358775629918</v>
      </c>
      <c r="Z37" s="29">
        <f t="shared" si="44"/>
        <v>586510.58753174369</v>
      </c>
      <c r="AA37" s="30">
        <v>42830</v>
      </c>
    </row>
    <row r="38" spans="1:27" s="22" customFormat="1" x14ac:dyDescent="0.25">
      <c r="A38" s="76"/>
      <c r="B38" s="17" t="s">
        <v>41</v>
      </c>
      <c r="C38" s="18" t="s">
        <v>237</v>
      </c>
      <c r="D38" s="18" t="s">
        <v>237</v>
      </c>
      <c r="E38" s="19">
        <f>234</f>
        <v>234</v>
      </c>
      <c r="F38" s="20">
        <f>25760</f>
        <v>25760</v>
      </c>
      <c r="G38" s="21">
        <v>22350</v>
      </c>
      <c r="H38" s="21">
        <f t="shared" ref="H38:H43" si="45">G38-F38</f>
        <v>-3410</v>
      </c>
      <c r="I38" s="22" t="s">
        <v>249</v>
      </c>
      <c r="J38" s="19">
        <v>248</v>
      </c>
      <c r="K38" s="24"/>
      <c r="L38" s="24">
        <v>42837</v>
      </c>
      <c r="M38" s="18" t="s">
        <v>31</v>
      </c>
      <c r="N38" s="19"/>
      <c r="O38" s="3">
        <v>24.9</v>
      </c>
      <c r="P38" s="31" t="s">
        <v>128</v>
      </c>
      <c r="Q38" s="3"/>
      <c r="R38" s="3">
        <f>99*E38</f>
        <v>23166</v>
      </c>
      <c r="S38" s="27">
        <f>-40*E38</f>
        <v>-9360</v>
      </c>
      <c r="T38" s="27"/>
      <c r="U38" s="3">
        <f>E38*10</f>
        <v>2340</v>
      </c>
      <c r="V38" s="19"/>
      <c r="W38" s="3">
        <v>0.2</v>
      </c>
      <c r="X38" s="3">
        <f>((O38*F38)+Q38+R38+S38+U38)/G38</f>
        <v>29.421476510067116</v>
      </c>
      <c r="Y38" s="3">
        <f t="shared" ref="Y38:Y39" si="46">((O38*F38)+Q38+R38+S38+T38+U38)/G38+W38</f>
        <v>29.621476510067115</v>
      </c>
      <c r="Z38" s="29">
        <f>Y38*G38</f>
        <v>662040</v>
      </c>
      <c r="AA38" s="30">
        <v>42845</v>
      </c>
    </row>
    <row r="39" spans="1:27" s="22" customFormat="1" x14ac:dyDescent="0.25">
      <c r="A39" s="76"/>
      <c r="B39" s="17" t="s">
        <v>41</v>
      </c>
      <c r="C39" s="18" t="s">
        <v>237</v>
      </c>
      <c r="D39" s="18" t="s">
        <v>237</v>
      </c>
      <c r="E39" s="19">
        <f>144</f>
        <v>144</v>
      </c>
      <c r="F39" s="20">
        <f>16190</f>
        <v>16190</v>
      </c>
      <c r="G39" s="21">
        <v>11690</v>
      </c>
      <c r="H39" s="21">
        <f t="shared" si="45"/>
        <v>-4500</v>
      </c>
      <c r="I39" s="22" t="s">
        <v>250</v>
      </c>
      <c r="J39" s="19">
        <v>129</v>
      </c>
      <c r="K39" s="24"/>
      <c r="L39" s="24">
        <v>42837</v>
      </c>
      <c r="M39" s="18" t="s">
        <v>31</v>
      </c>
      <c r="N39" s="19"/>
      <c r="O39" s="3">
        <v>25.2</v>
      </c>
      <c r="P39" s="31"/>
      <c r="Q39" s="3"/>
      <c r="R39" s="3">
        <f>99*E39</f>
        <v>14256</v>
      </c>
      <c r="S39" s="27">
        <f>-40*E39</f>
        <v>-5760</v>
      </c>
      <c r="T39" s="27"/>
      <c r="U39" s="3"/>
      <c r="V39" s="19"/>
      <c r="W39" s="3">
        <v>0.2</v>
      </c>
      <c r="X39" s="3">
        <f>((O39*F39)+Q39+R39+S39+U39)/G39</f>
        <v>35.627373823781006</v>
      </c>
      <c r="Y39" s="3">
        <f t="shared" si="46"/>
        <v>35.827373823781009</v>
      </c>
      <c r="Z39" s="29">
        <f>Y39*G39</f>
        <v>418822</v>
      </c>
      <c r="AA39" s="30">
        <v>42846</v>
      </c>
    </row>
    <row r="40" spans="1:27" s="22" customFormat="1" x14ac:dyDescent="0.25">
      <c r="A40" s="76"/>
      <c r="B40" s="17" t="s">
        <v>210</v>
      </c>
      <c r="C40" s="18" t="s">
        <v>214</v>
      </c>
      <c r="D40" s="18" t="s">
        <v>94</v>
      </c>
      <c r="E40" s="19" t="s">
        <v>251</v>
      </c>
      <c r="F40" s="20">
        <v>45.4</v>
      </c>
      <c r="G40" s="21">
        <v>45.4</v>
      </c>
      <c r="H40" s="21">
        <f t="shared" si="45"/>
        <v>0</v>
      </c>
      <c r="J40" s="19"/>
      <c r="K40" s="24"/>
      <c r="L40" s="24">
        <v>42837</v>
      </c>
      <c r="M40" s="18" t="s">
        <v>31</v>
      </c>
      <c r="N40" s="19"/>
      <c r="O40" s="3">
        <v>190</v>
      </c>
      <c r="P40" s="31"/>
      <c r="Q40" s="3"/>
      <c r="R40" s="3"/>
      <c r="S40" s="27"/>
      <c r="T40" s="27"/>
      <c r="U40" s="3"/>
      <c r="V40" s="3"/>
      <c r="W40" s="3"/>
      <c r="X40" s="3">
        <f t="shared" ref="X40:X44" si="47">IF(O40&gt;0,O40,((P40*2.2046*S40)+(Q40+R40)/G40)+V40)</f>
        <v>190</v>
      </c>
      <c r="Y40" s="3">
        <f t="shared" ref="Y40:Y44" si="48">IF(O40&gt;0,O40,((P40*2.2046*S40)+(Q40+R40+T40)/G40)+V40+W40)</f>
        <v>190</v>
      </c>
      <c r="Z40" s="29">
        <f t="shared" ref="Z40:Z44" si="49">Y40*F40</f>
        <v>8626</v>
      </c>
      <c r="AA40" s="30">
        <v>42837</v>
      </c>
    </row>
    <row r="41" spans="1:27" s="22" customFormat="1" x14ac:dyDescent="0.25">
      <c r="A41" s="76"/>
      <c r="B41" s="17" t="s">
        <v>213</v>
      </c>
      <c r="C41" s="19" t="s">
        <v>214</v>
      </c>
      <c r="D41" s="18" t="s">
        <v>94</v>
      </c>
      <c r="E41" s="19" t="s">
        <v>251</v>
      </c>
      <c r="F41" s="20">
        <v>100</v>
      </c>
      <c r="G41" s="21">
        <v>100</v>
      </c>
      <c r="H41" s="21">
        <f t="shared" si="45"/>
        <v>0</v>
      </c>
      <c r="J41" s="19"/>
      <c r="K41" s="24"/>
      <c r="L41" s="24">
        <v>42837</v>
      </c>
      <c r="M41" s="18" t="s">
        <v>31</v>
      </c>
      <c r="N41" s="19"/>
      <c r="O41" s="3">
        <v>190</v>
      </c>
      <c r="P41" s="31"/>
      <c r="Q41" s="3"/>
      <c r="R41" s="3"/>
      <c r="S41" s="27"/>
      <c r="T41" s="27"/>
      <c r="U41" s="3"/>
      <c r="V41" s="3"/>
      <c r="W41" s="3"/>
      <c r="X41" s="3">
        <f t="shared" si="47"/>
        <v>190</v>
      </c>
      <c r="Y41" s="3">
        <f t="shared" si="48"/>
        <v>190</v>
      </c>
      <c r="Z41" s="29">
        <f t="shared" si="49"/>
        <v>19000</v>
      </c>
      <c r="AA41" s="30">
        <v>42837</v>
      </c>
    </row>
    <row r="42" spans="1:27" s="22" customFormat="1" x14ac:dyDescent="0.25">
      <c r="A42" s="76"/>
      <c r="B42" s="17" t="s">
        <v>252</v>
      </c>
      <c r="C42" s="18" t="s">
        <v>214</v>
      </c>
      <c r="D42" s="18" t="s">
        <v>94</v>
      </c>
      <c r="E42" s="19" t="s">
        <v>235</v>
      </c>
      <c r="F42" s="20">
        <v>181.6</v>
      </c>
      <c r="G42" s="21">
        <v>181.6</v>
      </c>
      <c r="H42" s="21">
        <f t="shared" si="45"/>
        <v>0</v>
      </c>
      <c r="J42" s="19"/>
      <c r="K42" s="24"/>
      <c r="L42" s="24">
        <v>42837</v>
      </c>
      <c r="M42" s="18" t="s">
        <v>31</v>
      </c>
      <c r="N42" s="19"/>
      <c r="O42" s="3">
        <v>54</v>
      </c>
      <c r="P42" s="31"/>
      <c r="Q42" s="3"/>
      <c r="R42" s="3"/>
      <c r="S42" s="27"/>
      <c r="T42" s="27"/>
      <c r="U42" s="3"/>
      <c r="V42" s="3"/>
      <c r="W42" s="3"/>
      <c r="X42" s="3">
        <f t="shared" si="47"/>
        <v>54</v>
      </c>
      <c r="Y42" s="3">
        <f t="shared" si="48"/>
        <v>54</v>
      </c>
      <c r="Z42" s="29">
        <f t="shared" si="49"/>
        <v>9806.4</v>
      </c>
      <c r="AA42" s="30">
        <v>42837</v>
      </c>
    </row>
    <row r="43" spans="1:27" s="22" customFormat="1" x14ac:dyDescent="0.25">
      <c r="A43" s="76"/>
      <c r="B43" s="17" t="s">
        <v>217</v>
      </c>
      <c r="C43" s="18" t="s">
        <v>33</v>
      </c>
      <c r="D43" s="18" t="s">
        <v>77</v>
      </c>
      <c r="E43" s="19" t="s">
        <v>78</v>
      </c>
      <c r="F43" s="20">
        <v>3696.2</v>
      </c>
      <c r="G43" s="21">
        <v>3696.2</v>
      </c>
      <c r="H43" s="21">
        <f t="shared" si="45"/>
        <v>0</v>
      </c>
      <c r="I43" s="22" t="s">
        <v>253</v>
      </c>
      <c r="J43" s="19"/>
      <c r="K43" s="24"/>
      <c r="L43" s="24">
        <v>42837</v>
      </c>
      <c r="M43" s="18" t="s">
        <v>31</v>
      </c>
      <c r="N43" s="19"/>
      <c r="O43" s="3">
        <v>19.8</v>
      </c>
      <c r="P43" s="31"/>
      <c r="Q43" s="3"/>
      <c r="R43" s="3"/>
      <c r="S43" s="27"/>
      <c r="T43" s="27"/>
      <c r="U43" s="3"/>
      <c r="V43" s="3"/>
      <c r="W43" s="3"/>
      <c r="X43" s="3">
        <f t="shared" si="47"/>
        <v>19.8</v>
      </c>
      <c r="Y43" s="3">
        <f t="shared" si="48"/>
        <v>19.8</v>
      </c>
      <c r="Z43" s="29">
        <f t="shared" si="49"/>
        <v>73184.759999999995</v>
      </c>
      <c r="AA43" s="30">
        <v>42844</v>
      </c>
    </row>
    <row r="44" spans="1:27" s="22" customFormat="1" x14ac:dyDescent="0.25">
      <c r="A44" s="76"/>
      <c r="B44" s="17" t="s">
        <v>26</v>
      </c>
      <c r="C44" s="18" t="s">
        <v>33</v>
      </c>
      <c r="D44" s="18" t="s">
        <v>33</v>
      </c>
      <c r="E44" s="19" t="s">
        <v>34</v>
      </c>
      <c r="F44" s="20">
        <f>42460*0.4536</f>
        <v>19259.856</v>
      </c>
      <c r="G44" s="21">
        <v>19197.41</v>
      </c>
      <c r="H44" s="21">
        <f>G44-F44</f>
        <v>-62.445999999999913</v>
      </c>
      <c r="I44" s="22" t="s">
        <v>254</v>
      </c>
      <c r="J44" s="23" t="s">
        <v>30</v>
      </c>
      <c r="K44" s="24">
        <v>42837</v>
      </c>
      <c r="L44" s="24">
        <v>42838</v>
      </c>
      <c r="M44" s="18" t="s">
        <v>47</v>
      </c>
      <c r="N44" s="18" t="s">
        <v>255</v>
      </c>
      <c r="O44" s="3"/>
      <c r="P44" s="25">
        <f>0.567+0.105</f>
        <v>0.67199999999999993</v>
      </c>
      <c r="Q44" s="26">
        <v>23000</v>
      </c>
      <c r="R44" s="3">
        <v>9400</v>
      </c>
      <c r="S44" s="27">
        <v>18.829999999999998</v>
      </c>
      <c r="T44" s="28">
        <f>X44*F44*0.005</f>
        <v>2860.4937435493089</v>
      </c>
      <c r="V44" s="3">
        <v>0.12</v>
      </c>
      <c r="W44" s="3">
        <v>0.3</v>
      </c>
      <c r="X44" s="3">
        <f t="shared" si="47"/>
        <v>29.704206963430138</v>
      </c>
      <c r="Y44" s="3">
        <f t="shared" si="48"/>
        <v>30.153211112612205</v>
      </c>
      <c r="Z44" s="29">
        <f t="shared" si="49"/>
        <v>580746.50396651088</v>
      </c>
      <c r="AA44" s="30">
        <v>42831</v>
      </c>
    </row>
    <row r="45" spans="1:27" s="22" customFormat="1" ht="15.75" thickBot="1" x14ac:dyDescent="0.3">
      <c r="A45" s="77"/>
      <c r="B45" s="34"/>
      <c r="C45" s="6"/>
      <c r="D45" s="6"/>
      <c r="E45" s="6"/>
      <c r="F45" s="35"/>
      <c r="G45" s="35"/>
      <c r="H45" s="35"/>
      <c r="I45" s="9"/>
      <c r="J45" s="6"/>
      <c r="K45" s="10"/>
      <c r="L45" s="10"/>
      <c r="M45" s="6"/>
      <c r="N45" s="6"/>
      <c r="O45" s="11"/>
      <c r="P45" s="12"/>
      <c r="Q45" s="11"/>
      <c r="R45" s="11"/>
      <c r="S45" s="11"/>
      <c r="T45" s="11"/>
      <c r="U45" s="11"/>
      <c r="V45" s="11"/>
      <c r="W45" s="11"/>
      <c r="X45" s="11"/>
      <c r="Y45" s="11"/>
      <c r="Z45" s="15"/>
      <c r="AA45" s="36"/>
    </row>
    <row r="46" spans="1:27" s="22" customFormat="1" x14ac:dyDescent="0.25">
      <c r="A46" s="37"/>
      <c r="B46" s="38" t="s">
        <v>41</v>
      </c>
      <c r="C46" s="38" t="s">
        <v>42</v>
      </c>
      <c r="D46" s="39" t="s">
        <v>45</v>
      </c>
      <c r="E46" s="38">
        <f>230</f>
        <v>230</v>
      </c>
      <c r="F46" s="40">
        <f>26290</f>
        <v>26290</v>
      </c>
      <c r="G46" s="41">
        <f>18560</f>
        <v>18560</v>
      </c>
      <c r="H46" s="41">
        <f t="shared" ref="H46:H48" si="50">G46-F46</f>
        <v>-7730</v>
      </c>
      <c r="I46" s="39" t="s">
        <v>256</v>
      </c>
      <c r="J46" s="38">
        <v>200</v>
      </c>
      <c r="K46" s="42"/>
      <c r="L46" s="42">
        <v>42841</v>
      </c>
      <c r="M46" s="39" t="s">
        <v>57</v>
      </c>
      <c r="N46" s="38"/>
      <c r="O46" s="43">
        <v>23.5</v>
      </c>
      <c r="P46" s="44"/>
      <c r="Q46" s="45">
        <f>19800</f>
        <v>19800</v>
      </c>
      <c r="R46" s="3">
        <f t="shared" ref="R46:R48" si="51">65*E46</f>
        <v>14950</v>
      </c>
      <c r="S46" s="27">
        <f t="shared" ref="S46:S48" si="52">-40*E46</f>
        <v>-9200</v>
      </c>
      <c r="T46" s="46">
        <f>X46*F46*0.0045</f>
        <v>4108.2622346443968</v>
      </c>
      <c r="U46" s="43">
        <f>E46*5</f>
        <v>1150</v>
      </c>
      <c r="V46" s="38"/>
      <c r="W46" s="43">
        <v>0.3</v>
      </c>
      <c r="X46" s="43">
        <f>((O46*F46)+Q46+R46+S46+U46)/G46</f>
        <v>34.726023706896555</v>
      </c>
      <c r="Y46" s="3">
        <f t="shared" ref="Y46:Y48" si="53">((O46*F46)+Q46+R46+S46+T46+U46)/G46+W46</f>
        <v>35.24737404281489</v>
      </c>
      <c r="Z46" s="47">
        <f>Y46*G46</f>
        <v>654191.26223464438</v>
      </c>
      <c r="AA46" s="48">
        <v>42857</v>
      </c>
    </row>
    <row r="47" spans="1:27" s="22" customFormat="1" x14ac:dyDescent="0.25">
      <c r="A47" s="49"/>
      <c r="B47" s="17" t="s">
        <v>41</v>
      </c>
      <c r="C47" s="19" t="s">
        <v>42</v>
      </c>
      <c r="D47" s="18" t="s">
        <v>53</v>
      </c>
      <c r="E47" s="19">
        <v>100</v>
      </c>
      <c r="F47" s="20">
        <v>11530</v>
      </c>
      <c r="G47" s="21">
        <v>11230</v>
      </c>
      <c r="H47" s="21">
        <f t="shared" si="50"/>
        <v>-300</v>
      </c>
      <c r="I47" s="18" t="s">
        <v>257</v>
      </c>
      <c r="J47" s="19">
        <v>130</v>
      </c>
      <c r="K47" s="24"/>
      <c r="L47" s="24">
        <v>42841</v>
      </c>
      <c r="M47" s="18" t="s">
        <v>57</v>
      </c>
      <c r="N47" s="19"/>
      <c r="O47" s="3">
        <v>23.5</v>
      </c>
      <c r="P47" s="31"/>
      <c r="Q47" s="26">
        <v>15700</v>
      </c>
      <c r="R47" s="3">
        <f t="shared" si="51"/>
        <v>6500</v>
      </c>
      <c r="S47" s="27">
        <f t="shared" si="52"/>
        <v>-4000</v>
      </c>
      <c r="T47" s="27">
        <f>X47*F47*0.0045</f>
        <v>1338.2680031166517</v>
      </c>
      <c r="U47" s="3">
        <f>E47*5</f>
        <v>500</v>
      </c>
      <c r="V47" s="19"/>
      <c r="W47" s="3">
        <v>0.3</v>
      </c>
      <c r="X47" s="3">
        <f>((O47*F47)+Q47+R47+S47+U47)/G47</f>
        <v>25.792965271593946</v>
      </c>
      <c r="Y47" s="3">
        <f t="shared" si="53"/>
        <v>26.212134283447611</v>
      </c>
      <c r="Z47" s="29">
        <f>Y47*G47</f>
        <v>294362.26800311665</v>
      </c>
      <c r="AA47" s="30">
        <v>42857</v>
      </c>
    </row>
    <row r="48" spans="1:27" s="22" customFormat="1" x14ac:dyDescent="0.25">
      <c r="A48" s="49"/>
      <c r="B48" s="17" t="s">
        <v>41</v>
      </c>
      <c r="C48" s="19" t="s">
        <v>42</v>
      </c>
      <c r="D48" s="18" t="s">
        <v>228</v>
      </c>
      <c r="E48" s="19">
        <f>190+60</f>
        <v>250</v>
      </c>
      <c r="F48" s="20">
        <v>29520</v>
      </c>
      <c r="G48" s="21">
        <f>17860+5760</f>
        <v>23620</v>
      </c>
      <c r="H48" s="21">
        <f t="shared" si="50"/>
        <v>-5900</v>
      </c>
      <c r="I48" s="18" t="s">
        <v>258</v>
      </c>
      <c r="J48" s="19"/>
      <c r="K48" s="24"/>
      <c r="L48" s="24">
        <v>42842</v>
      </c>
      <c r="M48" s="18" t="s">
        <v>60</v>
      </c>
      <c r="N48" s="19"/>
      <c r="O48" s="3">
        <v>23.5</v>
      </c>
      <c r="P48" s="31"/>
      <c r="Q48" s="26">
        <v>19800</v>
      </c>
      <c r="R48" s="3">
        <f t="shared" si="51"/>
        <v>16250</v>
      </c>
      <c r="S48" s="27">
        <f t="shared" si="52"/>
        <v>-10000</v>
      </c>
      <c r="T48" s="27">
        <f>X48*F48*0.0045</f>
        <v>4055.0506689246399</v>
      </c>
      <c r="U48" s="3">
        <f>E48*5</f>
        <v>1250</v>
      </c>
      <c r="V48" s="19"/>
      <c r="W48" s="3">
        <v>0.3</v>
      </c>
      <c r="X48" s="3">
        <f>((O48*F48)+Q48+R48+S48+U48)/G48</f>
        <v>30.525825571549536</v>
      </c>
      <c r="Y48" s="3">
        <f t="shared" si="53"/>
        <v>30.99750426202052</v>
      </c>
      <c r="Z48" s="29">
        <f>Y48*G48</f>
        <v>732161.0506689247</v>
      </c>
      <c r="AA48" s="30">
        <v>42857</v>
      </c>
    </row>
    <row r="49" spans="1:27" s="22" customFormat="1" x14ac:dyDescent="0.25">
      <c r="A49" s="49"/>
      <c r="B49" s="17" t="s">
        <v>26</v>
      </c>
      <c r="C49" s="18" t="s">
        <v>27</v>
      </c>
      <c r="D49" s="18" t="s">
        <v>27</v>
      </c>
      <c r="E49" s="19" t="s">
        <v>34</v>
      </c>
      <c r="F49" s="20">
        <f>41142*0.4536</f>
        <v>18662.011200000001</v>
      </c>
      <c r="G49" s="21">
        <v>18638.919999999998</v>
      </c>
      <c r="H49" s="21">
        <f>G49-F49</f>
        <v>-23.091200000002573</v>
      </c>
      <c r="I49" s="22" t="s">
        <v>259</v>
      </c>
      <c r="J49" s="23" t="s">
        <v>30</v>
      </c>
      <c r="K49" s="24">
        <v>42842</v>
      </c>
      <c r="L49" s="24">
        <v>42843</v>
      </c>
      <c r="M49" s="18" t="s">
        <v>62</v>
      </c>
      <c r="N49" s="18" t="s">
        <v>260</v>
      </c>
      <c r="O49" s="3"/>
      <c r="P49" s="25">
        <f>0.5708+0.1</f>
        <v>0.67079999999999995</v>
      </c>
      <c r="Q49" s="26">
        <v>23000</v>
      </c>
      <c r="R49" s="3">
        <v>9400</v>
      </c>
      <c r="S49" s="27">
        <v>19.079999999999998</v>
      </c>
      <c r="T49" s="27">
        <f>X49*F49*0.005</f>
        <v>2806.2694886345485</v>
      </c>
      <c r="V49" s="3">
        <v>0.12</v>
      </c>
      <c r="W49" s="3">
        <v>0.3</v>
      </c>
      <c r="X49" s="3">
        <f>IF(O49&gt;0,O49,((P49*2.2046*S49)+(Q49+R49)/G49)+V49)</f>
        <v>30.074673716137823</v>
      </c>
      <c r="Y49" s="3">
        <f t="shared" ref="Y49:Y50" si="54">IF(O49&gt;0,O49,((P49*2.2046*S49)+(Q49+R49+T49)/G49)+V49+W49)</f>
        <v>30.525233377783163</v>
      </c>
      <c r="Z49" s="29">
        <f>Y49*F49</f>
        <v>569662.2471788032</v>
      </c>
      <c r="AA49" s="30">
        <v>42853</v>
      </c>
    </row>
    <row r="50" spans="1:27" s="22" customFormat="1" x14ac:dyDescent="0.25">
      <c r="A50" s="49"/>
      <c r="B50" s="17" t="s">
        <v>26</v>
      </c>
      <c r="C50" s="18" t="s">
        <v>37</v>
      </c>
      <c r="D50" s="18" t="s">
        <v>37</v>
      </c>
      <c r="E50" s="19" t="s">
        <v>28</v>
      </c>
      <c r="F50" s="20">
        <f>40995*0.4536</f>
        <v>18595.331999999999</v>
      </c>
      <c r="G50" s="21">
        <v>18562.34</v>
      </c>
      <c r="H50" s="21">
        <f>G50-F50</f>
        <v>-32.99199999999837</v>
      </c>
      <c r="I50" s="22" t="s">
        <v>261</v>
      </c>
      <c r="J50" s="23" t="s">
        <v>30</v>
      </c>
      <c r="K50" s="24">
        <v>42842</v>
      </c>
      <c r="L50" s="24">
        <v>42843</v>
      </c>
      <c r="M50" s="18" t="s">
        <v>62</v>
      </c>
      <c r="N50" s="18" t="s">
        <v>262</v>
      </c>
      <c r="O50" s="3"/>
      <c r="P50" s="25">
        <f>0.5874+0.095</f>
        <v>0.68240000000000001</v>
      </c>
      <c r="Q50" s="26">
        <v>23000</v>
      </c>
      <c r="R50" s="3">
        <v>9400</v>
      </c>
      <c r="S50" s="51">
        <v>18.742000000000001</v>
      </c>
      <c r="T50" s="27">
        <f>X50*F50*0.005</f>
        <v>2794.9984546206451</v>
      </c>
      <c r="V50" s="3">
        <v>0.12</v>
      </c>
      <c r="W50" s="3">
        <v>0.3</v>
      </c>
      <c r="X50" s="3">
        <f t="shared" ref="X50" si="55">IF(O50&gt;0,O50,((P50*2.2046*S50)+(Q50+R50)/G50)+V50)</f>
        <v>30.061291238259638</v>
      </c>
      <c r="Y50" s="3">
        <f t="shared" si="54"/>
        <v>30.51186484345277</v>
      </c>
      <c r="Z50" s="29">
        <f t="shared" ref="Z50" si="56">Y50*F50</f>
        <v>567378.25670313218</v>
      </c>
      <c r="AA50" s="30">
        <v>42836</v>
      </c>
    </row>
    <row r="51" spans="1:27" s="22" customFormat="1" x14ac:dyDescent="0.25">
      <c r="A51" s="49"/>
      <c r="B51" s="17" t="s">
        <v>41</v>
      </c>
      <c r="C51" s="19" t="s">
        <v>42</v>
      </c>
      <c r="D51" s="18" t="s">
        <v>45</v>
      </c>
      <c r="E51" s="19">
        <v>250</v>
      </c>
      <c r="F51" s="20">
        <v>28040</v>
      </c>
      <c r="G51" s="21">
        <f>9060+13580</f>
        <v>22640</v>
      </c>
      <c r="H51" s="21">
        <f>G51-F51</f>
        <v>-5400</v>
      </c>
      <c r="I51" s="22" t="s">
        <v>263</v>
      </c>
      <c r="J51" s="19"/>
      <c r="K51" s="24"/>
      <c r="L51" s="24">
        <v>42843</v>
      </c>
      <c r="M51" s="18" t="s">
        <v>62</v>
      </c>
      <c r="N51" s="19"/>
      <c r="O51" s="3">
        <v>23.5</v>
      </c>
      <c r="P51" s="31"/>
      <c r="Q51" s="33">
        <v>19800</v>
      </c>
      <c r="R51" s="3">
        <f>65*E51</f>
        <v>16250</v>
      </c>
      <c r="S51" s="27">
        <f t="shared" ref="S51" si="57">-40*E51</f>
        <v>-10000</v>
      </c>
      <c r="T51" s="27">
        <f t="shared" ref="T51" si="58">X51*F51*0.005</f>
        <v>4249.5957597173146</v>
      </c>
      <c r="U51" s="3">
        <f>E51*5</f>
        <v>1250</v>
      </c>
      <c r="V51" s="19"/>
      <c r="W51" s="3">
        <v>0.3</v>
      </c>
      <c r="X51" s="3">
        <f>((O51*F51)+Q51+R51+S51+U51)/G51</f>
        <v>30.310954063604239</v>
      </c>
      <c r="Y51" s="3">
        <f>((O51*F51)+Q51+R51+S51+T51+U51)/G51+W51</f>
        <v>30.798657056524615</v>
      </c>
      <c r="Z51" s="29">
        <f>Y51*G51</f>
        <v>697281.59575971728</v>
      </c>
      <c r="AA51" s="30">
        <v>42827</v>
      </c>
    </row>
    <row r="52" spans="1:27" s="22" customFormat="1" x14ac:dyDescent="0.25">
      <c r="A52" s="49"/>
      <c r="B52" s="17" t="s">
        <v>26</v>
      </c>
      <c r="C52" s="18" t="s">
        <v>37</v>
      </c>
      <c r="D52" s="18" t="s">
        <v>37</v>
      </c>
      <c r="E52" s="19" t="s">
        <v>28</v>
      </c>
      <c r="F52" s="20">
        <f>42076*0.4536</f>
        <v>19085.673600000002</v>
      </c>
      <c r="G52" s="21">
        <v>19043.189999999999</v>
      </c>
      <c r="H52" s="21">
        <f>G52-F52</f>
        <v>-42.483600000003207</v>
      </c>
      <c r="I52" s="22" t="s">
        <v>264</v>
      </c>
      <c r="J52" s="23" t="s">
        <v>39</v>
      </c>
      <c r="K52" s="24">
        <v>42843</v>
      </c>
      <c r="L52" s="24">
        <v>42844</v>
      </c>
      <c r="M52" s="18" t="s">
        <v>31</v>
      </c>
      <c r="N52" s="18" t="s">
        <v>265</v>
      </c>
      <c r="O52" s="3"/>
      <c r="P52" s="25">
        <f>0.5708+0.095</f>
        <v>0.66579999999999995</v>
      </c>
      <c r="Q52" s="26">
        <v>23000</v>
      </c>
      <c r="R52" s="3">
        <v>9400</v>
      </c>
      <c r="S52" s="51">
        <v>18.773</v>
      </c>
      <c r="T52" s="27">
        <f>X52*F52*0.005</f>
        <v>2803.3830191735806</v>
      </c>
      <c r="V52" s="3">
        <v>0.12</v>
      </c>
      <c r="W52" s="3">
        <v>0.3</v>
      </c>
      <c r="X52" s="3">
        <f t="shared" ref="X52:X53" si="59">IF(O52&gt;0,O52,((P52*2.2046*S52)+(Q52+R52)/G52)+V52)</f>
        <v>29.376830788655848</v>
      </c>
      <c r="Y52" s="3">
        <f t="shared" ref="Y52:Y53" si="60">IF(O52&gt;0,O52,((P52*2.2046*S52)+(Q52+R52+T52)/G52)+V52+W52)</f>
        <v>29.824042627595311</v>
      </c>
      <c r="Z52" s="29">
        <f t="shared" ref="Z52:Z53" si="61">Y52*F52</f>
        <v>569211.94302277057</v>
      </c>
      <c r="AA52" s="30">
        <v>42837</v>
      </c>
    </row>
    <row r="53" spans="1:27" s="22" customFormat="1" x14ac:dyDescent="0.25">
      <c r="A53" s="49"/>
      <c r="B53" s="17" t="s">
        <v>26</v>
      </c>
      <c r="C53" s="18" t="s">
        <v>33</v>
      </c>
      <c r="D53" s="18" t="s">
        <v>33</v>
      </c>
      <c r="E53" s="19" t="s">
        <v>34</v>
      </c>
      <c r="F53" s="20">
        <f>42677*0.4536</f>
        <v>19358.287199999999</v>
      </c>
      <c r="G53" s="21">
        <v>19264.169999999998</v>
      </c>
      <c r="H53" s="21">
        <f>G53-F53</f>
        <v>-94.117200000000594</v>
      </c>
      <c r="I53" s="22" t="s">
        <v>266</v>
      </c>
      <c r="J53" s="23" t="s">
        <v>30</v>
      </c>
      <c r="K53" s="24">
        <v>42844</v>
      </c>
      <c r="L53" s="24">
        <v>42845</v>
      </c>
      <c r="M53" s="18" t="s">
        <v>47</v>
      </c>
      <c r="N53" s="18" t="s">
        <v>187</v>
      </c>
      <c r="O53" s="3"/>
      <c r="P53" s="25">
        <f>0.5983+0.105</f>
        <v>0.70330000000000004</v>
      </c>
      <c r="Q53" s="26">
        <v>23000</v>
      </c>
      <c r="R53" s="3">
        <v>9400</v>
      </c>
      <c r="S53" s="51">
        <v>18.773</v>
      </c>
      <c r="T53" s="27">
        <f>X53*F53*0.005</f>
        <v>2991.7579389594971</v>
      </c>
      <c r="V53" s="3">
        <v>0.12</v>
      </c>
      <c r="W53" s="3">
        <v>0.3</v>
      </c>
      <c r="X53" s="3">
        <f t="shared" si="59"/>
        <v>30.909324859685906</v>
      </c>
      <c r="Y53" s="3">
        <f t="shared" si="60"/>
        <v>31.36462653834424</v>
      </c>
      <c r="Z53" s="29">
        <f t="shared" si="61"/>
        <v>607165.44845000957</v>
      </c>
      <c r="AA53" s="30">
        <v>42837</v>
      </c>
    </row>
    <row r="54" spans="1:27" s="22" customFormat="1" x14ac:dyDescent="0.25">
      <c r="A54" s="49"/>
      <c r="B54" s="17" t="s">
        <v>41</v>
      </c>
      <c r="C54" s="19" t="s">
        <v>42</v>
      </c>
      <c r="D54" s="18" t="s">
        <v>228</v>
      </c>
      <c r="E54" s="19">
        <v>250</v>
      </c>
      <c r="F54" s="20">
        <f>28810-805</f>
        <v>28005</v>
      </c>
      <c r="G54" s="21">
        <v>22340</v>
      </c>
      <c r="H54" s="21">
        <f t="shared" ref="H54" si="62">G54-F54</f>
        <v>-5665</v>
      </c>
      <c r="I54" s="22" t="s">
        <v>267</v>
      </c>
      <c r="J54" s="65">
        <v>243</v>
      </c>
      <c r="K54" s="24"/>
      <c r="L54" s="24">
        <v>42845</v>
      </c>
      <c r="M54" s="18" t="s">
        <v>47</v>
      </c>
      <c r="N54" s="19"/>
      <c r="O54" s="3">
        <v>23</v>
      </c>
      <c r="P54" s="31"/>
      <c r="Q54" s="33">
        <v>19800</v>
      </c>
      <c r="R54" s="3">
        <f t="shared" ref="R54" si="63">65*E54</f>
        <v>16250</v>
      </c>
      <c r="S54" s="27">
        <f t="shared" ref="S54" si="64">-40*E54</f>
        <v>-10000</v>
      </c>
      <c r="T54" s="27">
        <f t="shared" ref="T54" si="65">X54*F54*0.0045</f>
        <v>3787.5289542300802</v>
      </c>
      <c r="U54" s="3">
        <f t="shared" ref="U54" si="66">E54*5</f>
        <v>1250</v>
      </c>
      <c r="V54" s="19"/>
      <c r="W54" s="3">
        <v>0.3</v>
      </c>
      <c r="X54" s="3">
        <f t="shared" ref="X54" si="67">((O54*F54)+Q54+R54+S54+U54)/G54</f>
        <v>30.054386750223813</v>
      </c>
      <c r="Y54" s="3">
        <f t="shared" ref="Y54" si="68">((O54*F54)+Q54+R54+S54+T54+U54)/G54+W54</f>
        <v>30.523926989893919</v>
      </c>
      <c r="Z54" s="29">
        <f t="shared" ref="Z54" si="69">Y54*G54</f>
        <v>681904.52895423013</v>
      </c>
      <c r="AA54" s="30">
        <v>42858</v>
      </c>
    </row>
    <row r="55" spans="1:27" s="22" customFormat="1" x14ac:dyDescent="0.25">
      <c r="A55" s="49"/>
      <c r="B55" s="17" t="s">
        <v>26</v>
      </c>
      <c r="C55" s="18" t="s">
        <v>27</v>
      </c>
      <c r="D55" s="18" t="s">
        <v>27</v>
      </c>
      <c r="E55" s="19" t="s">
        <v>268</v>
      </c>
      <c r="F55" s="20">
        <f>41154*0.4536</f>
        <v>18667.454399999999</v>
      </c>
      <c r="G55" s="21">
        <v>18622.919999999998</v>
      </c>
      <c r="H55" s="21">
        <f>G55-F55</f>
        <v>-44.53440000000046</v>
      </c>
      <c r="I55" s="22" t="s">
        <v>269</v>
      </c>
      <c r="J55" s="23" t="s">
        <v>30</v>
      </c>
      <c r="K55" s="24">
        <v>42845</v>
      </c>
      <c r="L55" s="24">
        <v>42846</v>
      </c>
      <c r="M55" s="18" t="s">
        <v>49</v>
      </c>
      <c r="N55" s="18" t="s">
        <v>270</v>
      </c>
      <c r="O55" s="3"/>
      <c r="P55" s="25">
        <f>0.5983+0.1</f>
        <v>0.69830000000000003</v>
      </c>
      <c r="Q55" s="26">
        <v>23000</v>
      </c>
      <c r="R55" s="3">
        <v>10540</v>
      </c>
      <c r="S55" s="51">
        <v>19.015000000000001</v>
      </c>
      <c r="T55" s="27">
        <f>X55*F55*0.005</f>
        <v>2911.5693967845223</v>
      </c>
      <c r="V55" s="3">
        <v>0.12</v>
      </c>
      <c r="W55" s="3">
        <v>0.3</v>
      </c>
      <c r="X55" s="3">
        <f t="shared" ref="X55:X56" si="70">IF(O55&gt;0,O55,((P55*2.2046*S55)+(Q55+R55)/G55)+V55)</f>
        <v>31.194070004365695</v>
      </c>
      <c r="Y55" s="3">
        <f t="shared" ref="Y55:Y56" si="71">IF(O55&gt;0,O55,((P55*2.2046*S55)+(Q55+R55+T55)/G55)+V55+W55)</f>
        <v>31.650413338106297</v>
      </c>
      <c r="Z55" s="29">
        <f t="shared" ref="Z55:Z56" si="72">Y55*F55</f>
        <v>590832.64773025108</v>
      </c>
      <c r="AA55" s="30">
        <v>42857</v>
      </c>
    </row>
    <row r="56" spans="1:27" s="22" customFormat="1" x14ac:dyDescent="0.25">
      <c r="A56" s="49"/>
      <c r="B56" s="17" t="s">
        <v>26</v>
      </c>
      <c r="C56" s="18" t="s">
        <v>37</v>
      </c>
      <c r="D56" s="18" t="s">
        <v>37</v>
      </c>
      <c r="E56" s="19" t="s">
        <v>28</v>
      </c>
      <c r="F56" s="20">
        <f>41778*0.4536</f>
        <v>18950.500800000002</v>
      </c>
      <c r="G56" s="21">
        <v>18891.02</v>
      </c>
      <c r="H56" s="21">
        <f>G56-F56</f>
        <v>-59.480800000001182</v>
      </c>
      <c r="I56" s="22" t="s">
        <v>271</v>
      </c>
      <c r="J56" s="23" t="s">
        <v>30</v>
      </c>
      <c r="K56" s="24">
        <v>42845</v>
      </c>
      <c r="L56" s="24">
        <v>42846</v>
      </c>
      <c r="M56" s="18" t="s">
        <v>49</v>
      </c>
      <c r="N56" s="18" t="s">
        <v>272</v>
      </c>
      <c r="O56" s="3"/>
      <c r="P56" s="25">
        <f>0.582+0.095</f>
        <v>0.67699999999999994</v>
      </c>
      <c r="Q56" s="26">
        <v>23000</v>
      </c>
      <c r="R56" s="3">
        <v>9400</v>
      </c>
      <c r="S56" s="51">
        <v>18.773</v>
      </c>
      <c r="T56" s="27">
        <f>X56*F56*0.005</f>
        <v>2828.7478577694069</v>
      </c>
      <c r="V56" s="3">
        <v>0.12</v>
      </c>
      <c r="W56" s="3">
        <v>0.3</v>
      </c>
      <c r="X56" s="3">
        <f t="shared" si="70"/>
        <v>29.854069690542499</v>
      </c>
      <c r="Y56" s="3">
        <f t="shared" si="71"/>
        <v>30.303810035837216</v>
      </c>
      <c r="Z56" s="29">
        <f t="shared" si="72"/>
        <v>574272.37632718123</v>
      </c>
      <c r="AA56" s="30">
        <v>42837</v>
      </c>
    </row>
    <row r="57" spans="1:27" s="22" customFormat="1" x14ac:dyDescent="0.25">
      <c r="A57" s="49"/>
      <c r="B57" s="17" t="s">
        <v>41</v>
      </c>
      <c r="C57" s="19" t="s">
        <v>42</v>
      </c>
      <c r="D57" s="18" t="s">
        <v>43</v>
      </c>
      <c r="E57" s="19">
        <f>200</f>
        <v>200</v>
      </c>
      <c r="F57" s="20">
        <f>21840</f>
        <v>21840</v>
      </c>
      <c r="G57" s="21">
        <f>17480</f>
        <v>17480</v>
      </c>
      <c r="H57" s="21">
        <f t="shared" ref="H57:H62" si="73">G57-F57</f>
        <v>-4360</v>
      </c>
      <c r="I57" s="22" t="s">
        <v>273</v>
      </c>
      <c r="J57" s="19">
        <v>200</v>
      </c>
      <c r="K57" s="24"/>
      <c r="L57" s="24">
        <v>42846</v>
      </c>
      <c r="M57" s="18" t="s">
        <v>49</v>
      </c>
      <c r="N57" s="19"/>
      <c r="O57" s="3">
        <v>23</v>
      </c>
      <c r="P57" s="31"/>
      <c r="Q57" s="26">
        <f>19800</f>
        <v>19800</v>
      </c>
      <c r="R57" s="3">
        <f t="shared" ref="R57:R58" si="74">65*E57</f>
        <v>13000</v>
      </c>
      <c r="S57" s="27">
        <f t="shared" ref="S57:S58" si="75">-40*E57</f>
        <v>-8000</v>
      </c>
      <c r="T57" s="27">
        <f>X57*F57*0.0045</f>
        <v>2969.3154233409609</v>
      </c>
      <c r="U57" s="3">
        <f>E57*5</f>
        <v>1000</v>
      </c>
      <c r="V57" s="19"/>
      <c r="W57" s="3">
        <v>0.3</v>
      </c>
      <c r="X57" s="3">
        <f>((O57*F57)+Q57+R57+S57+U57)/G57</f>
        <v>30.212814645308924</v>
      </c>
      <c r="Y57" s="3">
        <f t="shared" ref="Y57:Y58" si="76">((O57*F57)+Q57+R57+S57+T57+U57)/G57+W57</f>
        <v>30.682683948703719</v>
      </c>
      <c r="Z57" s="29">
        <f t="shared" ref="Z57:Z58" si="77">Y57*G57</f>
        <v>536333.315423341</v>
      </c>
      <c r="AA57" s="30">
        <v>42859</v>
      </c>
    </row>
    <row r="58" spans="1:27" s="22" customFormat="1" x14ac:dyDescent="0.25">
      <c r="A58" s="49"/>
      <c r="B58" s="17" t="s">
        <v>41</v>
      </c>
      <c r="C58" s="19" t="s">
        <v>42</v>
      </c>
      <c r="D58" s="18" t="s">
        <v>43</v>
      </c>
      <c r="E58" s="19">
        <v>130</v>
      </c>
      <c r="F58" s="20">
        <f>15775-1000</f>
        <v>14775</v>
      </c>
      <c r="G58" s="21">
        <v>11670</v>
      </c>
      <c r="H58" s="21">
        <f>G58-F58</f>
        <v>-3105</v>
      </c>
      <c r="I58" s="18" t="s">
        <v>274</v>
      </c>
      <c r="J58" s="65">
        <v>129</v>
      </c>
      <c r="K58" s="24"/>
      <c r="L58" s="24">
        <v>42846</v>
      </c>
      <c r="M58" s="18" t="s">
        <v>49</v>
      </c>
      <c r="N58" s="19"/>
      <c r="O58" s="3">
        <v>23</v>
      </c>
      <c r="P58" s="31"/>
      <c r="Q58" s="26">
        <v>15700</v>
      </c>
      <c r="R58" s="3">
        <f t="shared" si="74"/>
        <v>8450</v>
      </c>
      <c r="S58" s="27">
        <f t="shared" si="75"/>
        <v>-5200</v>
      </c>
      <c r="T58" s="27">
        <f>X58*F58*0.0045</f>
        <v>2047.7523296915163</v>
      </c>
      <c r="U58" s="3">
        <f>E58*5</f>
        <v>650</v>
      </c>
      <c r="V58" s="19"/>
      <c r="W58" s="3">
        <v>0.2</v>
      </c>
      <c r="X58" s="3">
        <f>((O58*F58)+Q58+R58+S58+U58)/G58</f>
        <v>30.799057412167951</v>
      </c>
      <c r="Y58" s="3">
        <f t="shared" si="76"/>
        <v>31.17452890571478</v>
      </c>
      <c r="Z58" s="29">
        <f t="shared" si="77"/>
        <v>363806.75232969149</v>
      </c>
      <c r="AA58" s="30">
        <v>42859</v>
      </c>
    </row>
    <row r="59" spans="1:27" s="22" customFormat="1" x14ac:dyDescent="0.25">
      <c r="A59" s="49"/>
      <c r="B59" s="17" t="s">
        <v>92</v>
      </c>
      <c r="C59" s="19" t="s">
        <v>93</v>
      </c>
      <c r="D59" s="18" t="s">
        <v>94</v>
      </c>
      <c r="E59" s="19" t="s">
        <v>95</v>
      </c>
      <c r="F59" s="20">
        <v>1000</v>
      </c>
      <c r="G59" s="21">
        <v>1000</v>
      </c>
      <c r="H59" s="21">
        <f t="shared" ref="H59:H60" si="78">G59-F59</f>
        <v>0</v>
      </c>
      <c r="I59" s="18" t="s">
        <v>275</v>
      </c>
      <c r="J59" s="19"/>
      <c r="K59" s="24"/>
      <c r="L59" s="24">
        <v>42846</v>
      </c>
      <c r="M59" s="18" t="s">
        <v>49</v>
      </c>
      <c r="N59" s="19"/>
      <c r="O59" s="3">
        <v>39</v>
      </c>
      <c r="P59" s="31"/>
      <c r="Q59" s="3"/>
      <c r="R59" s="3"/>
      <c r="S59" s="27"/>
      <c r="T59" s="27"/>
      <c r="U59" s="3"/>
      <c r="V59" s="3"/>
      <c r="W59" s="3"/>
      <c r="X59" s="3">
        <f t="shared" ref="X59:X62" si="79">IF(O59&gt;0,O59,((P59*2.2046*S59)+(Q59+R59)/G59)+V59)</f>
        <v>39</v>
      </c>
      <c r="Y59" s="3">
        <f t="shared" ref="Y59:Y62" si="80">IF(O59&gt;0,O59,((P59*2.2046*S59)+(Q59+R59+T59)/G59)+V59+W59)</f>
        <v>39</v>
      </c>
      <c r="Z59" s="29">
        <f t="shared" ref="Z59:Z62" si="81">Y59*F59</f>
        <v>39000</v>
      </c>
      <c r="AA59" s="30">
        <v>42846</v>
      </c>
    </row>
    <row r="60" spans="1:27" s="22" customFormat="1" x14ac:dyDescent="0.25">
      <c r="A60" s="49"/>
      <c r="B60" s="17" t="s">
        <v>276</v>
      </c>
      <c r="C60" s="78" t="s">
        <v>277</v>
      </c>
      <c r="D60" s="18" t="s">
        <v>94</v>
      </c>
      <c r="E60" s="19" t="s">
        <v>278</v>
      </c>
      <c r="F60" s="20">
        <v>1003.34</v>
      </c>
      <c r="G60" s="21">
        <v>1003.34</v>
      </c>
      <c r="H60" s="21">
        <f t="shared" si="78"/>
        <v>0</v>
      </c>
      <c r="I60" s="18" t="s">
        <v>275</v>
      </c>
      <c r="J60" s="19"/>
      <c r="K60" s="24"/>
      <c r="L60" s="24">
        <v>42846</v>
      </c>
      <c r="M60" s="18" t="s">
        <v>49</v>
      </c>
      <c r="N60" s="19"/>
      <c r="O60" s="3">
        <v>52</v>
      </c>
      <c r="P60" s="31"/>
      <c r="Q60" s="3"/>
      <c r="R60" s="3"/>
      <c r="S60" s="27"/>
      <c r="T60" s="27"/>
      <c r="U60" s="3"/>
      <c r="V60" s="3"/>
      <c r="W60" s="3"/>
      <c r="X60" s="3">
        <f t="shared" si="79"/>
        <v>52</v>
      </c>
      <c r="Y60" s="3">
        <f t="shared" si="80"/>
        <v>52</v>
      </c>
      <c r="Z60" s="29">
        <f t="shared" si="81"/>
        <v>52173.68</v>
      </c>
      <c r="AA60" s="30">
        <v>42846</v>
      </c>
    </row>
    <row r="61" spans="1:27" s="22" customFormat="1" x14ac:dyDescent="0.25">
      <c r="A61" s="49"/>
      <c r="B61" s="17" t="s">
        <v>26</v>
      </c>
      <c r="C61" s="18" t="s">
        <v>33</v>
      </c>
      <c r="D61" s="18" t="s">
        <v>33</v>
      </c>
      <c r="E61" s="19" t="s">
        <v>34</v>
      </c>
      <c r="F61" s="20">
        <f>42852*0.4536</f>
        <v>19437.6672</v>
      </c>
      <c r="G61" s="21">
        <v>19408.38</v>
      </c>
      <c r="H61" s="21">
        <f t="shared" si="73"/>
        <v>-29.287199999998847</v>
      </c>
      <c r="I61" s="22" t="s">
        <v>279</v>
      </c>
      <c r="J61" s="23" t="s">
        <v>30</v>
      </c>
      <c r="K61" s="24">
        <v>42846</v>
      </c>
      <c r="L61" s="24">
        <v>42847</v>
      </c>
      <c r="M61" s="18" t="s">
        <v>98</v>
      </c>
      <c r="N61" s="18" t="s">
        <v>280</v>
      </c>
      <c r="O61" s="3"/>
      <c r="P61" s="25">
        <f>0.5957+0.105</f>
        <v>0.70069999999999999</v>
      </c>
      <c r="Q61" s="26">
        <v>23000</v>
      </c>
      <c r="R61" s="3">
        <v>9400</v>
      </c>
      <c r="S61" s="27">
        <v>18.579999999999998</v>
      </c>
      <c r="T61" s="27">
        <f t="shared" ref="T61" si="82">X61*F61*0.005</f>
        <v>2963.377582307483</v>
      </c>
      <c r="V61" s="3">
        <v>0.12</v>
      </c>
      <c r="W61" s="3">
        <v>0.3</v>
      </c>
      <c r="X61" s="3">
        <f t="shared" si="79"/>
        <v>30.49108261620492</v>
      </c>
      <c r="Y61" s="3">
        <f t="shared" si="80"/>
        <v>30.943768084147504</v>
      </c>
      <c r="Z61" s="29">
        <f t="shared" si="81"/>
        <v>601474.66593364079</v>
      </c>
      <c r="AA61" s="30">
        <v>42842</v>
      </c>
    </row>
    <row r="62" spans="1:27" s="73" customFormat="1" x14ac:dyDescent="0.25">
      <c r="A62" s="49"/>
      <c r="B62" s="17" t="s">
        <v>76</v>
      </c>
      <c r="C62" s="18" t="s">
        <v>33</v>
      </c>
      <c r="D62" s="18" t="s">
        <v>77</v>
      </c>
      <c r="E62" s="19" t="s">
        <v>218</v>
      </c>
      <c r="F62" s="20">
        <v>2756</v>
      </c>
      <c r="G62" s="21">
        <v>2756</v>
      </c>
      <c r="H62" s="21">
        <f t="shared" si="73"/>
        <v>0</v>
      </c>
      <c r="I62" s="18" t="s">
        <v>281</v>
      </c>
      <c r="J62" s="19"/>
      <c r="K62" s="24"/>
      <c r="L62" s="24">
        <v>42847</v>
      </c>
      <c r="M62" s="18" t="s">
        <v>98</v>
      </c>
      <c r="N62" s="18"/>
      <c r="O62" s="3">
        <v>19.8</v>
      </c>
      <c r="P62" s="25"/>
      <c r="Q62" s="3"/>
      <c r="R62" s="3"/>
      <c r="S62" s="27"/>
      <c r="T62" s="27"/>
      <c r="V62" s="3"/>
      <c r="W62" s="3"/>
      <c r="X62" s="3">
        <f t="shared" si="79"/>
        <v>19.8</v>
      </c>
      <c r="Y62" s="3">
        <f t="shared" si="80"/>
        <v>19.8</v>
      </c>
      <c r="Z62" s="29">
        <f t="shared" si="81"/>
        <v>54568.800000000003</v>
      </c>
      <c r="AA62" s="30">
        <v>42853</v>
      </c>
    </row>
    <row r="63" spans="1:27" s="22" customFormat="1" ht="15.75" thickBot="1" x14ac:dyDescent="0.3">
      <c r="A63" s="79"/>
      <c r="B63" s="34"/>
      <c r="C63" s="6"/>
      <c r="D63" s="6"/>
      <c r="E63" s="6"/>
      <c r="F63" s="35"/>
      <c r="G63" s="35"/>
      <c r="H63" s="35"/>
      <c r="I63" s="9"/>
      <c r="J63" s="6"/>
      <c r="K63" s="10"/>
      <c r="L63" s="10"/>
      <c r="M63" s="6"/>
      <c r="N63" s="6"/>
      <c r="O63" s="11"/>
      <c r="P63" s="12"/>
      <c r="Q63" s="11"/>
      <c r="R63" s="11"/>
      <c r="S63" s="11"/>
      <c r="T63" s="11"/>
      <c r="U63" s="11"/>
      <c r="V63" s="11"/>
      <c r="W63" s="11"/>
      <c r="X63" s="11"/>
      <c r="Y63" s="11"/>
      <c r="Z63" s="15"/>
      <c r="AA63" s="36"/>
    </row>
    <row r="64" spans="1:27" s="22" customFormat="1" x14ac:dyDescent="0.25">
      <c r="A64" s="80"/>
      <c r="B64" s="38" t="s">
        <v>41</v>
      </c>
      <c r="C64" s="38" t="s">
        <v>42</v>
      </c>
      <c r="D64" s="39" t="s">
        <v>43</v>
      </c>
      <c r="E64" s="38">
        <v>200</v>
      </c>
      <c r="F64" s="40">
        <v>23310</v>
      </c>
      <c r="G64" s="41">
        <v>18550</v>
      </c>
      <c r="H64" s="41">
        <f t="shared" ref="H64:H66" si="83">G64-F64</f>
        <v>-4760</v>
      </c>
      <c r="I64" s="39" t="s">
        <v>282</v>
      </c>
      <c r="J64" s="38"/>
      <c r="K64" s="42"/>
      <c r="L64" s="42">
        <v>42848</v>
      </c>
      <c r="M64" s="39" t="s">
        <v>57</v>
      </c>
      <c r="N64" s="38"/>
      <c r="O64" s="43">
        <v>23</v>
      </c>
      <c r="P64" s="44"/>
      <c r="Q64" s="45">
        <v>19800</v>
      </c>
      <c r="R64" s="3">
        <f t="shared" ref="R64:R66" si="84">65*E64</f>
        <v>13000</v>
      </c>
      <c r="S64" s="27">
        <f t="shared" ref="S64:S66" si="85">-40*E64</f>
        <v>-8000</v>
      </c>
      <c r="T64" s="46">
        <f>X64*F64*0.0045</f>
        <v>3177.555113207547</v>
      </c>
      <c r="U64" s="43">
        <f>E64*5</f>
        <v>1000</v>
      </c>
      <c r="V64" s="38"/>
      <c r="W64" s="43">
        <v>0.3</v>
      </c>
      <c r="X64" s="43">
        <f>((O64*F64)+Q64+R64+S64+U64)/G64</f>
        <v>30.292722371967656</v>
      </c>
      <c r="Y64" s="3">
        <f t="shared" ref="Y64:Y66" si="86">((O64*F64)+Q64+R64+S64+T64+U64)/G64+W64</f>
        <v>30.76401914356914</v>
      </c>
      <c r="Z64" s="47">
        <f>Y64*G64</f>
        <v>570672.55511320755</v>
      </c>
      <c r="AA64" s="48">
        <v>42863</v>
      </c>
    </row>
    <row r="65" spans="1:27" s="22" customFormat="1" x14ac:dyDescent="0.25">
      <c r="A65" s="81"/>
      <c r="B65" s="17" t="s">
        <v>41</v>
      </c>
      <c r="C65" s="19" t="s">
        <v>42</v>
      </c>
      <c r="D65" s="18" t="s">
        <v>51</v>
      </c>
      <c r="E65" s="19">
        <v>131</v>
      </c>
      <c r="F65" s="20">
        <v>14780</v>
      </c>
      <c r="G65" s="21">
        <v>12190</v>
      </c>
      <c r="H65" s="21">
        <f t="shared" si="83"/>
        <v>-2590</v>
      </c>
      <c r="I65" s="18" t="s">
        <v>283</v>
      </c>
      <c r="J65" s="19"/>
      <c r="K65" s="24"/>
      <c r="L65" s="24">
        <v>42848</v>
      </c>
      <c r="M65" s="18" t="s">
        <v>57</v>
      </c>
      <c r="N65" s="19"/>
      <c r="O65" s="3">
        <v>23</v>
      </c>
      <c r="P65" s="31"/>
      <c r="Q65" s="26">
        <v>15700</v>
      </c>
      <c r="R65" s="3">
        <f t="shared" si="84"/>
        <v>8515</v>
      </c>
      <c r="S65" s="27">
        <f t="shared" si="85"/>
        <v>-5240</v>
      </c>
      <c r="T65" s="27">
        <f>X65*F65*0.0045</f>
        <v>1961.8540360951597</v>
      </c>
      <c r="U65" s="3">
        <f>E65*5</f>
        <v>655</v>
      </c>
      <c r="V65" s="19"/>
      <c r="W65" s="3">
        <v>0.3</v>
      </c>
      <c r="X65" s="3">
        <f>((O65*F65)+Q65+R65+S65+U65)/G65</f>
        <v>29.49712879409352</v>
      </c>
      <c r="Y65" s="3">
        <f t="shared" si="86"/>
        <v>29.958068419696076</v>
      </c>
      <c r="Z65" s="29">
        <f>Y65*G65</f>
        <v>365188.85403609514</v>
      </c>
      <c r="AA65" s="30">
        <v>42863</v>
      </c>
    </row>
    <row r="66" spans="1:27" s="22" customFormat="1" x14ac:dyDescent="0.25">
      <c r="A66" s="81"/>
      <c r="B66" s="17" t="s">
        <v>41</v>
      </c>
      <c r="C66" s="19" t="s">
        <v>42</v>
      </c>
      <c r="D66" s="18" t="s">
        <v>58</v>
      </c>
      <c r="E66" s="19">
        <f>80+171</f>
        <v>251</v>
      </c>
      <c r="F66" s="20">
        <v>27655</v>
      </c>
      <c r="G66" s="21">
        <f>7010+14740</f>
        <v>21750</v>
      </c>
      <c r="H66" s="21">
        <f t="shared" si="83"/>
        <v>-5905</v>
      </c>
      <c r="I66" s="18" t="s">
        <v>284</v>
      </c>
      <c r="J66" s="19"/>
      <c r="K66" s="24"/>
      <c r="L66" s="24">
        <v>42849</v>
      </c>
      <c r="M66" s="18" t="s">
        <v>60</v>
      </c>
      <c r="N66" s="19"/>
      <c r="O66" s="3">
        <v>23</v>
      </c>
      <c r="P66" s="31"/>
      <c r="Q66" s="26">
        <v>19800</v>
      </c>
      <c r="R66" s="3">
        <f t="shared" si="84"/>
        <v>16315</v>
      </c>
      <c r="S66" s="27">
        <f t="shared" si="85"/>
        <v>-10040</v>
      </c>
      <c r="T66" s="27">
        <f>X66*F66*0.0045</f>
        <v>3795.7631844827579</v>
      </c>
      <c r="U66" s="3">
        <f>E66*5</f>
        <v>1255</v>
      </c>
      <c r="V66" s="19"/>
      <c r="W66" s="3">
        <v>0.3</v>
      </c>
      <c r="X66" s="3">
        <f>((O66*F66)+Q66+R66+S66+U66)/G66</f>
        <v>30.500919540229884</v>
      </c>
      <c r="Y66" s="3">
        <f t="shared" si="86"/>
        <v>30.975437387792315</v>
      </c>
      <c r="Z66" s="29">
        <f>Y66*G66</f>
        <v>673715.76318448281</v>
      </c>
      <c r="AA66" s="30">
        <v>42863</v>
      </c>
    </row>
    <row r="67" spans="1:27" s="22" customFormat="1" x14ac:dyDescent="0.25">
      <c r="A67" s="81"/>
      <c r="B67" s="17" t="s">
        <v>26</v>
      </c>
      <c r="C67" s="18" t="s">
        <v>27</v>
      </c>
      <c r="D67" s="18" t="s">
        <v>27</v>
      </c>
      <c r="E67" s="19" t="s">
        <v>34</v>
      </c>
      <c r="F67" s="20">
        <f>41252*0.4536</f>
        <v>18711.907200000001</v>
      </c>
      <c r="G67" s="21">
        <v>18733.37</v>
      </c>
      <c r="H67" s="21">
        <f>G67-F67</f>
        <v>21.462799999997515</v>
      </c>
      <c r="I67" s="22" t="s">
        <v>285</v>
      </c>
      <c r="J67" s="23" t="s">
        <v>30</v>
      </c>
      <c r="K67" s="24">
        <v>42849</v>
      </c>
      <c r="L67" s="24">
        <v>42850</v>
      </c>
      <c r="M67" s="18" t="s">
        <v>62</v>
      </c>
      <c r="N67" s="18" t="s">
        <v>286</v>
      </c>
      <c r="O67" s="3"/>
      <c r="P67" s="25">
        <f>0.6193+0.1</f>
        <v>0.71929999999999994</v>
      </c>
      <c r="Q67" s="26">
        <v>23000</v>
      </c>
      <c r="R67" s="3">
        <v>9400</v>
      </c>
      <c r="S67" s="27">
        <v>18.8</v>
      </c>
      <c r="T67" s="27">
        <f>X67*F67*0.005</f>
        <v>2962.2808167999456</v>
      </c>
      <c r="V67" s="3">
        <v>0.12</v>
      </c>
      <c r="W67" s="3">
        <v>0.3</v>
      </c>
      <c r="X67" s="3">
        <f>IF(O67&gt;0,O67,((P67*2.2046*S67)+(Q67+R67)/G67)+V67)</f>
        <v>31.661987045339185</v>
      </c>
      <c r="Y67" s="3">
        <f t="shared" ref="Y67:Y68" si="87">IF(O67&gt;0,O67,((P67*2.2046*S67)+(Q67+R67+T67)/G67)+V67+W67)</f>
        <v>32.120115605059077</v>
      </c>
      <c r="Z67" s="29">
        <f>Y67*F67</f>
        <v>601028.62245513732</v>
      </c>
      <c r="AA67" s="30">
        <v>42860</v>
      </c>
    </row>
    <row r="68" spans="1:27" s="22" customFormat="1" x14ac:dyDescent="0.25">
      <c r="A68" s="81"/>
      <c r="B68" s="17" t="s">
        <v>26</v>
      </c>
      <c r="C68" s="18" t="s">
        <v>37</v>
      </c>
      <c r="D68" s="18" t="s">
        <v>37</v>
      </c>
      <c r="E68" s="19" t="s">
        <v>28</v>
      </c>
      <c r="F68" s="20">
        <f>41529*0.4536</f>
        <v>18837.554400000001</v>
      </c>
      <c r="G68" s="21">
        <v>18845.54</v>
      </c>
      <c r="H68" s="21">
        <f>G68-F68</f>
        <v>7.9855999999999767</v>
      </c>
      <c r="I68" s="22" t="s">
        <v>287</v>
      </c>
      <c r="J68" s="23" t="s">
        <v>30</v>
      </c>
      <c r="K68" s="24">
        <v>42849</v>
      </c>
      <c r="L68" s="24">
        <v>42850</v>
      </c>
      <c r="M68" s="18" t="s">
        <v>62</v>
      </c>
      <c r="N68" s="18" t="s">
        <v>288</v>
      </c>
      <c r="O68" s="3"/>
      <c r="P68" s="25">
        <f>0.6109+0.095</f>
        <v>0.70589999999999997</v>
      </c>
      <c r="Q68" s="26">
        <v>23000</v>
      </c>
      <c r="R68" s="3">
        <v>9400</v>
      </c>
      <c r="S68" s="27">
        <v>18.52</v>
      </c>
      <c r="T68" s="27">
        <f>X68*F68*0.005</f>
        <v>2887.8504284660885</v>
      </c>
      <c r="V68" s="3">
        <v>0.12</v>
      </c>
      <c r="W68" s="3">
        <v>0.3</v>
      </c>
      <c r="X68" s="3">
        <f t="shared" ref="X68" si="88">IF(O68&gt;0,O68,((P68*2.2046*S68)+(Q68+R68)/G68)+V68)</f>
        <v>30.660566304361549</v>
      </c>
      <c r="Y68" s="3">
        <f t="shared" si="87"/>
        <v>31.113804175415716</v>
      </c>
      <c r="Z68" s="29">
        <f t="shared" ref="Z68" si="89">Y68*F68</f>
        <v>586107.97874534072</v>
      </c>
      <c r="AA68" s="30">
        <v>42843</v>
      </c>
    </row>
    <row r="69" spans="1:27" s="22" customFormat="1" x14ac:dyDescent="0.25">
      <c r="A69" s="81"/>
      <c r="B69" s="17" t="s">
        <v>41</v>
      </c>
      <c r="C69" s="19" t="s">
        <v>42</v>
      </c>
      <c r="D69" s="18" t="s">
        <v>43</v>
      </c>
      <c r="E69" s="19">
        <v>250</v>
      </c>
      <c r="F69" s="20">
        <v>29390</v>
      </c>
      <c r="G69" s="21">
        <f>10290+13160</f>
        <v>23450</v>
      </c>
      <c r="H69" s="21">
        <f>G69-F69</f>
        <v>-5940</v>
      </c>
      <c r="I69" s="18" t="s">
        <v>289</v>
      </c>
      <c r="J69" s="65">
        <v>248</v>
      </c>
      <c r="K69" s="24"/>
      <c r="L69" s="24">
        <v>42850</v>
      </c>
      <c r="M69" s="18" t="s">
        <v>62</v>
      </c>
      <c r="N69" s="19"/>
      <c r="O69" s="3">
        <v>23</v>
      </c>
      <c r="P69" s="31"/>
      <c r="Q69" s="33">
        <v>19800</v>
      </c>
      <c r="R69" s="3">
        <f>65*E69</f>
        <v>16250</v>
      </c>
      <c r="S69" s="27">
        <f t="shared" ref="S69" si="90">-40*E69</f>
        <v>-10000</v>
      </c>
      <c r="T69" s="27">
        <f t="shared" ref="T69" si="91">X69*F69*0.005</f>
        <v>4407.0586993603411</v>
      </c>
      <c r="U69" s="3">
        <f>E69*5</f>
        <v>1250</v>
      </c>
      <c r="V69" s="19"/>
      <c r="W69" s="3">
        <v>0.3</v>
      </c>
      <c r="X69" s="3">
        <f>((O69*F69)+Q69+R69+S69+U69)/G69</f>
        <v>29.990191897654583</v>
      </c>
      <c r="Y69" s="3">
        <f>((O69*F69)+Q69+R69+S69+T69+U69)/G69+W69</f>
        <v>30.478126170548418</v>
      </c>
      <c r="Z69" s="29">
        <f>Y69*G69</f>
        <v>714712.05869936035</v>
      </c>
      <c r="AA69" s="30">
        <v>42863</v>
      </c>
    </row>
    <row r="70" spans="1:27" s="22" customFormat="1" x14ac:dyDescent="0.25">
      <c r="A70" s="81"/>
      <c r="B70" s="17" t="s">
        <v>26</v>
      </c>
      <c r="C70" s="18" t="s">
        <v>37</v>
      </c>
      <c r="D70" s="18" t="s">
        <v>37</v>
      </c>
      <c r="E70" s="19" t="s">
        <v>28</v>
      </c>
      <c r="F70" s="20">
        <f>41640*0.4536</f>
        <v>18887.903999999999</v>
      </c>
      <c r="G70" s="21">
        <v>18836.419999999998</v>
      </c>
      <c r="H70" s="21">
        <f>G70-F70</f>
        <v>-51.484000000000378</v>
      </c>
      <c r="I70" s="22" t="s">
        <v>290</v>
      </c>
      <c r="J70" s="23" t="s">
        <v>39</v>
      </c>
      <c r="K70" s="24">
        <v>42850</v>
      </c>
      <c r="L70" s="24">
        <v>42851</v>
      </c>
      <c r="M70" s="18" t="s">
        <v>31</v>
      </c>
      <c r="N70" s="18" t="s">
        <v>291</v>
      </c>
      <c r="O70" s="3"/>
      <c r="P70" s="25">
        <f>0.6193+0.095</f>
        <v>0.71429999999999993</v>
      </c>
      <c r="Q70" s="26">
        <v>23000</v>
      </c>
      <c r="R70" s="3">
        <v>9400</v>
      </c>
      <c r="S70" s="51">
        <v>18.523</v>
      </c>
      <c r="T70" s="27">
        <f>X70*F70*0.005</f>
        <v>2928.4834010982026</v>
      </c>
      <c r="V70" s="3">
        <v>0.12</v>
      </c>
      <c r="W70" s="3">
        <v>0.3</v>
      </c>
      <c r="X70" s="3">
        <f t="shared" ref="X70:X71" si="92">IF(O70&gt;0,O70,((P70*2.2046*S70)+(Q70+R70)/G70)+V70)</f>
        <v>31.009088156083411</v>
      </c>
      <c r="Y70" s="3">
        <f t="shared" ref="Y70:Y71" si="93">IF(O70&gt;0,O70,((P70*2.2046*S70)+(Q70+R70+T70)/G70)+V70+W70)</f>
        <v>31.464557369506039</v>
      </c>
      <c r="Z70" s="29">
        <f t="shared" ref="Z70:Z71" si="94">Y70*F70</f>
        <v>594299.53899772256</v>
      </c>
      <c r="AA70" s="30">
        <v>42844</v>
      </c>
    </row>
    <row r="71" spans="1:27" s="22" customFormat="1" x14ac:dyDescent="0.25">
      <c r="A71" s="81"/>
      <c r="B71" s="17" t="s">
        <v>26</v>
      </c>
      <c r="C71" s="18" t="s">
        <v>33</v>
      </c>
      <c r="D71" s="18" t="s">
        <v>33</v>
      </c>
      <c r="E71" s="19" t="s">
        <v>34</v>
      </c>
      <c r="F71" s="20">
        <f>42282*0.4536</f>
        <v>19179.1152</v>
      </c>
      <c r="G71" s="21">
        <v>19060.98</v>
      </c>
      <c r="H71" s="21">
        <f>G71-F71</f>
        <v>-118.13520000000062</v>
      </c>
      <c r="I71" s="22" t="s">
        <v>292</v>
      </c>
      <c r="J71" s="23" t="s">
        <v>30</v>
      </c>
      <c r="K71" s="24">
        <v>42851</v>
      </c>
      <c r="L71" s="24">
        <v>42852</v>
      </c>
      <c r="M71" s="18" t="s">
        <v>47</v>
      </c>
      <c r="N71" s="18" t="s">
        <v>293</v>
      </c>
      <c r="O71" s="3"/>
      <c r="P71" s="25">
        <v>0.72499999999999998</v>
      </c>
      <c r="Q71" s="26">
        <v>23000</v>
      </c>
      <c r="R71" s="3">
        <v>9400</v>
      </c>
      <c r="S71" s="51">
        <v>18.824999999999999</v>
      </c>
      <c r="T71" s="27">
        <f>X71*F71*0.005</f>
        <v>3059.8805388619285</v>
      </c>
      <c r="V71" s="3">
        <v>0.12</v>
      </c>
      <c r="W71" s="3">
        <v>0.3</v>
      </c>
      <c r="X71" s="3">
        <f t="shared" si="92"/>
        <v>31.908464044909941</v>
      </c>
      <c r="Y71" s="3">
        <f t="shared" si="93"/>
        <v>32.368995168643444</v>
      </c>
      <c r="Z71" s="29">
        <f t="shared" si="94"/>
        <v>620808.68724765605</v>
      </c>
      <c r="AA71" s="30">
        <v>42845</v>
      </c>
    </row>
    <row r="72" spans="1:27" s="22" customFormat="1" x14ac:dyDescent="0.25">
      <c r="A72" s="81"/>
      <c r="B72" s="17" t="s">
        <v>41</v>
      </c>
      <c r="C72" s="19" t="s">
        <v>42</v>
      </c>
      <c r="D72" s="18" t="s">
        <v>228</v>
      </c>
      <c r="E72" s="19">
        <v>250</v>
      </c>
      <c r="F72" s="20">
        <v>27250</v>
      </c>
      <c r="G72" s="21">
        <v>21790</v>
      </c>
      <c r="H72" s="21">
        <f t="shared" ref="H72:H73" si="95">G72-F72</f>
        <v>-5460</v>
      </c>
      <c r="I72" s="22" t="s">
        <v>294</v>
      </c>
      <c r="J72" s="19"/>
      <c r="K72" s="24"/>
      <c r="L72" s="24">
        <v>42852</v>
      </c>
      <c r="M72" s="18" t="s">
        <v>47</v>
      </c>
      <c r="N72" s="19"/>
      <c r="O72" s="3">
        <v>23</v>
      </c>
      <c r="P72" s="31"/>
      <c r="Q72" s="33">
        <v>19800</v>
      </c>
      <c r="R72" s="3">
        <f t="shared" ref="R72:R73" si="96">65*E72</f>
        <v>16250</v>
      </c>
      <c r="S72" s="27">
        <f t="shared" ref="S72:S73" si="97">-40*E72</f>
        <v>-10000</v>
      </c>
      <c r="T72" s="27">
        <f t="shared" ref="T72:T73" si="98">X72*F72*0.0045</f>
        <v>3680.7196535107842</v>
      </c>
      <c r="U72" s="3">
        <f t="shared" ref="U72:U73" si="99">E72*5</f>
        <v>1250</v>
      </c>
      <c r="V72" s="19"/>
      <c r="W72" s="3">
        <v>0.3</v>
      </c>
      <c r="X72" s="3">
        <f t="shared" ref="X72:X73" si="100">((O72*F72)+Q72+R72+S72+U72)/G72</f>
        <v>30.016062413951353</v>
      </c>
      <c r="Y72" s="3">
        <f t="shared" ref="Y72:Y73" si="101">((O72*F72)+Q72+R72+S72+T72+U72)/G72+W72</f>
        <v>30.484980250275854</v>
      </c>
      <c r="Z72" s="29">
        <f t="shared" ref="Z72:Z73" si="102">Y72*G72</f>
        <v>664267.71965351084</v>
      </c>
      <c r="AA72" s="30">
        <v>42865</v>
      </c>
    </row>
    <row r="73" spans="1:27" s="22" customFormat="1" x14ac:dyDescent="0.25">
      <c r="A73" s="81"/>
      <c r="B73" s="17" t="s">
        <v>41</v>
      </c>
      <c r="C73" s="19" t="s">
        <v>42</v>
      </c>
      <c r="D73" s="18" t="s">
        <v>295</v>
      </c>
      <c r="E73" s="19">
        <v>130</v>
      </c>
      <c r="F73" s="20">
        <v>15970</v>
      </c>
      <c r="G73" s="21">
        <v>11900</v>
      </c>
      <c r="H73" s="21">
        <f t="shared" si="95"/>
        <v>-4070</v>
      </c>
      <c r="I73" s="22" t="s">
        <v>296</v>
      </c>
      <c r="J73" s="19"/>
      <c r="K73" s="24"/>
      <c r="L73" s="24">
        <v>42852</v>
      </c>
      <c r="M73" s="18" t="s">
        <v>47</v>
      </c>
      <c r="N73" s="19"/>
      <c r="O73" s="3">
        <v>23</v>
      </c>
      <c r="P73" s="31"/>
      <c r="Q73" s="26">
        <v>15700</v>
      </c>
      <c r="R73" s="3">
        <f t="shared" si="96"/>
        <v>8450</v>
      </c>
      <c r="S73" s="27">
        <f t="shared" si="97"/>
        <v>-5200</v>
      </c>
      <c r="T73" s="27">
        <f t="shared" si="98"/>
        <v>2336.5787521008401</v>
      </c>
      <c r="U73" s="3">
        <f t="shared" si="99"/>
        <v>650</v>
      </c>
      <c r="V73" s="19"/>
      <c r="W73" s="3">
        <v>0.3</v>
      </c>
      <c r="X73" s="3">
        <f t="shared" si="100"/>
        <v>32.51344537815126</v>
      </c>
      <c r="Y73" s="3">
        <f t="shared" si="101"/>
        <v>33.009796533789981</v>
      </c>
      <c r="Z73" s="29">
        <f t="shared" si="102"/>
        <v>392816.57875210076</v>
      </c>
      <c r="AA73" s="30">
        <v>42865</v>
      </c>
    </row>
    <row r="74" spans="1:27" s="22" customFormat="1" x14ac:dyDescent="0.25">
      <c r="A74" s="81"/>
      <c r="B74" s="17" t="s">
        <v>26</v>
      </c>
      <c r="C74" s="18" t="s">
        <v>27</v>
      </c>
      <c r="D74" s="18" t="s">
        <v>27</v>
      </c>
      <c r="E74" s="19" t="s">
        <v>34</v>
      </c>
      <c r="F74" s="20">
        <f>41441*0.4536</f>
        <v>18797.637600000002</v>
      </c>
      <c r="G74" s="21">
        <v>18764.75</v>
      </c>
      <c r="H74" s="21">
        <f>G74-F74</f>
        <v>-32.887600000001839</v>
      </c>
      <c r="I74" s="22" t="s">
        <v>297</v>
      </c>
      <c r="J74" s="23" t="s">
        <v>30</v>
      </c>
      <c r="K74" s="24">
        <v>42852</v>
      </c>
      <c r="L74" s="24">
        <v>42853</v>
      </c>
      <c r="M74" s="18" t="s">
        <v>49</v>
      </c>
      <c r="N74" s="18" t="s">
        <v>298</v>
      </c>
      <c r="O74" s="3"/>
      <c r="P74" s="25">
        <f>0.6199+0.1</f>
        <v>0.71989999999999998</v>
      </c>
      <c r="Q74" s="26">
        <v>23000</v>
      </c>
      <c r="R74" s="3">
        <v>9400</v>
      </c>
      <c r="S74" s="27">
        <v>19.170000000000002</v>
      </c>
      <c r="T74" s="27">
        <f>X74*F74*0.005</f>
        <v>3033.1103465950314</v>
      </c>
      <c r="V74" s="3">
        <v>0.12</v>
      </c>
      <c r="W74" s="3">
        <v>0.3</v>
      </c>
      <c r="X74" s="3">
        <f t="shared" ref="X74:X75" si="103">IF(O74&gt;0,O74,((P74*2.2046*S74)+(Q74+R74)/G74)+V74)</f>
        <v>32.27118653032263</v>
      </c>
      <c r="Y74" s="3">
        <f t="shared" ref="Y74:Y75" si="104">IF(O74&gt;0,O74,((P74*2.2046*S74)+(Q74+R74+T74)/G74)+V74+W74)</f>
        <v>32.732825259673938</v>
      </c>
      <c r="Z74" s="29">
        <f t="shared" ref="Z74:Z75" si="105">Y74*F74</f>
        <v>615299.78685547668</v>
      </c>
      <c r="AA74" s="30">
        <v>42864</v>
      </c>
    </row>
    <row r="75" spans="1:27" s="22" customFormat="1" x14ac:dyDescent="0.25">
      <c r="A75" s="81"/>
      <c r="B75" s="17" t="s">
        <v>26</v>
      </c>
      <c r="C75" s="18" t="s">
        <v>37</v>
      </c>
      <c r="D75" s="18" t="s">
        <v>37</v>
      </c>
      <c r="E75" s="19" t="s">
        <v>28</v>
      </c>
      <c r="F75" s="20">
        <f>42079*0.4536</f>
        <v>19087.0344</v>
      </c>
      <c r="G75" s="21">
        <v>19072.86</v>
      </c>
      <c r="H75" s="21">
        <f>G75-F75</f>
        <v>-14.174399999999878</v>
      </c>
      <c r="I75" s="22" t="s">
        <v>299</v>
      </c>
      <c r="J75" s="23" t="s">
        <v>30</v>
      </c>
      <c r="K75" s="24">
        <v>42852</v>
      </c>
      <c r="L75" s="24">
        <v>42853</v>
      </c>
      <c r="M75" s="18" t="s">
        <v>49</v>
      </c>
      <c r="N75" s="18" t="s">
        <v>300</v>
      </c>
      <c r="O75" s="3"/>
      <c r="P75" s="25">
        <f>0.6281+0.095</f>
        <v>0.72309999999999997</v>
      </c>
      <c r="Q75" s="26">
        <v>23000</v>
      </c>
      <c r="R75" s="3">
        <v>9400</v>
      </c>
      <c r="S75" s="51">
        <v>18.824999999999999</v>
      </c>
      <c r="T75" s="27">
        <f>X75*F75*0.005</f>
        <v>3037.5633582407786</v>
      </c>
      <c r="V75" s="3">
        <v>0.12</v>
      </c>
      <c r="W75" s="3">
        <v>0.3</v>
      </c>
      <c r="X75" s="3">
        <f t="shared" si="103"/>
        <v>31.828552247391332</v>
      </c>
      <c r="Y75" s="3">
        <f t="shared" si="104"/>
        <v>32.287813278943013</v>
      </c>
      <c r="Z75" s="29">
        <f t="shared" si="105"/>
        <v>616278.60275596206</v>
      </c>
      <c r="AA75" s="30">
        <v>42846</v>
      </c>
    </row>
    <row r="76" spans="1:27" s="22" customFormat="1" x14ac:dyDescent="0.25">
      <c r="A76" s="81"/>
      <c r="B76" s="17" t="s">
        <v>41</v>
      </c>
      <c r="C76" s="19" t="s">
        <v>42</v>
      </c>
      <c r="D76" s="18" t="s">
        <v>43</v>
      </c>
      <c r="E76" s="19">
        <f>230</f>
        <v>230</v>
      </c>
      <c r="F76" s="20">
        <f>28630</f>
        <v>28630</v>
      </c>
      <c r="G76" s="21">
        <f>19970</f>
        <v>19970</v>
      </c>
      <c r="H76" s="21">
        <f t="shared" ref="H76:H81" si="106">G76-F76</f>
        <v>-8660</v>
      </c>
      <c r="I76" s="22" t="s">
        <v>301</v>
      </c>
      <c r="J76" s="19">
        <v>200</v>
      </c>
      <c r="K76" s="24"/>
      <c r="L76" s="24">
        <v>42853</v>
      </c>
      <c r="M76" s="18" t="s">
        <v>49</v>
      </c>
      <c r="N76" s="19"/>
      <c r="O76" s="3">
        <v>23</v>
      </c>
      <c r="P76" s="31"/>
      <c r="Q76" s="26">
        <f>19800</f>
        <v>19800</v>
      </c>
      <c r="R76" s="3">
        <f t="shared" ref="R76:R77" si="107">65*E76</f>
        <v>14950</v>
      </c>
      <c r="S76" s="27">
        <f t="shared" ref="S76:S77" si="108">-40*E76</f>
        <v>-9200</v>
      </c>
      <c r="T76" s="27">
        <f>X76*F76*0.0045</f>
        <v>4420.4533625438153</v>
      </c>
      <c r="U76" s="3">
        <f>E76*5</f>
        <v>1150</v>
      </c>
      <c r="V76" s="19"/>
      <c r="W76" s="3">
        <v>0.3</v>
      </c>
      <c r="X76" s="3">
        <f>((O76*F76)+Q76+R76+S76+U76)/G76</f>
        <v>34.31096644967451</v>
      </c>
      <c r="Y76" s="3">
        <f t="shared" ref="Y76:Y77" si="109">((O76*F76)+Q76+R76+S76+T76+U76)/G76+W76</f>
        <v>34.832321149851964</v>
      </c>
      <c r="Z76" s="29">
        <f t="shared" ref="Z76:Z77" si="110">Y76*G76</f>
        <v>695601.45336254372</v>
      </c>
      <c r="AA76" s="30">
        <v>42866</v>
      </c>
    </row>
    <row r="77" spans="1:27" s="22" customFormat="1" x14ac:dyDescent="0.25">
      <c r="A77" s="81"/>
      <c r="B77" s="17" t="s">
        <v>41</v>
      </c>
      <c r="C77" s="19" t="s">
        <v>42</v>
      </c>
      <c r="D77" s="18" t="s">
        <v>228</v>
      </c>
      <c r="E77" s="19">
        <v>100</v>
      </c>
      <c r="F77" s="20">
        <v>10975</v>
      </c>
      <c r="G77" s="21">
        <v>12000</v>
      </c>
      <c r="H77" s="21">
        <f t="shared" si="106"/>
        <v>1025</v>
      </c>
      <c r="I77" s="18" t="s">
        <v>302</v>
      </c>
      <c r="J77" s="19">
        <v>130</v>
      </c>
      <c r="K77" s="24"/>
      <c r="L77" s="24">
        <v>42853</v>
      </c>
      <c r="M77" s="18" t="s">
        <v>49</v>
      </c>
      <c r="N77" s="19"/>
      <c r="O77" s="3">
        <v>23</v>
      </c>
      <c r="P77" s="31"/>
      <c r="Q77" s="26">
        <v>15700</v>
      </c>
      <c r="R77" s="3">
        <f t="shared" si="107"/>
        <v>6500</v>
      </c>
      <c r="S77" s="27">
        <f t="shared" si="108"/>
        <v>-4000</v>
      </c>
      <c r="T77" s="27">
        <f>X77*F77*0.0045</f>
        <v>1115.848828125</v>
      </c>
      <c r="U77" s="3">
        <f>E77*5</f>
        <v>500</v>
      </c>
      <c r="V77" s="19"/>
      <c r="W77" s="3">
        <v>0.3</v>
      </c>
      <c r="X77" s="3">
        <f>((O77*F77)+Q77+R77+S77+U77)/G77</f>
        <v>22.59375</v>
      </c>
      <c r="Y77" s="3">
        <f t="shared" si="109"/>
        <v>22.986737402343749</v>
      </c>
      <c r="Z77" s="29">
        <f t="shared" si="110"/>
        <v>275840.84882812499</v>
      </c>
      <c r="AA77" s="30">
        <v>42866</v>
      </c>
    </row>
    <row r="78" spans="1:27" s="22" customFormat="1" x14ac:dyDescent="0.25">
      <c r="A78" s="81"/>
      <c r="B78" s="17" t="s">
        <v>26</v>
      </c>
      <c r="C78" s="18" t="s">
        <v>33</v>
      </c>
      <c r="D78" s="18" t="s">
        <v>33</v>
      </c>
      <c r="E78" s="19" t="s">
        <v>34</v>
      </c>
      <c r="F78" s="20">
        <f>40622*0.4536</f>
        <v>18426.139200000001</v>
      </c>
      <c r="G78" s="21">
        <v>18426.439999999999</v>
      </c>
      <c r="H78" s="21">
        <f t="shared" si="106"/>
        <v>0.3007999999972526</v>
      </c>
      <c r="I78" s="22" t="s">
        <v>303</v>
      </c>
      <c r="J78" s="23" t="s">
        <v>30</v>
      </c>
      <c r="K78" s="24">
        <v>42854</v>
      </c>
      <c r="L78" s="24">
        <v>42854</v>
      </c>
      <c r="M78" s="18" t="s">
        <v>98</v>
      </c>
      <c r="N78" s="18" t="s">
        <v>304</v>
      </c>
      <c r="O78" s="3"/>
      <c r="P78" s="25">
        <f>0.6324+0.105</f>
        <v>0.73739999999999994</v>
      </c>
      <c r="Q78" s="26">
        <v>23000</v>
      </c>
      <c r="R78" s="3">
        <v>9400</v>
      </c>
      <c r="S78" s="27">
        <v>18.66</v>
      </c>
      <c r="T78" s="27">
        <f t="shared" ref="T78" si="111">X78*F78*0.005</f>
        <v>2967.8414119037316</v>
      </c>
      <c r="V78" s="3">
        <v>0.12</v>
      </c>
      <c r="W78" s="3">
        <v>0.3</v>
      </c>
      <c r="X78" s="3">
        <f t="shared" ref="X78:X81" si="112">IF(O78&gt;0,O78,((P78*2.2046*S78)+(Q78+R78)/G78)+V78)</f>
        <v>32.213383169315591</v>
      </c>
      <c r="Y78" s="3">
        <f t="shared" ref="Y78:Y81" si="113">IF(O78&gt;0,O78,((P78*2.2046*S78)+(Q78+R78+T78)/G78)+V78+W78)</f>
        <v>32.674447455846447</v>
      </c>
      <c r="Z78" s="29">
        <f t="shared" ref="Z78:Z81" si="114">Y78*F78</f>
        <v>602063.91710451257</v>
      </c>
      <c r="AA78" s="30">
        <v>42849</v>
      </c>
    </row>
    <row r="79" spans="1:27" s="22" customFormat="1" x14ac:dyDescent="0.25">
      <c r="A79" s="81"/>
      <c r="B79" s="17" t="s">
        <v>76</v>
      </c>
      <c r="C79" s="18" t="s">
        <v>33</v>
      </c>
      <c r="D79" s="18" t="s">
        <v>77</v>
      </c>
      <c r="E79" s="19" t="s">
        <v>218</v>
      </c>
      <c r="F79" s="20">
        <v>2653.6</v>
      </c>
      <c r="G79" s="21">
        <v>2635.6</v>
      </c>
      <c r="H79" s="21">
        <f t="shared" si="106"/>
        <v>-18</v>
      </c>
      <c r="I79" s="22" t="s">
        <v>305</v>
      </c>
      <c r="J79" s="19"/>
      <c r="K79" s="24"/>
      <c r="L79" s="24">
        <v>42854</v>
      </c>
      <c r="M79" s="18" t="s">
        <v>98</v>
      </c>
      <c r="N79" s="18"/>
      <c r="O79" s="3">
        <v>19.8</v>
      </c>
      <c r="P79" s="25"/>
      <c r="Q79" s="3"/>
      <c r="R79" s="3"/>
      <c r="S79" s="27"/>
      <c r="T79" s="27"/>
      <c r="V79" s="3"/>
      <c r="W79" s="3"/>
      <c r="X79" s="3">
        <f t="shared" si="112"/>
        <v>19.8</v>
      </c>
      <c r="Y79" s="3">
        <f t="shared" si="113"/>
        <v>19.8</v>
      </c>
      <c r="Z79" s="29">
        <f t="shared" si="114"/>
        <v>52541.279999999999</v>
      </c>
      <c r="AA79" s="30">
        <v>42860</v>
      </c>
    </row>
    <row r="80" spans="1:27" s="22" customFormat="1" x14ac:dyDescent="0.25">
      <c r="A80" s="81"/>
      <c r="B80" s="17" t="s">
        <v>306</v>
      </c>
      <c r="C80" s="18" t="s">
        <v>159</v>
      </c>
      <c r="D80" s="18" t="s">
        <v>89</v>
      </c>
      <c r="E80" s="19" t="s">
        <v>160</v>
      </c>
      <c r="F80" s="20">
        <v>18506.554</v>
      </c>
      <c r="G80" s="21">
        <v>18506.554</v>
      </c>
      <c r="H80" s="21">
        <f t="shared" si="106"/>
        <v>0</v>
      </c>
      <c r="I80" s="22" t="s">
        <v>307</v>
      </c>
      <c r="J80" s="19"/>
      <c r="K80" s="24"/>
      <c r="L80" s="24">
        <v>42854</v>
      </c>
      <c r="M80" s="18" t="s">
        <v>98</v>
      </c>
      <c r="N80" s="18"/>
      <c r="O80" s="3">
        <v>32.200000000000003</v>
      </c>
      <c r="P80" s="25"/>
      <c r="Q80" s="3"/>
      <c r="R80" s="3"/>
      <c r="S80" s="27"/>
      <c r="T80" s="27"/>
      <c r="V80" s="3"/>
      <c r="W80" s="3"/>
      <c r="X80" s="3">
        <f t="shared" si="112"/>
        <v>32.200000000000003</v>
      </c>
      <c r="Y80" s="3">
        <f t="shared" si="113"/>
        <v>32.200000000000003</v>
      </c>
      <c r="Z80" s="29">
        <f t="shared" si="114"/>
        <v>595911.0388000001</v>
      </c>
      <c r="AA80" s="30">
        <v>42872</v>
      </c>
    </row>
    <row r="81" spans="1:27" s="22" customFormat="1" x14ac:dyDescent="0.25">
      <c r="A81" s="81"/>
      <c r="B81" s="17" t="s">
        <v>308</v>
      </c>
      <c r="C81" s="18" t="s">
        <v>309</v>
      </c>
      <c r="D81" s="18" t="s">
        <v>89</v>
      </c>
      <c r="E81" s="19" t="s">
        <v>310</v>
      </c>
      <c r="F81" s="20">
        <v>16639.569</v>
      </c>
      <c r="G81" s="21">
        <v>16639.66</v>
      </c>
      <c r="H81" s="21">
        <f t="shared" si="106"/>
        <v>9.1000000000349246E-2</v>
      </c>
      <c r="I81" s="22" t="s">
        <v>311</v>
      </c>
      <c r="J81" s="19"/>
      <c r="K81" s="24"/>
      <c r="L81" s="24">
        <v>42854</v>
      </c>
      <c r="M81" s="18" t="s">
        <v>98</v>
      </c>
      <c r="N81" s="18"/>
      <c r="O81" s="3">
        <v>85</v>
      </c>
      <c r="P81" s="25"/>
      <c r="Q81" s="3"/>
      <c r="R81" s="3"/>
      <c r="S81" s="27"/>
      <c r="T81" s="27"/>
      <c r="V81" s="3"/>
      <c r="W81" s="3"/>
      <c r="X81" s="3">
        <f t="shared" si="112"/>
        <v>85</v>
      </c>
      <c r="Y81" s="3">
        <f t="shared" si="113"/>
        <v>85</v>
      </c>
      <c r="Z81" s="29">
        <f t="shared" si="114"/>
        <v>1414363.365</v>
      </c>
      <c r="AA81" s="30">
        <v>42872</v>
      </c>
    </row>
    <row r="82" spans="1:27" s="22" customFormat="1" ht="15.75" thickBot="1" x14ac:dyDescent="0.3">
      <c r="A82" s="82"/>
      <c r="B82" s="34"/>
      <c r="C82" s="6"/>
      <c r="D82" s="6"/>
      <c r="E82" s="6"/>
      <c r="F82" s="35"/>
      <c r="G82" s="35"/>
      <c r="H82" s="35"/>
      <c r="I82" s="9"/>
      <c r="J82" s="6"/>
      <c r="K82" s="10"/>
      <c r="L82" s="10"/>
      <c r="M82" s="6"/>
      <c r="N82" s="6"/>
      <c r="O82" s="11"/>
      <c r="P82" s="12"/>
      <c r="Q82" s="11"/>
      <c r="R82" s="11"/>
      <c r="S82" s="11"/>
      <c r="T82" s="11"/>
      <c r="U82" s="11"/>
      <c r="V82" s="11"/>
      <c r="W82" s="11"/>
      <c r="X82" s="11"/>
      <c r="Y82" s="11"/>
      <c r="Z82" s="15"/>
      <c r="AA82" s="36"/>
    </row>
    <row r="83" spans="1:27" s="22" customFormat="1" x14ac:dyDescent="0.25">
      <c r="A83" s="56"/>
      <c r="B83" s="38" t="s">
        <v>41</v>
      </c>
      <c r="C83" s="38" t="s">
        <v>42</v>
      </c>
      <c r="D83" s="39" t="s">
        <v>45</v>
      </c>
      <c r="E83" s="38">
        <f>200+130</f>
        <v>330</v>
      </c>
      <c r="F83" s="40">
        <f>24155+16595</f>
        <v>40750</v>
      </c>
      <c r="G83" s="41">
        <f>19390+12900</f>
        <v>32290</v>
      </c>
      <c r="H83" s="41">
        <f t="shared" ref="H83" si="115">G83-F83</f>
        <v>-8460</v>
      </c>
      <c r="I83" s="39" t="s">
        <v>312</v>
      </c>
      <c r="J83" s="38"/>
      <c r="K83" s="83" t="s">
        <v>313</v>
      </c>
      <c r="L83" s="42">
        <v>42855</v>
      </c>
      <c r="M83" s="39" t="s">
        <v>57</v>
      </c>
      <c r="N83" s="38"/>
      <c r="O83" s="43">
        <v>23.5</v>
      </c>
      <c r="P83" s="44"/>
      <c r="Q83" s="45">
        <f>19800+15700</f>
        <v>35500</v>
      </c>
      <c r="R83" s="3">
        <f t="shared" ref="R83" si="116">65*E83</f>
        <v>21450</v>
      </c>
      <c r="S83" s="27">
        <f t="shared" ref="S83" si="117">-40*E83</f>
        <v>-13200</v>
      </c>
      <c r="T83" s="46">
        <f>X83*F83*0.0045</f>
        <v>5696.181770672034</v>
      </c>
      <c r="U83" s="43">
        <f>E83*5</f>
        <v>1650</v>
      </c>
      <c r="V83" s="38"/>
      <c r="W83" s="43">
        <v>0.3</v>
      </c>
      <c r="X83" s="43">
        <f>((O83*F83)+Q83+R83+S83+U83)/G83</f>
        <v>31.063022607618457</v>
      </c>
      <c r="Y83" s="3">
        <f t="shared" ref="Y83" si="118">((O83*F83)+Q83+R83+S83+T83+U83)/G83+W83</f>
        <v>31.539429599587244</v>
      </c>
      <c r="Z83" s="47">
        <f>Y83*G83</f>
        <v>1018408.1817706721</v>
      </c>
      <c r="AA83" s="48">
        <v>42870</v>
      </c>
    </row>
    <row r="84" spans="1:27" s="22" customFormat="1" ht="15.75" thickBot="1" x14ac:dyDescent="0.3">
      <c r="A84" s="84"/>
      <c r="B84" s="34"/>
      <c r="C84" s="6"/>
      <c r="D84" s="6"/>
      <c r="E84" s="6"/>
      <c r="F84" s="35"/>
      <c r="G84" s="35"/>
      <c r="H84" s="35"/>
      <c r="I84" s="9"/>
      <c r="J84" s="6"/>
      <c r="K84" s="10"/>
      <c r="L84" s="10"/>
      <c r="M84" s="6"/>
      <c r="N84" s="6"/>
      <c r="O84" s="11"/>
      <c r="P84" s="12"/>
      <c r="Q84" s="11"/>
      <c r="R84" s="11"/>
      <c r="S84" s="11"/>
      <c r="T84" s="11"/>
      <c r="U84" s="11"/>
      <c r="V84" s="11"/>
      <c r="W84" s="11"/>
      <c r="X84" s="11"/>
      <c r="Y84" s="11"/>
      <c r="Z84" s="15"/>
      <c r="AA84" s="36"/>
    </row>
  </sheetData>
  <pageMargins left="0.70866141732283472" right="0.70866141732283472" top="0.35433070866141736" bottom="0.15748031496062992" header="0.31496062992125984" footer="0.31496062992125984"/>
  <pageSetup scale="8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marzo</vt:lpstr>
      <vt:lpstr>abril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</cp:lastModifiedBy>
  <cp:lastPrinted>2017-05-17T13:35:26Z</cp:lastPrinted>
  <dcterms:created xsi:type="dcterms:W3CDTF">2017-04-18T21:56:39Z</dcterms:created>
  <dcterms:modified xsi:type="dcterms:W3CDTF">2017-05-17T13:42:00Z</dcterms:modified>
</cp:coreProperties>
</file>