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6 JUNIO 2017\"/>
    </mc:Choice>
  </mc:AlternateContent>
  <bookViews>
    <workbookView xWindow="0" yWindow="0" windowWidth="24000" windowHeight="9735" firstSheet="8" activeTab="11"/>
  </bookViews>
  <sheets>
    <sheet name="E N E R O  2 0 1 7     " sheetId="1" r:id="rId1"/>
    <sheet name="REMISIONES ENERO 2017   " sheetId="2" r:id="rId2"/>
    <sheet name="F E B R E R O   2 0 1 7     " sheetId="3" r:id="rId3"/>
    <sheet name="REMISIONES  FEBRERO  2017    " sheetId="4" r:id="rId4"/>
    <sheet name="M A R Z O  2 0 1 7     " sheetId="6" r:id="rId5"/>
    <sheet name="REMISIONES MARZO 2017  " sheetId="7" r:id="rId6"/>
    <sheet name="A B R I L   2 0 1 7      " sheetId="8" r:id="rId7"/>
    <sheet name="REMISIONES  ABRIL  2017     " sheetId="9" r:id="rId8"/>
    <sheet name="M A Y O      2 0 1 7    " sheetId="10" r:id="rId9"/>
    <sheet name="REMISIONES  MAYO   2017   " sheetId="11" r:id="rId10"/>
    <sheet name="J U N I O     2 0 1 7    " sheetId="12" r:id="rId11"/>
    <sheet name="REMISIONES JUNIO 2017      " sheetId="13" r:id="rId12"/>
    <sheet name="Hoja1" sheetId="14" r:id="rId13"/>
    <sheet name="Hoja2" sheetId="15" r:id="rId14"/>
    <sheet name="Hoja3" sheetId="16" r:id="rId15"/>
    <sheet name="Hoja5" sheetId="17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3" l="1"/>
  <c r="J44" i="13" l="1"/>
  <c r="O45" i="13"/>
  <c r="L45" i="13"/>
  <c r="E20" i="13" l="1"/>
  <c r="O64" i="13"/>
  <c r="L64" i="13"/>
  <c r="J60" i="13"/>
  <c r="J56" i="13"/>
  <c r="J55" i="13"/>
  <c r="J54" i="13" l="1"/>
  <c r="F34" i="13" l="1"/>
  <c r="F35" i="13"/>
  <c r="F36" i="13"/>
  <c r="F37" i="13"/>
  <c r="F38" i="13"/>
  <c r="F39" i="13"/>
  <c r="F40" i="13"/>
  <c r="F41" i="13"/>
  <c r="F42" i="13" l="1"/>
  <c r="E10" i="13"/>
  <c r="J38" i="13"/>
  <c r="J37" i="13"/>
  <c r="J34" i="13"/>
  <c r="J32" i="13"/>
  <c r="E22" i="11" l="1"/>
  <c r="J17" i="13"/>
  <c r="J16" i="13" l="1"/>
  <c r="J4" i="13" l="1"/>
  <c r="J23" i="13"/>
  <c r="J11" i="13"/>
  <c r="J10" i="13"/>
  <c r="J8" i="13"/>
  <c r="J9" i="13" l="1"/>
  <c r="J7" i="13"/>
  <c r="O24" i="13"/>
  <c r="L24" i="13"/>
  <c r="E18" i="11" l="1"/>
  <c r="K47" i="10" l="1"/>
  <c r="C76" i="13" l="1"/>
  <c r="E42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K47" i="12"/>
  <c r="I38" i="12"/>
  <c r="F38" i="12"/>
  <c r="C38" i="12"/>
  <c r="M37" i="12"/>
  <c r="N36" i="12"/>
  <c r="L38" i="12"/>
  <c r="S7" i="12"/>
  <c r="K40" i="12" l="1"/>
  <c r="F41" i="12" s="1"/>
  <c r="F44" i="12" s="1"/>
  <c r="F48" i="12" s="1"/>
  <c r="K44" i="12" s="1"/>
  <c r="K49" i="12" s="1"/>
  <c r="S8" i="11"/>
  <c r="S21" i="11" s="1"/>
  <c r="S7" i="11"/>
  <c r="S6" i="11"/>
  <c r="S4" i="11"/>
  <c r="X22" i="11"/>
  <c r="U22" i="11"/>
  <c r="E6" i="11" l="1"/>
  <c r="K50" i="11"/>
  <c r="I49" i="11"/>
  <c r="N50" i="11"/>
  <c r="I43" i="11" l="1"/>
  <c r="I42" i="11"/>
  <c r="I41" i="11"/>
  <c r="I40" i="11"/>
  <c r="I39" i="11"/>
  <c r="I38" i="11" l="1"/>
  <c r="I36" i="11"/>
  <c r="L14" i="10"/>
  <c r="I34" i="11"/>
  <c r="I33" i="11"/>
  <c r="I32" i="11"/>
  <c r="E21" i="9" l="1"/>
  <c r="I12" i="11"/>
  <c r="I11" i="11"/>
  <c r="I10" i="11"/>
  <c r="I9" i="11"/>
  <c r="I7" i="11"/>
  <c r="I6" i="11" l="1"/>
  <c r="I5" i="11" l="1"/>
  <c r="I4" i="11" l="1"/>
  <c r="N24" i="11"/>
  <c r="K24" i="11"/>
  <c r="I23" i="11" l="1"/>
  <c r="F10" i="11"/>
  <c r="F11" i="11"/>
  <c r="F12" i="11"/>
  <c r="F13" i="11"/>
  <c r="F21" i="11"/>
  <c r="F22" i="11"/>
  <c r="F14" i="11"/>
  <c r="F15" i="11"/>
  <c r="F16" i="11"/>
  <c r="F17" i="11"/>
  <c r="C76" i="11"/>
  <c r="C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0" i="11"/>
  <c r="F19" i="11"/>
  <c r="F18" i="11"/>
  <c r="F9" i="11"/>
  <c r="F8" i="11"/>
  <c r="F7" i="11"/>
  <c r="F6" i="11"/>
  <c r="F5" i="11"/>
  <c r="F4" i="11"/>
  <c r="E35" i="11"/>
  <c r="L38" i="10"/>
  <c r="I38" i="10"/>
  <c r="F38" i="10"/>
  <c r="C38" i="10"/>
  <c r="M37" i="10"/>
  <c r="N36" i="10"/>
  <c r="S7" i="10"/>
  <c r="F3" i="11" l="1"/>
  <c r="F35" i="11" s="1"/>
  <c r="K40" i="10"/>
  <c r="F41" i="10" s="1"/>
  <c r="F44" i="10" s="1"/>
  <c r="F48" i="10" s="1"/>
  <c r="K44" i="10" s="1"/>
  <c r="K49" i="10" s="1"/>
  <c r="E18" i="9"/>
  <c r="T12" i="9"/>
  <c r="Y12" i="9"/>
  <c r="V12" i="9"/>
  <c r="T7" i="9"/>
  <c r="T5" i="9"/>
  <c r="E3" i="9" l="1"/>
  <c r="L52" i="9" l="1"/>
  <c r="J45" i="9" l="1"/>
  <c r="J46" i="9"/>
  <c r="J41" i="9"/>
  <c r="J42" i="9"/>
  <c r="J39" i="9"/>
  <c r="J37" i="9" l="1"/>
  <c r="J35" i="9"/>
  <c r="J33" i="9"/>
  <c r="O52" i="9"/>
  <c r="J51" i="9" l="1"/>
  <c r="O24" i="9" l="1"/>
  <c r="E17" i="7"/>
  <c r="J13" i="9"/>
  <c r="J12" i="9"/>
  <c r="J10" i="9"/>
  <c r="F20" i="9"/>
  <c r="F21" i="9"/>
  <c r="F22" i="9"/>
  <c r="F23" i="9"/>
  <c r="J9" i="9"/>
  <c r="J8" i="9"/>
  <c r="J7" i="9"/>
  <c r="J5" i="9" l="1"/>
  <c r="C67" i="9" l="1"/>
  <c r="K47" i="8"/>
  <c r="K47" i="3" l="1"/>
  <c r="K47" i="6"/>
  <c r="C74" i="7" l="1"/>
  <c r="J4" i="9" l="1"/>
  <c r="L24" i="9" l="1"/>
  <c r="J23" i="9"/>
  <c r="E26" i="9" l="1"/>
  <c r="C26" i="9"/>
  <c r="F25" i="9"/>
  <c r="F24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6" i="9" l="1"/>
  <c r="L38" i="8"/>
  <c r="I38" i="8"/>
  <c r="F38" i="8"/>
  <c r="C38" i="8"/>
  <c r="M37" i="8"/>
  <c r="N36" i="8"/>
  <c r="S7" i="8"/>
  <c r="K40" i="8" l="1"/>
  <c r="F41" i="8" s="1"/>
  <c r="F44" i="8" s="1"/>
  <c r="F48" i="8" s="1"/>
  <c r="K44" i="8" s="1"/>
  <c r="K49" i="8" s="1"/>
  <c r="F17" i="7"/>
  <c r="F18" i="7"/>
  <c r="F19" i="7"/>
  <c r="F20" i="7"/>
  <c r="F21" i="7"/>
  <c r="F22" i="7"/>
  <c r="F23" i="7"/>
  <c r="F24" i="7"/>
  <c r="F25" i="7"/>
  <c r="F26" i="7"/>
  <c r="F27" i="7"/>
  <c r="E15" i="7"/>
  <c r="S6" i="7"/>
  <c r="S5" i="7"/>
  <c r="S14" i="7" s="1"/>
  <c r="S4" i="7"/>
  <c r="X15" i="7"/>
  <c r="U15" i="7"/>
  <c r="E3" i="7" l="1"/>
  <c r="L41" i="7"/>
  <c r="J35" i="7"/>
  <c r="J33" i="7"/>
  <c r="J31" i="7"/>
  <c r="J29" i="7"/>
  <c r="J28" i="7"/>
  <c r="J26" i="7"/>
  <c r="J27" i="7"/>
  <c r="J25" i="7"/>
  <c r="O41" i="7"/>
  <c r="J40" i="7" l="1"/>
  <c r="E20" i="4"/>
  <c r="J7" i="7"/>
  <c r="J6" i="7"/>
  <c r="J5" i="7"/>
  <c r="J4" i="7" l="1"/>
  <c r="J14" i="7" l="1"/>
  <c r="O15" i="7"/>
  <c r="L15" i="7"/>
  <c r="E17" i="4" l="1"/>
  <c r="C31" i="7"/>
  <c r="F30" i="7"/>
  <c r="F29" i="7"/>
  <c r="F28" i="7"/>
  <c r="F16" i="7"/>
  <c r="F15" i="7"/>
  <c r="F14" i="7"/>
  <c r="F13" i="7"/>
  <c r="F12" i="7"/>
  <c r="E31" i="7"/>
  <c r="F10" i="7"/>
  <c r="F9" i="7"/>
  <c r="F8" i="7"/>
  <c r="F7" i="7"/>
  <c r="F6" i="7"/>
  <c r="F5" i="7"/>
  <c r="F4" i="7"/>
  <c r="F3" i="7"/>
  <c r="L38" i="6"/>
  <c r="I38" i="6"/>
  <c r="F38" i="6"/>
  <c r="C38" i="6"/>
  <c r="M37" i="6"/>
  <c r="N36" i="6"/>
  <c r="S7" i="6"/>
  <c r="F11" i="7" l="1"/>
  <c r="F31" i="7" s="1"/>
  <c r="K40" i="6"/>
  <c r="F41" i="6" s="1"/>
  <c r="F44" i="6" s="1"/>
  <c r="F48" i="6" s="1"/>
  <c r="K44" i="6" s="1"/>
  <c r="K49" i="6" s="1"/>
  <c r="S8" i="4" l="1"/>
  <c r="C76" i="4" l="1"/>
  <c r="S6" i="4"/>
  <c r="S5" i="4" l="1"/>
  <c r="X16" i="4" l="1"/>
  <c r="U16" i="4"/>
  <c r="S16" i="4"/>
  <c r="S7" i="3" l="1"/>
  <c r="E11" i="4" l="1"/>
  <c r="J37" i="4"/>
  <c r="J36" i="4"/>
  <c r="J35" i="4"/>
  <c r="J34" i="4"/>
  <c r="J32" i="4"/>
  <c r="O42" i="4"/>
  <c r="L42" i="4"/>
  <c r="J42" i="4" l="1"/>
  <c r="V19" i="2"/>
  <c r="O22" i="4"/>
  <c r="L22" i="4" l="1"/>
  <c r="J19" i="4"/>
  <c r="J46" i="2" l="1"/>
  <c r="J45" i="2"/>
  <c r="J44" i="2"/>
  <c r="E38" i="4" l="1"/>
  <c r="C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8" i="4" l="1"/>
  <c r="L38" i="3"/>
  <c r="I38" i="3"/>
  <c r="F38" i="3"/>
  <c r="C38" i="3"/>
  <c r="M37" i="3"/>
  <c r="N36" i="3"/>
  <c r="K40" i="3" l="1"/>
  <c r="F41" i="3" s="1"/>
  <c r="F44" i="3" s="1"/>
  <c r="F48" i="3" s="1"/>
  <c r="K44" i="3" s="1"/>
  <c r="K49" i="3" s="1"/>
  <c r="O59" i="2"/>
  <c r="L59" i="2"/>
  <c r="J59" i="2"/>
  <c r="Y19" i="2" l="1"/>
  <c r="T11" i="2"/>
  <c r="T10" i="2"/>
  <c r="T8" i="2"/>
  <c r="T7" i="2"/>
  <c r="T6" i="2"/>
  <c r="T4" i="2"/>
  <c r="T19" i="2" s="1"/>
  <c r="O35" i="2" l="1"/>
  <c r="L35" i="2"/>
  <c r="J18" i="2"/>
  <c r="J17" i="2"/>
  <c r="J16" i="2"/>
  <c r="J15" i="2"/>
  <c r="J14" i="2"/>
  <c r="J11" i="2"/>
  <c r="J8" i="2"/>
  <c r="J6" i="2"/>
  <c r="J34" i="2" s="1"/>
  <c r="C76" i="2" l="1"/>
  <c r="C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E17" i="2"/>
  <c r="F17" i="2" s="1"/>
  <c r="F16" i="2"/>
  <c r="F15" i="2"/>
  <c r="F14" i="2"/>
  <c r="F13" i="2"/>
  <c r="F12" i="2"/>
  <c r="F11" i="2"/>
  <c r="F10" i="2"/>
  <c r="F9" i="2"/>
  <c r="E8" i="2"/>
  <c r="F8" i="2" s="1"/>
  <c r="F7" i="2"/>
  <c r="F6" i="2"/>
  <c r="E5" i="2"/>
  <c r="F4" i="2"/>
  <c r="F3" i="2"/>
  <c r="E51" i="2" l="1"/>
  <c r="F5" i="2"/>
  <c r="F51" i="2" s="1"/>
  <c r="M47" i="1" l="1"/>
  <c r="L38" i="1"/>
  <c r="I38" i="1"/>
  <c r="K40" i="1" s="1"/>
  <c r="F38" i="1"/>
  <c r="C38" i="1"/>
  <c r="M37" i="1"/>
  <c r="N36" i="1"/>
  <c r="F41" i="1" l="1"/>
  <c r="F44" i="1" s="1"/>
  <c r="F48" i="1" s="1"/>
  <c r="K44" i="1" s="1"/>
  <c r="K49" i="1" s="1"/>
  <c r="J63" i="13"/>
</calcChain>
</file>

<file path=xl/comments1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<sst xmlns="http://schemas.openxmlformats.org/spreadsheetml/2006/main" count="1327" uniqueCount="514">
  <si>
    <t xml:space="preserve">BALANCE       DE     E N E R O         2 0 1 7        11  S U R   </t>
  </si>
  <si>
    <t>Elaborado por Rosy Tellez</t>
  </si>
  <si>
    <t>COMPRAS</t>
  </si>
  <si>
    <t>INVENTARIO INICIAL</t>
  </si>
  <si>
    <t xml:space="preserve">VENTAS  </t>
  </si>
  <si>
    <t>G  A  S   T  O  S</t>
  </si>
  <si>
    <t>BANCO</t>
  </si>
  <si>
    <t>PATRULLA</t>
  </si>
  <si>
    <t>BETY</t>
  </si>
  <si>
    <t>TELEFONOS</t>
  </si>
  <si>
    <t>R-20147</t>
  </si>
  <si>
    <t>LUZ  28-ENE</t>
  </si>
  <si>
    <t>ROSA BERMUDES</t>
  </si>
  <si>
    <t>R-2014-POLLO</t>
  </si>
  <si>
    <t>RENTA</t>
  </si>
  <si>
    <t>R-20147-20400-</t>
  </si>
  <si>
    <t>2-8 Ene</t>
  </si>
  <si>
    <t>NOMINA 01</t>
  </si>
  <si>
    <t>R-20400</t>
  </si>
  <si>
    <t>9-15-Ene</t>
  </si>
  <si>
    <t>NOMINA 02</t>
  </si>
  <si>
    <t>R-20400-MAIZ-CHORIZO</t>
  </si>
  <si>
    <t>16-22 Ene</t>
  </si>
  <si>
    <t>NOMINA 03</t>
  </si>
  <si>
    <t xml:space="preserve">23-29 Ene </t>
  </si>
  <si>
    <t>NOMINA 04</t>
  </si>
  <si>
    <t>R-20400-Pollo</t>
  </si>
  <si>
    <t xml:space="preserve">NOMINA </t>
  </si>
  <si>
    <t>R-20400-20570</t>
  </si>
  <si>
    <t xml:space="preserve">Vacaciones </t>
  </si>
  <si>
    <t>R-20570-20760-20845</t>
  </si>
  <si>
    <t>CAMARA Refrigeracion</t>
  </si>
  <si>
    <t>R-20845--21026--POLLO-CHORIZO</t>
  </si>
  <si>
    <t>R-21026</t>
  </si>
  <si>
    <t>R-21026--POLLO--MAIZ</t>
  </si>
  <si>
    <t>PENSION Nissan</t>
  </si>
  <si>
    <t>R-21026--21318</t>
  </si>
  <si>
    <t>R-21318</t>
  </si>
  <si>
    <t>MANTENIMIENTO</t>
  </si>
  <si>
    <t>R-21318-pollo</t>
  </si>
  <si>
    <t xml:space="preserve">Bascula </t>
  </si>
  <si>
    <t>R-21318--21728</t>
  </si>
  <si>
    <t xml:space="preserve">Fumigacion </t>
  </si>
  <si>
    <t>R-21728--21793--217910</t>
  </si>
  <si>
    <t>R-21790 -POLLO-CHORIZO</t>
  </si>
  <si>
    <t>LLANTAS</t>
  </si>
  <si>
    <t>R-21790-22228-21995-</t>
  </si>
  <si>
    <t>R-22228-22192-POLLO</t>
  </si>
  <si>
    <t>R-22192-22537-CHORIZO</t>
  </si>
  <si>
    <t>Elias  17-Ene</t>
  </si>
  <si>
    <t>R-22537</t>
  </si>
  <si>
    <t xml:space="preserve">Elias  22-Ene </t>
  </si>
  <si>
    <t xml:space="preserve">Elias   29-Ene </t>
  </si>
  <si>
    <t>R+22537</t>
  </si>
  <si>
    <t xml:space="preserve">Elias  </t>
  </si>
  <si>
    <t>R-22537-22737-23019-POLLO</t>
  </si>
  <si>
    <t>R-23019--23136</t>
  </si>
  <si>
    <t>R-23136-23259</t>
  </si>
  <si>
    <t>R-23259-POLLO</t>
  </si>
  <si>
    <t>R-23259-23375-23466-CHORIZO</t>
  </si>
  <si>
    <t>TOTAL</t>
  </si>
  <si>
    <t>GRAN TOTAL GASTOS</t>
  </si>
  <si>
    <t>VENTAS NETAS</t>
  </si>
  <si>
    <t>PROVEEDOREES</t>
  </si>
  <si>
    <t xml:space="preserve"> </t>
  </si>
  <si>
    <t>Sub Total 1</t>
  </si>
  <si>
    <t>SUB TOTAL</t>
  </si>
  <si>
    <t>MAS</t>
  </si>
  <si>
    <t>CREDITOS</t>
  </si>
  <si>
    <t>INVENTARIO FINAL</t>
  </si>
  <si>
    <t>INVENTARIO INICIAL  -</t>
  </si>
  <si>
    <t xml:space="preserve">Sub Total 2 </t>
  </si>
  <si>
    <t xml:space="preserve">REMISIONES  11 SUR   E N E R O   2 0 1 7 </t>
  </si>
  <si>
    <t>20760 C</t>
  </si>
  <si>
    <t>20845 C</t>
  </si>
  <si>
    <t>21026 C</t>
  </si>
  <si>
    <t>14-Ene --21-Ene</t>
  </si>
  <si>
    <t>21318 C</t>
  </si>
  <si>
    <t>21728 C</t>
  </si>
  <si>
    <t>21790 C</t>
  </si>
  <si>
    <t xml:space="preserve">21-Ene --30-Ene </t>
  </si>
  <si>
    <t>21793 C</t>
  </si>
  <si>
    <t>21995 C</t>
  </si>
  <si>
    <t>22192 C</t>
  </si>
  <si>
    <t>22228 C</t>
  </si>
  <si>
    <t>22537 C</t>
  </si>
  <si>
    <t>22737 C</t>
  </si>
  <si>
    <t>23019 C</t>
  </si>
  <si>
    <t>23136 C</t>
  </si>
  <si>
    <t>23259 C</t>
  </si>
  <si>
    <t xml:space="preserve">30-Ene --14-Feb </t>
  </si>
  <si>
    <t>23375 C</t>
  </si>
  <si>
    <t>23466 C</t>
  </si>
  <si>
    <t>23618 C</t>
  </si>
  <si>
    <t>23750 C</t>
  </si>
  <si>
    <t>24140 C</t>
  </si>
  <si>
    <t>24006 C</t>
  </si>
  <si>
    <t>POLLO</t>
  </si>
  <si>
    <t>CHORIZO--MAIZ</t>
  </si>
  <si>
    <t>pollo</t>
  </si>
  <si>
    <t>pollo--chorizo</t>
  </si>
  <si>
    <t>POLLO-MAIZ</t>
  </si>
  <si>
    <t>POLLO-CHRIZO--SAZONADOR</t>
  </si>
  <si>
    <t xml:space="preserve">CHORIZO  </t>
  </si>
  <si>
    <t>CHORIZO</t>
  </si>
  <si>
    <t xml:space="preserve">PAGOS DE 11 SUR </t>
  </si>
  <si>
    <t>Remision</t>
  </si>
  <si>
    <t>IMPORTE</t>
  </si>
  <si>
    <t># transfer</t>
  </si>
  <si>
    <t>IMPORTE Transfer</t>
  </si>
  <si>
    <t>18385 C</t>
  </si>
  <si>
    <t>RESTO</t>
  </si>
  <si>
    <t>18663 C</t>
  </si>
  <si>
    <t>Santander</t>
  </si>
  <si>
    <t>18971 C</t>
  </si>
  <si>
    <t>18978 C</t>
  </si>
  <si>
    <t>19253 C</t>
  </si>
  <si>
    <t>19429 C</t>
  </si>
  <si>
    <t>19585 C</t>
  </si>
  <si>
    <t>19667 C</t>
  </si>
  <si>
    <t>19927 C</t>
  </si>
  <si>
    <t>19962 C</t>
  </si>
  <si>
    <t>20147 C</t>
  </si>
  <si>
    <t>20400 C</t>
  </si>
  <si>
    <t>20570 C</t>
  </si>
  <si>
    <t>ABONO</t>
  </si>
  <si>
    <t xml:space="preserve">BALANCE       DE     F E B R E R O          2 0 1 7        11  S U R   </t>
  </si>
  <si>
    <t>}</t>
  </si>
  <si>
    <t>R-23466</t>
  </si>
  <si>
    <t>R-23496-23618</t>
  </si>
  <si>
    <t>R-23618-23750-24006</t>
  </si>
  <si>
    <t xml:space="preserve">LUZ  </t>
  </si>
  <si>
    <t>R-24006--R-24140-pollo</t>
  </si>
  <si>
    <t>R-24140</t>
  </si>
  <si>
    <t>30-5-Feb</t>
  </si>
  <si>
    <t>NOMINA 05</t>
  </si>
  <si>
    <t>06-12 feb</t>
  </si>
  <si>
    <t>NOMINA 06</t>
  </si>
  <si>
    <t>R-24140-POLLO*CHORIZO</t>
  </si>
  <si>
    <t>NOMINA 07</t>
  </si>
  <si>
    <t>R-2414</t>
  </si>
  <si>
    <t>NOMINA 08</t>
  </si>
  <si>
    <t>R-24140-24404-24403-24441-24519-011</t>
  </si>
  <si>
    <t>011 D</t>
  </si>
  <si>
    <t>11-24932-93</t>
  </si>
  <si>
    <t>93--159</t>
  </si>
  <si>
    <t>Comisiones Rosa B</t>
  </si>
  <si>
    <t>Elias  05-Febrero,.</t>
  </si>
  <si>
    <t>Elias 12-Feb</t>
  </si>
  <si>
    <t xml:space="preserve">REMISIONES  11 SUR   F E B R E RO      2 0 1 7 </t>
  </si>
  <si>
    <t>24403 C</t>
  </si>
  <si>
    <t>24404 C</t>
  </si>
  <si>
    <t>24441 C</t>
  </si>
  <si>
    <t>24519 C</t>
  </si>
  <si>
    <t>24904 C</t>
  </si>
  <si>
    <t>24932 C</t>
  </si>
  <si>
    <t>00011 D</t>
  </si>
  <si>
    <t>00093 D</t>
  </si>
  <si>
    <t>00159 D</t>
  </si>
  <si>
    <t>00254 D</t>
  </si>
  <si>
    <t>04013 D</t>
  </si>
  <si>
    <t>00711 D</t>
  </si>
  <si>
    <t>01037 D</t>
  </si>
  <si>
    <t>01134 D</t>
  </si>
  <si>
    <t>01262 D</t>
  </si>
  <si>
    <t>POLLO--chorizo</t>
  </si>
  <si>
    <t>CEBOLLA-PEREJIL</t>
  </si>
  <si>
    <t>MAIZ</t>
  </si>
  <si>
    <t>01677 D</t>
  </si>
  <si>
    <t>01707 D</t>
  </si>
  <si>
    <t>01532 D</t>
  </si>
  <si>
    <t>resto</t>
  </si>
  <si>
    <t>01881 D</t>
  </si>
  <si>
    <t>02324 D</t>
  </si>
  <si>
    <t>02447 D</t>
  </si>
  <si>
    <t xml:space="preserve">14 Feb --25-Feb </t>
  </si>
  <si>
    <t>R-159--254</t>
  </si>
  <si>
    <t>R-254</t>
  </si>
  <si>
    <t>R-254-403-711-CHORIZO</t>
  </si>
  <si>
    <t>POLLO--CHORIZO</t>
  </si>
  <si>
    <t>R-711-MAIZ-POLLO</t>
  </si>
  <si>
    <t>MAIZ--POLLO</t>
  </si>
  <si>
    <t>13-19-FEB</t>
  </si>
  <si>
    <t>R-711</t>
  </si>
  <si>
    <t xml:space="preserve">Elias  19-Feb </t>
  </si>
  <si>
    <t>R-711-1037-1134</t>
  </si>
  <si>
    <t>R-1134-1262</t>
  </si>
  <si>
    <t>CHORIZO--POLLO</t>
  </si>
  <si>
    <t>R-1262-POLLO--CHORIZO</t>
  </si>
  <si>
    <t>02523 D</t>
  </si>
  <si>
    <t>R-1262-condimento</t>
  </si>
  <si>
    <t>R-1262</t>
  </si>
  <si>
    <t>condimento</t>
  </si>
  <si>
    <t>Elias  25 -Feb</t>
  </si>
  <si>
    <t>R-12692-249014-1532</t>
  </si>
  <si>
    <t>20-26-FEB</t>
  </si>
  <si>
    <t>R-1532</t>
  </si>
  <si>
    <t>R-1532-1677-1707-CHORIZO</t>
  </si>
  <si>
    <t>R-1707</t>
  </si>
  <si>
    <t xml:space="preserve">REMISIONES  11 SUR   M A R Z O       2 0 1 7 </t>
  </si>
  <si>
    <t>01-Marzo,</t>
  </si>
  <si>
    <t>R-1707-salsa arabe</t>
  </si>
  <si>
    <t>abono</t>
  </si>
  <si>
    <t>25-Feb--03-mar</t>
  </si>
  <si>
    <t>02789 D</t>
  </si>
  <si>
    <t>02956 D</t>
  </si>
  <si>
    <t>02957 D</t>
  </si>
  <si>
    <t>03116 D</t>
  </si>
  <si>
    <t>03126 D</t>
  </si>
  <si>
    <t>03213 D</t>
  </si>
  <si>
    <t>03388 D</t>
  </si>
  <si>
    <t>03396 D</t>
  </si>
  <si>
    <t>R-1707-POLLO</t>
  </si>
  <si>
    <t>R-1707--1881</t>
  </si>
  <si>
    <t>R-2324-1881--MAIZ-POLLO</t>
  </si>
  <si>
    <t>Elias  05-MAR</t>
  </si>
  <si>
    <t>R-2324-2447</t>
  </si>
  <si>
    <t>R-2447-chorizo</t>
  </si>
  <si>
    <t>08-MARZO.,</t>
  </si>
  <si>
    <t>R-2447</t>
  </si>
  <si>
    <t xml:space="preserve">03-Mar --13-Mar </t>
  </si>
  <si>
    <t>03615 D</t>
  </si>
  <si>
    <t>03732 D</t>
  </si>
  <si>
    <t>03923 D</t>
  </si>
  <si>
    <t>04006 D</t>
  </si>
  <si>
    <t>04297 D</t>
  </si>
  <si>
    <t>04570 D</t>
  </si>
  <si>
    <t>04946 D</t>
  </si>
  <si>
    <t>04948 D</t>
  </si>
  <si>
    <t>R-2789--2956-2*957--POLLO</t>
  </si>
  <si>
    <t>11-Mar.,</t>
  </si>
  <si>
    <t>R-2957-3126-3116</t>
  </si>
  <si>
    <t>R-3116</t>
  </si>
  <si>
    <t xml:space="preserve">Vacaciones Rosa </t>
  </si>
  <si>
    <t>R-3116-3213</t>
  </si>
  <si>
    <t>R-3213-3396-3388</t>
  </si>
  <si>
    <t>R-3388--3615--POLLO</t>
  </si>
  <si>
    <t>R-3615</t>
  </si>
  <si>
    <t>R-3615--POLLO-CHORIZO</t>
  </si>
  <si>
    <t>R-3615-3732-3923-MAIZ</t>
  </si>
  <si>
    <t>Elias  19-Mar</t>
  </si>
  <si>
    <t>Elias 12 Mar</t>
  </si>
  <si>
    <t>R-3923</t>
  </si>
  <si>
    <t>R-3923-4006-4297-POLLO</t>
  </si>
  <si>
    <t xml:space="preserve">13-Mar-23-Mar </t>
  </si>
  <si>
    <t>05330 D</t>
  </si>
  <si>
    <t>05537 D</t>
  </si>
  <si>
    <t>perdida</t>
  </si>
  <si>
    <t>R-4297</t>
  </si>
  <si>
    <t>05689 D</t>
  </si>
  <si>
    <t>05841 D</t>
  </si>
  <si>
    <t>05993 D</t>
  </si>
  <si>
    <t>06203 D</t>
  </si>
  <si>
    <t>06205 D</t>
  </si>
  <si>
    <t>R-4297-4570-maiz-pollo</t>
  </si>
  <si>
    <t>Elias  26-Mar</t>
  </si>
  <si>
    <t>06-12 MAR</t>
  </si>
  <si>
    <t>27-5 MAR</t>
  </si>
  <si>
    <t>13-19-,MAR</t>
  </si>
  <si>
    <t>R-4570-4948-4946</t>
  </si>
  <si>
    <t>R-4946</t>
  </si>
  <si>
    <t xml:space="preserve">23-Mar --30-Mar </t>
  </si>
  <si>
    <t>06387 D</t>
  </si>
  <si>
    <t xml:space="preserve">BALANCE       DE     M A R Z O           2 0 1 7        11  S U R   </t>
  </si>
  <si>
    <t xml:space="preserve">BALANCE       DE     A B R I L          2 0 1 7        11  S U R   </t>
  </si>
  <si>
    <t xml:space="preserve">REMISIONES  11 SUR   A B R I L        2 0 1 7 </t>
  </si>
  <si>
    <t>06683 D</t>
  </si>
  <si>
    <t>R-4946-POLLO--chorizo</t>
  </si>
  <si>
    <t>R-5330--4946</t>
  </si>
  <si>
    <t>R-5330-pollo</t>
  </si>
  <si>
    <t>salsa arabe</t>
  </si>
  <si>
    <t>pollo--maiz</t>
  </si>
  <si>
    <t>maiz</t>
  </si>
  <si>
    <t>maiz--pollo</t>
  </si>
  <si>
    <t>PERDIDA</t>
  </si>
  <si>
    <t xml:space="preserve">INVENTARIO </t>
  </si>
  <si>
    <t>INVENTARIO</t>
  </si>
  <si>
    <t>R-422--POLLO-MAIZ</t>
  </si>
  <si>
    <t>POLLO--MAIZ</t>
  </si>
  <si>
    <t>NOMINA 10</t>
  </si>
  <si>
    <t>NOMINA 11</t>
  </si>
  <si>
    <t>NOMINA 12</t>
  </si>
  <si>
    <t>NOMINA 09</t>
  </si>
  <si>
    <t>NOMINA 13</t>
  </si>
  <si>
    <t>NOMINA 14</t>
  </si>
  <si>
    <t>NOMINA 15</t>
  </si>
  <si>
    <t>NOMINA 16</t>
  </si>
  <si>
    <t>Elias  02-ABRIL</t>
  </si>
  <si>
    <t>06896 D</t>
  </si>
  <si>
    <t>07051 D</t>
  </si>
  <si>
    <t>07169 D</t>
  </si>
  <si>
    <t>07402 D</t>
  </si>
  <si>
    <t>07525 D</t>
  </si>
  <si>
    <t>07682 D</t>
  </si>
  <si>
    <t>BBVA</t>
  </si>
  <si>
    <t>06524 D</t>
  </si>
  <si>
    <t xml:space="preserve">30-Mar --13-Abril </t>
  </si>
  <si>
    <t>R-5330-5537-5689</t>
  </si>
  <si>
    <t>R-5689-5841</t>
  </si>
  <si>
    <t>R-5841</t>
  </si>
  <si>
    <t>R-5841-chorizo</t>
  </si>
  <si>
    <t>R-5841--5993</t>
  </si>
  <si>
    <t>R-5993--6205--6203</t>
  </si>
  <si>
    <t>R-6203--MAIZ</t>
  </si>
  <si>
    <t>07795 D</t>
  </si>
  <si>
    <t>07909 D</t>
  </si>
  <si>
    <t>20-26-MAR</t>
  </si>
  <si>
    <t>27-02-Abril</t>
  </si>
  <si>
    <t>03-09 Abril</t>
  </si>
  <si>
    <t>R-6203-6387</t>
  </si>
  <si>
    <t>R-6387--6524</t>
  </si>
  <si>
    <t>R-6524--Pollo-chorizo</t>
  </si>
  <si>
    <t>07943 D</t>
  </si>
  <si>
    <t>08414 D</t>
  </si>
  <si>
    <t>08162 D</t>
  </si>
  <si>
    <t>08502 D</t>
  </si>
  <si>
    <t>08544 D</t>
  </si>
  <si>
    <t>08685 D</t>
  </si>
  <si>
    <t>08727 D</t>
  </si>
  <si>
    <t>08846 D</t>
  </si>
  <si>
    <t>08972 D</t>
  </si>
  <si>
    <t>R-6524--6683</t>
  </si>
  <si>
    <t>R-6683-6896-7051</t>
  </si>
  <si>
    <t>R-7051-7169-7525-7402</t>
  </si>
  <si>
    <t>R-7402</t>
  </si>
  <si>
    <t xml:space="preserve">Elias  09-ABRIL </t>
  </si>
  <si>
    <t>Elias  16-ABRIL</t>
  </si>
  <si>
    <t xml:space="preserve">10-16-Abril </t>
  </si>
  <si>
    <t>R-7402--POLLO</t>
  </si>
  <si>
    <t>R-7402--7682--chorizo</t>
  </si>
  <si>
    <t>R-7682-7943</t>
  </si>
  <si>
    <t>R-7943-7909--POLLO</t>
  </si>
  <si>
    <t>R-7909-MAIZ</t>
  </si>
  <si>
    <t>R-7909-8162-8414</t>
  </si>
  <si>
    <t xml:space="preserve">Elias 23-Abril </t>
  </si>
  <si>
    <t xml:space="preserve">17--23 Abril </t>
  </si>
  <si>
    <t>R-8544-8502</t>
  </si>
  <si>
    <t>R-8502-8685--POLLO</t>
  </si>
  <si>
    <t xml:space="preserve">13 Abril --25-Abril </t>
  </si>
  <si>
    <t>09195 D</t>
  </si>
  <si>
    <t>09593 D</t>
  </si>
  <si>
    <t>R-7795-8685--CHORIZO</t>
  </si>
  <si>
    <t>R-8685-8727-8846</t>
  </si>
  <si>
    <t>R-8846-8972</t>
  </si>
  <si>
    <t>25-Abril--29-Abril q</t>
  </si>
  <si>
    <t>09969 D</t>
  </si>
  <si>
    <t>09798 D</t>
  </si>
  <si>
    <t>NOMINA 17</t>
  </si>
  <si>
    <t>NOMINA 18</t>
  </si>
  <si>
    <t>NOMINA 19</t>
  </si>
  <si>
    <t>NOMINA 20</t>
  </si>
  <si>
    <t xml:space="preserve">BALANCE       DE     M A Y O          2 0 1 7        11  S U R   </t>
  </si>
  <si>
    <t xml:space="preserve">REMISIONES  11 SUR   M A Y O       2 0 1 7 </t>
  </si>
  <si>
    <t>10111 D</t>
  </si>
  <si>
    <t>10209 D</t>
  </si>
  <si>
    <t>10393 D</t>
  </si>
  <si>
    <t>10471 D</t>
  </si>
  <si>
    <t>10720 D</t>
  </si>
  <si>
    <t>10782 D</t>
  </si>
  <si>
    <t>10961 D</t>
  </si>
  <si>
    <t>R-8972</t>
  </si>
  <si>
    <t>R-8972-9195-POLLO</t>
  </si>
  <si>
    <t xml:space="preserve">24--30 Abril </t>
  </si>
  <si>
    <t xml:space="preserve">ELIAS 30 ABRIL </t>
  </si>
  <si>
    <t xml:space="preserve">POLLO   </t>
  </si>
  <si>
    <t>POLLO-CHORIZO</t>
  </si>
  <si>
    <t>R9195-9593--Chorizo</t>
  </si>
  <si>
    <t>chorizo</t>
  </si>
  <si>
    <t>R-9593</t>
  </si>
  <si>
    <t>11060 D</t>
  </si>
  <si>
    <t>11181 D</t>
  </si>
  <si>
    <t>11294 D</t>
  </si>
  <si>
    <t>11409 D</t>
  </si>
  <si>
    <t>R-95936--chorizo</t>
  </si>
  <si>
    <t>M Antonio</t>
  </si>
  <si>
    <t>R-9593-9798-9969</t>
  </si>
  <si>
    <t>R-9969-10111-maiz-salsas</t>
  </si>
  <si>
    <t>maiz--pollo--condimentos</t>
  </si>
  <si>
    <t>R-10111-10209</t>
  </si>
  <si>
    <t>R-10209</t>
  </si>
  <si>
    <t>R-10209--10393</t>
  </si>
  <si>
    <t>R-10393-10471--POLLO</t>
  </si>
  <si>
    <t>R-10471</t>
  </si>
  <si>
    <t>29-Abril--13-May</t>
  </si>
  <si>
    <t>01-7-May</t>
  </si>
  <si>
    <t>08-14-may</t>
  </si>
  <si>
    <t>11713 D</t>
  </si>
  <si>
    <t>11762 D</t>
  </si>
  <si>
    <t>11909 D</t>
  </si>
  <si>
    <t>12054 D</t>
  </si>
  <si>
    <t>12159 D</t>
  </si>
  <si>
    <t>12304 D</t>
  </si>
  <si>
    <t>12459 D</t>
  </si>
  <si>
    <t>R-10782-10961-11060</t>
  </si>
  <si>
    <t xml:space="preserve">Maribel Hdz 13-may </t>
  </si>
  <si>
    <t xml:space="preserve">Elias   7 May </t>
  </si>
  <si>
    <t xml:space="preserve">Elias  14 May </t>
  </si>
  <si>
    <t>R-11060-11181-11294</t>
  </si>
  <si>
    <t>R-11294-CHORIZO-PECGUGA</t>
  </si>
  <si>
    <t>R-11294-11409</t>
  </si>
  <si>
    <t>R-11409-maiz-pollo3</t>
  </si>
  <si>
    <t>R-11409-maiz-pollo</t>
  </si>
  <si>
    <t>Bascula  18-may</t>
  </si>
  <si>
    <t>R-11409--11713</t>
  </si>
  <si>
    <t>R-11713-11762-POLLO</t>
  </si>
  <si>
    <t>R-11762-11909-chorizo</t>
  </si>
  <si>
    <t>Elias  21 May</t>
  </si>
  <si>
    <t>15-21 May</t>
  </si>
  <si>
    <t>R-11909-12054</t>
  </si>
  <si>
    <t>R-12054-12159</t>
  </si>
  <si>
    <t>13-May--24-May</t>
  </si>
  <si>
    <t>12717 D</t>
  </si>
  <si>
    <t>13113 D</t>
  </si>
  <si>
    <t>13124 D</t>
  </si>
  <si>
    <t>13286 D</t>
  </si>
  <si>
    <t>13417 D</t>
  </si>
  <si>
    <t>fecha de corte</t>
  </si>
  <si>
    <t>13866 D</t>
  </si>
  <si>
    <t xml:space="preserve">Bascula  </t>
  </si>
  <si>
    <t xml:space="preserve">BALANCE       DE     J U N I O           2 0 1 7        11  S U R   </t>
  </si>
  <si>
    <t xml:space="preserve">REMISIONES  11 SUR   J U N I O        2 0 1 7 </t>
  </si>
  <si>
    <t>14133 D</t>
  </si>
  <si>
    <t>14056 D</t>
  </si>
  <si>
    <t>13675 D</t>
  </si>
  <si>
    <t>14299 D</t>
  </si>
  <si>
    <t>14485 D</t>
  </si>
  <si>
    <t>14584 D</t>
  </si>
  <si>
    <t>14686 D</t>
  </si>
  <si>
    <t>14863 D</t>
  </si>
  <si>
    <t>R-12159-CHORIZO</t>
  </si>
  <si>
    <t>R-12159-12304-12459</t>
  </si>
  <si>
    <t>R-12459</t>
  </si>
  <si>
    <t>LUZ   26-MAY</t>
  </si>
  <si>
    <t>R-12717</t>
  </si>
  <si>
    <t>R-12717--POLLO</t>
  </si>
  <si>
    <t>Elias 28-May</t>
  </si>
  <si>
    <t xml:space="preserve">ELIAS 29-May </t>
  </si>
  <si>
    <t>R-12717-13113</t>
  </si>
  <si>
    <t>R-13113</t>
  </si>
  <si>
    <t>R-13113-MAIZ</t>
  </si>
  <si>
    <t>15023 D</t>
  </si>
  <si>
    <t>15261 D</t>
  </si>
  <si>
    <t>15271 D</t>
  </si>
  <si>
    <t>15324 D</t>
  </si>
  <si>
    <t>15474 D</t>
  </si>
  <si>
    <t>24-May --01-Jun</t>
  </si>
  <si>
    <t xml:space="preserve">MAIZ   </t>
  </si>
  <si>
    <t>R-13113-13286-13124-13417</t>
  </si>
  <si>
    <t xml:space="preserve"> R-13113</t>
  </si>
  <si>
    <t>R-13417-13675</t>
  </si>
  <si>
    <t>Elias   4-JUN</t>
  </si>
  <si>
    <t>R-13675</t>
  </si>
  <si>
    <t>R-13675-13866</t>
  </si>
  <si>
    <t>R-13866-POLLO</t>
  </si>
  <si>
    <t>R-13866-14056-14133</t>
  </si>
  <si>
    <t>R-14133--POLLO</t>
  </si>
  <si>
    <t>R-14133-chorizo</t>
  </si>
  <si>
    <t xml:space="preserve">Elias  9 Jun </t>
  </si>
  <si>
    <t xml:space="preserve">PEPE 10-Jun </t>
  </si>
  <si>
    <t>R-14299-14133-14485-MAIZ</t>
  </si>
  <si>
    <t>NOMINA 21</t>
  </si>
  <si>
    <t>NOMINA 22</t>
  </si>
  <si>
    <t>NOMINA 23</t>
  </si>
  <si>
    <t>NOMINA 24</t>
  </si>
  <si>
    <t>R-14584-14686-14863</t>
  </si>
  <si>
    <t xml:space="preserve">Elias  11 Jun </t>
  </si>
  <si>
    <t>22-28 m ay</t>
  </si>
  <si>
    <t>R-14863-15023</t>
  </si>
  <si>
    <t>R-15261-15023-pollo</t>
  </si>
  <si>
    <t>pollo-tortilla-especies</t>
  </si>
  <si>
    <t>01-Jun -15-Jun</t>
  </si>
  <si>
    <t>15469 D</t>
  </si>
  <si>
    <t>15677 D</t>
  </si>
  <si>
    <t>15703 D</t>
  </si>
  <si>
    <t>15710 D</t>
  </si>
  <si>
    <t>15923 D</t>
  </si>
  <si>
    <t>16012 D</t>
  </si>
  <si>
    <t>16267 D</t>
  </si>
  <si>
    <t>16503 D</t>
  </si>
  <si>
    <t>R-15261-MAIZ</t>
  </si>
  <si>
    <t>R-15261-15271-158324--CHORIZO</t>
  </si>
  <si>
    <t>CHORIZO--PEREJIL</t>
  </si>
  <si>
    <t>R-15324-15469-15474-15677--SALSAS-POLLO</t>
  </si>
  <si>
    <t>POLLO--SALSAS--TORTILLAS</t>
  </si>
  <si>
    <t>HARINA</t>
  </si>
  <si>
    <t>ELIAS 18 JUN</t>
  </si>
  <si>
    <t>R-15703-15923-16012-16267--POLLO</t>
  </si>
  <si>
    <t>POLLO-VERDURAS</t>
  </si>
  <si>
    <t xml:space="preserve">15-Jun --23-Jun </t>
  </si>
  <si>
    <t>16390 D</t>
  </si>
  <si>
    <t>16632 D</t>
  </si>
  <si>
    <t>16815 D</t>
  </si>
  <si>
    <t>16890 D</t>
  </si>
  <si>
    <t>16911 D</t>
  </si>
  <si>
    <t>17019 D</t>
  </si>
  <si>
    <t>17020 D</t>
  </si>
  <si>
    <t>17223 D</t>
  </si>
  <si>
    <t>17224 D</t>
  </si>
  <si>
    <t>17225 D</t>
  </si>
  <si>
    <t>17336 D</t>
  </si>
  <si>
    <t>17449 D</t>
  </si>
  <si>
    <t>R-16267 Chorizop</t>
  </si>
  <si>
    <t>R-16267-16390-POLLO</t>
  </si>
  <si>
    <t>R-16390-MAIZ</t>
  </si>
  <si>
    <t>R-16390-ARABE</t>
  </si>
  <si>
    <t>R-16390-16503-CHORIZO</t>
  </si>
  <si>
    <t>R-16503-16632-16890-16911-17019</t>
  </si>
  <si>
    <t>R-17019-17020-17224-POLLO</t>
  </si>
  <si>
    <t>ARABE</t>
  </si>
  <si>
    <t>23-Jun--29-Jun</t>
  </si>
  <si>
    <t>17729 D</t>
  </si>
  <si>
    <t>17828 D</t>
  </si>
  <si>
    <t>17829 D</t>
  </si>
  <si>
    <t>18144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</si>
</sst>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&quot;$&quot;#,##0.00"/>
    <numFmt numFmtId="166" formatCode="[$$-80A]#,##0.0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2"/>
      <color rgb="FF0000FF"/>
      <name val="Calibri Light"/>
      <family val="1"/>
      <scheme val="major"/>
    </font>
    <font>
      <b/>
      <i/>
      <u/>
      <sz val="11"/>
      <color theme="1"/>
      <name val="Calibri Light"/>
      <family val="1"/>
      <scheme val="major"/>
    </font>
    <font>
      <b/>
      <sz val="9"/>
      <color rgb="FF0000FF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E6B7E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2FCC4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8">
    <xf numFmtId="0" fontId="0" fillId="0" borderId="0" xfId="0"/>
    <xf numFmtId="164" fontId="0" fillId="0" borderId="0" xfId="0" applyNumberFormat="1" applyAlignment="1">
      <alignment horizontal="center"/>
    </xf>
    <xf numFmtId="0" fontId="4" fillId="2" borderId="0" xfId="0" applyFont="1" applyFill="1"/>
    <xf numFmtId="44" fontId="1" fillId="0" borderId="0" xfId="1" applyFont="1"/>
    <xf numFmtId="44" fontId="2" fillId="0" borderId="0" xfId="1" applyFont="1"/>
    <xf numFmtId="0" fontId="0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5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2" xfId="0" applyFont="1" applyBorder="1"/>
    <xf numFmtId="164" fontId="7" fillId="0" borderId="3" xfId="0" applyNumberFormat="1" applyFont="1" applyBorder="1" applyAlignment="1">
      <alignment horizontal="center"/>
    </xf>
    <xf numFmtId="44" fontId="8" fillId="0" borderId="4" xfId="1" applyFont="1" applyBorder="1"/>
    <xf numFmtId="165" fontId="0" fillId="0" borderId="0" xfId="0" applyNumberFormat="1" applyFont="1"/>
    <xf numFmtId="44" fontId="10" fillId="3" borderId="0" xfId="1" applyFont="1" applyFill="1" applyAlignment="1">
      <alignment horizontal="center"/>
    </xf>
    <xf numFmtId="44" fontId="2" fillId="4" borderId="9" xfId="1" applyFont="1" applyFill="1" applyBorder="1"/>
    <xf numFmtId="16" fontId="0" fillId="0" borderId="0" xfId="0" applyNumberFormat="1"/>
    <xf numFmtId="164" fontId="2" fillId="0" borderId="10" xfId="0" applyNumberFormat="1" applyFont="1" applyFill="1" applyBorder="1" applyAlignment="1">
      <alignment horizontal="center"/>
    </xf>
    <xf numFmtId="44" fontId="2" fillId="3" borderId="11" xfId="1" applyFont="1" applyFill="1" applyBorder="1"/>
    <xf numFmtId="165" fontId="11" fillId="0" borderId="0" xfId="0" applyNumberFormat="1" applyFont="1" applyFill="1"/>
    <xf numFmtId="15" fontId="2" fillId="0" borderId="12" xfId="0" applyNumberFormat="1" applyFont="1" applyFill="1" applyBorder="1"/>
    <xf numFmtId="44" fontId="2" fillId="3" borderId="13" xfId="1" applyFont="1" applyFill="1" applyBorder="1"/>
    <xf numFmtId="0" fontId="0" fillId="0" borderId="0" xfId="0" applyFill="1"/>
    <xf numFmtId="15" fontId="2" fillId="0" borderId="14" xfId="0" applyNumberFormat="1" applyFont="1" applyFill="1" applyBorder="1"/>
    <xf numFmtId="44" fontId="2" fillId="3" borderId="15" xfId="1" applyFont="1" applyFill="1" applyBorder="1"/>
    <xf numFmtId="44" fontId="2" fillId="3" borderId="16" xfId="1" applyFont="1" applyFill="1" applyBorder="1"/>
    <xf numFmtId="0" fontId="0" fillId="0" borderId="16" xfId="0" applyFill="1" applyBorder="1"/>
    <xf numFmtId="0" fontId="0" fillId="0" borderId="17" xfId="0" applyFill="1" applyBorder="1"/>
    <xf numFmtId="44" fontId="1" fillId="3" borderId="18" xfId="1" applyFont="1" applyFill="1" applyBorder="1"/>
    <xf numFmtId="44" fontId="2" fillId="0" borderId="19" xfId="1" applyFont="1" applyFill="1" applyBorder="1"/>
    <xf numFmtId="44" fontId="2" fillId="0" borderId="11" xfId="1" applyFont="1" applyFill="1" applyBorder="1"/>
    <xf numFmtId="165" fontId="7" fillId="0" borderId="0" xfId="0" applyNumberFormat="1" applyFont="1" applyFill="1"/>
    <xf numFmtId="44" fontId="2" fillId="0" borderId="13" xfId="1" applyFont="1" applyFill="1" applyBorder="1"/>
    <xf numFmtId="165" fontId="0" fillId="0" borderId="0" xfId="0" applyNumberFormat="1" applyFill="1" applyBorder="1"/>
    <xf numFmtId="15" fontId="2" fillId="0" borderId="20" xfId="0" applyNumberFormat="1" applyFon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0" fillId="0" borderId="0" xfId="0" applyFill="1" applyBorder="1"/>
    <xf numFmtId="165" fontId="2" fillId="0" borderId="13" xfId="0" applyNumberFormat="1" applyFont="1" applyFill="1" applyBorder="1"/>
    <xf numFmtId="44" fontId="2" fillId="0" borderId="22" xfId="1" applyFont="1" applyFill="1" applyBorder="1"/>
    <xf numFmtId="0" fontId="2" fillId="5" borderId="0" xfId="0" applyFont="1" applyFill="1" applyBorder="1"/>
    <xf numFmtId="165" fontId="0" fillId="0" borderId="13" xfId="0" applyNumberFormat="1" applyFill="1" applyBorder="1"/>
    <xf numFmtId="44" fontId="12" fillId="0" borderId="0" xfId="1" applyFont="1" applyFill="1" applyBorder="1"/>
    <xf numFmtId="44" fontId="2" fillId="6" borderId="13" xfId="1" applyFont="1" applyFill="1" applyBorder="1"/>
    <xf numFmtId="0" fontId="2" fillId="0" borderId="0" xfId="0" applyFont="1" applyFill="1"/>
    <xf numFmtId="165" fontId="0" fillId="0" borderId="0" xfId="0" applyNumberFormat="1" applyFont="1" applyFill="1"/>
    <xf numFmtId="44" fontId="8" fillId="0" borderId="21" xfId="1" applyFont="1" applyFill="1" applyBorder="1"/>
    <xf numFmtId="0" fontId="8" fillId="0" borderId="0" xfId="0" applyFont="1" applyFill="1"/>
    <xf numFmtId="0" fontId="13" fillId="0" borderId="0" xfId="0" applyFont="1" applyFill="1" applyBorder="1"/>
    <xf numFmtId="0" fontId="11" fillId="0" borderId="0" xfId="0" applyFont="1" applyFill="1" applyBorder="1"/>
    <xf numFmtId="16" fontId="10" fillId="0" borderId="0" xfId="0" applyNumberFormat="1" applyFont="1" applyFill="1" applyBorder="1" applyAlignment="1">
      <alignment horizontal="center"/>
    </xf>
    <xf numFmtId="44" fontId="2" fillId="0" borderId="13" xfId="1" applyFont="1" applyFill="1" applyBorder="1" applyAlignment="1">
      <alignment horizontal="right"/>
    </xf>
    <xf numFmtId="16" fontId="14" fillId="0" borderId="0" xfId="0" applyNumberFormat="1" applyFont="1" applyFill="1" applyBorder="1"/>
    <xf numFmtId="16" fontId="2" fillId="0" borderId="0" xfId="0" applyNumberFormat="1" applyFont="1" applyFill="1" applyBorder="1"/>
    <xf numFmtId="44" fontId="2" fillId="0" borderId="0" xfId="1" applyFont="1" applyFill="1" applyBorder="1" applyAlignment="1">
      <alignment horizontal="right"/>
    </xf>
    <xf numFmtId="44" fontId="2" fillId="0" borderId="23" xfId="1" applyFont="1" applyFill="1" applyBorder="1"/>
    <xf numFmtId="16" fontId="12" fillId="0" borderId="0" xfId="0" applyNumberFormat="1" applyFont="1" applyFill="1" applyBorder="1"/>
    <xf numFmtId="16" fontId="14" fillId="0" borderId="20" xfId="0" applyNumberFormat="1" applyFont="1" applyFill="1" applyBorder="1"/>
    <xf numFmtId="44" fontId="12" fillId="0" borderId="20" xfId="1" applyFont="1" applyFill="1" applyBorder="1" applyAlignment="1"/>
    <xf numFmtId="44" fontId="12" fillId="0" borderId="0" xfId="1" applyFont="1" applyFill="1" applyBorder="1" applyAlignment="1">
      <alignment horizontal="left"/>
    </xf>
    <xf numFmtId="165" fontId="13" fillId="0" borderId="0" xfId="0" applyNumberFormat="1" applyFont="1" applyFill="1"/>
    <xf numFmtId="16" fontId="2" fillId="0" borderId="20" xfId="0" applyNumberFormat="1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44" fontId="15" fillId="0" borderId="0" xfId="1" applyFont="1" applyFill="1" applyBorder="1"/>
    <xf numFmtId="0" fontId="2" fillId="0" borderId="20" xfId="0" applyFont="1" applyFill="1" applyBorder="1"/>
    <xf numFmtId="44" fontId="2" fillId="0" borderId="13" xfId="1" applyFont="1" applyBorder="1" applyAlignment="1">
      <alignment horizontal="right"/>
    </xf>
    <xf numFmtId="0" fontId="15" fillId="0" borderId="20" xfId="0" applyFont="1" applyFill="1" applyBorder="1"/>
    <xf numFmtId="44" fontId="2" fillId="0" borderId="24" xfId="1" applyFont="1" applyBorder="1" applyAlignment="1"/>
    <xf numFmtId="44" fontId="2" fillId="0" borderId="25" xfId="1" applyFont="1" applyBorder="1" applyAlignment="1"/>
    <xf numFmtId="0" fontId="8" fillId="0" borderId="0" xfId="0" applyFont="1" applyFill="1" applyBorder="1"/>
    <xf numFmtId="44" fontId="2" fillId="0" borderId="21" xfId="1" applyFont="1" applyBorder="1"/>
    <xf numFmtId="0" fontId="17" fillId="0" borderId="2" xfId="0" applyFont="1" applyBorder="1"/>
    <xf numFmtId="164" fontId="12" fillId="0" borderId="3" xfId="0" applyNumberFormat="1" applyFont="1" applyBorder="1" applyAlignment="1">
      <alignment horizontal="right"/>
    </xf>
    <xf numFmtId="44" fontId="2" fillId="0" borderId="11" xfId="1" applyFont="1" applyBorder="1"/>
    <xf numFmtId="15" fontId="0" fillId="0" borderId="12" xfId="0" applyNumberFormat="1" applyFill="1" applyBorder="1"/>
    <xf numFmtId="0" fontId="18" fillId="0" borderId="27" xfId="0" applyFont="1" applyFill="1" applyBorder="1" applyAlignment="1">
      <alignment horizontal="center"/>
    </xf>
    <xf numFmtId="44" fontId="1" fillId="0" borderId="23" xfId="1" applyFont="1" applyFill="1" applyBorder="1"/>
    <xf numFmtId="44" fontId="1" fillId="0" borderId="0" xfId="1" applyFont="1" applyBorder="1"/>
    <xf numFmtId="44" fontId="2" fillId="0" borderId="28" xfId="1" applyFont="1" applyBorder="1"/>
    <xf numFmtId="44" fontId="2" fillId="7" borderId="9" xfId="1" applyFont="1" applyFill="1" applyBorder="1"/>
    <xf numFmtId="0" fontId="0" fillId="0" borderId="0" xfId="0" applyFont="1" applyAlignment="1"/>
    <xf numFmtId="0" fontId="14" fillId="0" borderId="0" xfId="0" applyFont="1"/>
    <xf numFmtId="164" fontId="18" fillId="0" borderId="29" xfId="0" applyNumberFormat="1" applyFont="1" applyBorder="1" applyAlignment="1">
      <alignment horizontal="center"/>
    </xf>
    <xf numFmtId="44" fontId="2" fillId="0" borderId="30" xfId="1" applyFont="1" applyBorder="1"/>
    <xf numFmtId="0" fontId="0" fillId="0" borderId="31" xfId="0" applyBorder="1"/>
    <xf numFmtId="44" fontId="1" fillId="0" borderId="32" xfId="1" applyFont="1" applyBorder="1"/>
    <xf numFmtId="0" fontId="18" fillId="0" borderId="33" xfId="0" applyFont="1" applyBorder="1" applyAlignment="1">
      <alignment horizontal="center"/>
    </xf>
    <xf numFmtId="44" fontId="1" fillId="0" borderId="34" xfId="1" applyFont="1" applyBorder="1"/>
    <xf numFmtId="0" fontId="0" fillId="0" borderId="35" xfId="0" applyBorder="1"/>
    <xf numFmtId="165" fontId="0" fillId="0" borderId="36" xfId="0" applyNumberFormat="1" applyBorder="1"/>
    <xf numFmtId="44" fontId="10" fillId="8" borderId="37" xfId="1" applyFont="1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44" fontId="8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4" fontId="15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65" fontId="16" fillId="0" borderId="39" xfId="0" applyNumberFormat="1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4" fontId="2" fillId="0" borderId="0" xfId="1" applyFont="1" applyBorder="1"/>
    <xf numFmtId="44" fontId="16" fillId="0" borderId="0" xfId="1" applyFont="1" applyAlignment="1">
      <alignment horizontal="center" vertical="center" wrapText="1"/>
    </xf>
    <xf numFmtId="0" fontId="0" fillId="0" borderId="36" xfId="0" applyFont="1" applyBorder="1"/>
    <xf numFmtId="0" fontId="2" fillId="0" borderId="36" xfId="0" applyFont="1" applyBorder="1"/>
    <xf numFmtId="44" fontId="2" fillId="0" borderId="36" xfId="1" applyFont="1" applyBorder="1"/>
    <xf numFmtId="0" fontId="2" fillId="0" borderId="0" xfId="0" applyFont="1" applyAlignment="1">
      <alignment horizontal="right"/>
    </xf>
    <xf numFmtId="44" fontId="18" fillId="0" borderId="42" xfId="1" applyFont="1" applyBorder="1"/>
    <xf numFmtId="165" fontId="19" fillId="0" borderId="0" xfId="0" applyNumberFormat="1" applyFont="1"/>
    <xf numFmtId="44" fontId="18" fillId="0" borderId="0" xfId="1" applyFont="1" applyBorder="1"/>
    <xf numFmtId="0" fontId="0" fillId="0" borderId="36" xfId="0" applyBorder="1"/>
    <xf numFmtId="0" fontId="2" fillId="0" borderId="36" xfId="0" applyFont="1" applyBorder="1" applyAlignment="1">
      <alignment horizontal="center"/>
    </xf>
    <xf numFmtId="44" fontId="20" fillId="0" borderId="9" xfId="1" applyFont="1" applyBorder="1"/>
    <xf numFmtId="0" fontId="8" fillId="0" borderId="0" xfId="0" applyFont="1"/>
    <xf numFmtId="44" fontId="16" fillId="0" borderId="0" xfId="1" applyFont="1"/>
    <xf numFmtId="44" fontId="4" fillId="0" borderId="0" xfId="1" applyFont="1"/>
    <xf numFmtId="0" fontId="20" fillId="10" borderId="0" xfId="0" applyFont="1" applyFill="1"/>
    <xf numFmtId="44" fontId="1" fillId="10" borderId="0" xfId="1" applyFont="1" applyFill="1"/>
    <xf numFmtId="0" fontId="0" fillId="10" borderId="0" xfId="0" applyFill="1"/>
    <xf numFmtId="164" fontId="2" fillId="0" borderId="0" xfId="0" applyNumberFormat="1" applyFont="1" applyFill="1" applyBorder="1" applyAlignment="1">
      <alignment horizontal="center"/>
    </xf>
    <xf numFmtId="0" fontId="2" fillId="0" borderId="42" xfId="0" applyFont="1" applyFill="1" applyBorder="1"/>
    <xf numFmtId="0" fontId="0" fillId="0" borderId="42" xfId="0" applyFill="1" applyBorder="1"/>
    <xf numFmtId="44" fontId="1" fillId="0" borderId="42" xfId="1" applyFont="1" applyFill="1" applyBorder="1"/>
    <xf numFmtId="164" fontId="2" fillId="0" borderId="43" xfId="0" applyNumberFormat="1" applyFont="1" applyFill="1" applyBorder="1" applyAlignment="1">
      <alignment horizontal="center"/>
    </xf>
    <xf numFmtId="1" fontId="23" fillId="0" borderId="44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44" fontId="24" fillId="0" borderId="45" xfId="1" applyFont="1" applyFill="1" applyBorder="1"/>
    <xf numFmtId="164" fontId="2" fillId="0" borderId="44" xfId="0" applyNumberFormat="1" applyFont="1" applyFill="1" applyBorder="1" applyAlignment="1">
      <alignment horizontal="center"/>
    </xf>
    <xf numFmtId="44" fontId="2" fillId="0" borderId="0" xfId="1" applyFont="1" applyFill="1"/>
    <xf numFmtId="44" fontId="24" fillId="0" borderId="39" xfId="1" applyFont="1" applyFill="1" applyBorder="1"/>
    <xf numFmtId="1" fontId="25" fillId="0" borderId="44" xfId="0" applyNumberFormat="1" applyFont="1" applyFill="1" applyBorder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26" fillId="0" borderId="44" xfId="0" applyNumberFormat="1" applyFont="1" applyFill="1" applyBorder="1" applyAlignment="1">
      <alignment horizontal="center"/>
    </xf>
    <xf numFmtId="44" fontId="24" fillId="0" borderId="40" xfId="1" applyFont="1" applyFill="1" applyBorder="1"/>
    <xf numFmtId="164" fontId="27" fillId="0" borderId="0" xfId="0" applyNumberFormat="1" applyFont="1" applyFill="1" applyAlignment="1">
      <alignment horizontal="center"/>
    </xf>
    <xf numFmtId="44" fontId="8" fillId="0" borderId="0" xfId="1" applyFont="1" applyFill="1"/>
    <xf numFmtId="164" fontId="8" fillId="0" borderId="0" xfId="0" applyNumberFormat="1" applyFont="1" applyFill="1" applyAlignment="1">
      <alignment horizontal="center"/>
    </xf>
    <xf numFmtId="44" fontId="24" fillId="0" borderId="44" xfId="1" applyFont="1" applyFill="1" applyBorder="1"/>
    <xf numFmtId="44" fontId="1" fillId="0" borderId="0" xfId="1" applyFont="1" applyFill="1"/>
    <xf numFmtId="44" fontId="1" fillId="0" borderId="44" xfId="1" applyFont="1" applyFill="1" applyBorder="1"/>
    <xf numFmtId="164" fontId="2" fillId="0" borderId="46" xfId="0" applyNumberFormat="1" applyFont="1" applyFill="1" applyBorder="1" applyAlignment="1">
      <alignment horizontal="center"/>
    </xf>
    <xf numFmtId="1" fontId="23" fillId="0" borderId="46" xfId="0" applyNumberFormat="1" applyFont="1" applyFill="1" applyBorder="1" applyAlignment="1">
      <alignment horizontal="center"/>
    </xf>
    <xf numFmtId="44" fontId="2" fillId="0" borderId="36" xfId="1" applyFont="1" applyFill="1" applyBorder="1"/>
    <xf numFmtId="164" fontId="2" fillId="0" borderId="36" xfId="0" applyNumberFormat="1" applyFont="1" applyFill="1" applyBorder="1" applyAlignment="1">
      <alignment horizontal="center"/>
    </xf>
    <xf numFmtId="44" fontId="1" fillId="0" borderId="36" xfId="1" applyFont="1" applyFill="1" applyBorder="1"/>
    <xf numFmtId="44" fontId="1" fillId="0" borderId="46" xfId="1" applyFont="1" applyFill="1" applyBorder="1"/>
    <xf numFmtId="164" fontId="0" fillId="0" borderId="0" xfId="0" applyNumberFormat="1" applyFill="1" applyAlignment="1">
      <alignment horizontal="center"/>
    </xf>
    <xf numFmtId="16" fontId="0" fillId="0" borderId="0" xfId="0" applyNumberFormat="1" applyFill="1"/>
    <xf numFmtId="44" fontId="1" fillId="6" borderId="0" xfId="1" applyFont="1" applyFill="1"/>
    <xf numFmtId="44" fontId="0" fillId="0" borderId="0" xfId="1" applyFont="1"/>
    <xf numFmtId="44" fontId="0" fillId="6" borderId="0" xfId="1" applyFont="1" applyFill="1"/>
    <xf numFmtId="44" fontId="10" fillId="0" borderId="0" xfId="0" applyNumberFormat="1" applyFont="1"/>
    <xf numFmtId="44" fontId="20" fillId="0" borderId="0" xfId="1" applyFont="1"/>
    <xf numFmtId="0" fontId="20" fillId="0" borderId="0" xfId="0" applyFont="1"/>
    <xf numFmtId="0" fontId="20" fillId="0" borderId="0" xfId="0" applyFont="1" applyAlignment="1">
      <alignment horizontal="center"/>
    </xf>
    <xf numFmtId="164" fontId="2" fillId="11" borderId="9" xfId="1" applyNumberFormat="1" applyFont="1" applyFill="1" applyBorder="1" applyAlignment="1">
      <alignment horizontal="center"/>
    </xf>
    <xf numFmtId="164" fontId="2" fillId="0" borderId="0" xfId="0" applyNumberFormat="1" applyFont="1"/>
    <xf numFmtId="0" fontId="19" fillId="0" borderId="0" xfId="0" applyFont="1"/>
    <xf numFmtId="44" fontId="10" fillId="0" borderId="0" xfId="1" applyFont="1"/>
    <xf numFmtId="0" fontId="1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4" fontId="0" fillId="0" borderId="0" xfId="1" applyFont="1" applyFill="1"/>
    <xf numFmtId="44" fontId="10" fillId="0" borderId="44" xfId="1" applyFont="1" applyFill="1" applyBorder="1" applyAlignment="1">
      <alignment horizontal="left"/>
    </xf>
    <xf numFmtId="0" fontId="10" fillId="0" borderId="44" xfId="0" applyFont="1" applyBorder="1" applyAlignment="1">
      <alignment horizontal="center"/>
    </xf>
    <xf numFmtId="44" fontId="28" fillId="0" borderId="44" xfId="1" applyFont="1" applyFill="1" applyBorder="1"/>
    <xf numFmtId="164" fontId="28" fillId="0" borderId="44" xfId="0" applyNumberFormat="1" applyFont="1" applyFill="1" applyBorder="1"/>
    <xf numFmtId="44" fontId="2" fillId="0" borderId="44" xfId="1" applyFont="1" applyFill="1" applyBorder="1" applyAlignment="1">
      <alignment horizontal="left"/>
    </xf>
    <xf numFmtId="44" fontId="2" fillId="0" borderId="44" xfId="1" applyFont="1" applyFill="1" applyBorder="1" applyAlignment="1">
      <alignment horizontal="center"/>
    </xf>
    <xf numFmtId="0" fontId="0" fillId="0" borderId="43" xfId="0" applyBorder="1"/>
    <xf numFmtId="44" fontId="2" fillId="0" borderId="43" xfId="1" applyFont="1" applyBorder="1"/>
    <xf numFmtId="0" fontId="10" fillId="0" borderId="43" xfId="0" applyFont="1" applyBorder="1"/>
    <xf numFmtId="44" fontId="10" fillId="0" borderId="47" xfId="1" applyFont="1" applyFill="1" applyBorder="1"/>
    <xf numFmtId="164" fontId="29" fillId="0" borderId="43" xfId="0" applyNumberFormat="1" applyFont="1" applyFill="1" applyBorder="1"/>
    <xf numFmtId="1" fontId="23" fillId="0" borderId="0" xfId="0" applyNumberFormat="1" applyFont="1" applyFill="1" applyBorder="1" applyAlignment="1">
      <alignment horizontal="center"/>
    </xf>
    <xf numFmtId="44" fontId="10" fillId="0" borderId="0" xfId="1" applyFont="1" applyFill="1" applyBorder="1"/>
    <xf numFmtId="0" fontId="2" fillId="0" borderId="0" xfId="0" applyFont="1" applyFill="1" applyBorder="1"/>
    <xf numFmtId="0" fontId="10" fillId="0" borderId="0" xfId="0" applyFont="1" applyFill="1" applyBorder="1" applyAlignment="1">
      <alignment horizontal="center"/>
    </xf>
    <xf numFmtId="44" fontId="29" fillId="0" borderId="9" xfId="1" applyFont="1" applyFill="1" applyBorder="1"/>
    <xf numFmtId="164" fontId="29" fillId="0" borderId="0" xfId="0" applyNumberFormat="1" applyFont="1" applyFill="1" applyBorder="1"/>
    <xf numFmtId="164" fontId="2" fillId="9" borderId="9" xfId="1" applyNumberFormat="1" applyFont="1" applyFill="1" applyBorder="1" applyAlignment="1">
      <alignment horizontal="center"/>
    </xf>
    <xf numFmtId="44" fontId="10" fillId="0" borderId="48" xfId="1" applyFont="1" applyFill="1" applyBorder="1" applyAlignment="1">
      <alignment horizontal="left"/>
    </xf>
    <xf numFmtId="0" fontId="10" fillId="0" borderId="48" xfId="0" applyFont="1" applyBorder="1" applyAlignment="1">
      <alignment horizontal="center"/>
    </xf>
    <xf numFmtId="44" fontId="30" fillId="0" borderId="48" xfId="1" applyFont="1" applyFill="1" applyBorder="1"/>
    <xf numFmtId="164" fontId="28" fillId="0" borderId="48" xfId="0" applyNumberFormat="1" applyFont="1" applyFill="1" applyBorder="1"/>
    <xf numFmtId="0" fontId="0" fillId="0" borderId="44" xfId="0" applyBorder="1"/>
    <xf numFmtId="44" fontId="31" fillId="0" borderId="44" xfId="1" applyFont="1" applyBorder="1"/>
    <xf numFmtId="44" fontId="30" fillId="0" borderId="44" xfId="1" applyFont="1" applyFill="1" applyBorder="1"/>
    <xf numFmtId="44" fontId="30" fillId="0" borderId="47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0" borderId="15" xfId="1" applyFont="1" applyFill="1" applyBorder="1"/>
    <xf numFmtId="44" fontId="2" fillId="0" borderId="16" xfId="1" applyFont="1" applyFill="1" applyBorder="1"/>
    <xf numFmtId="44" fontId="1" fillId="0" borderId="18" xfId="1" applyFont="1" applyFill="1" applyBorder="1"/>
    <xf numFmtId="44" fontId="2" fillId="9" borderId="13" xfId="1" applyFont="1" applyFill="1" applyBorder="1" applyAlignment="1">
      <alignment horizontal="right"/>
    </xf>
    <xf numFmtId="16" fontId="2" fillId="9" borderId="20" xfId="0" applyNumberFormat="1" applyFont="1" applyFill="1" applyBorder="1" applyAlignment="1">
      <alignment horizontal="center"/>
    </xf>
    <xf numFmtId="0" fontId="14" fillId="0" borderId="20" xfId="0" applyFont="1" applyFill="1" applyBorder="1"/>
    <xf numFmtId="0" fontId="8" fillId="0" borderId="0" xfId="0" applyFont="1" applyFill="1" applyBorder="1" applyAlignment="1">
      <alignment horizontal="center"/>
    </xf>
    <xf numFmtId="1" fontId="25" fillId="0" borderId="0" xfId="0" applyNumberFormat="1" applyFont="1" applyFill="1" applyBorder="1" applyAlignment="1">
      <alignment horizontal="center"/>
    </xf>
    <xf numFmtId="16" fontId="2" fillId="0" borderId="0" xfId="0" applyNumberFormat="1" applyFont="1" applyFill="1"/>
    <xf numFmtId="164" fontId="2" fillId="12" borderId="9" xfId="1" applyNumberFormat="1" applyFont="1" applyFill="1" applyBorder="1" applyAlignment="1">
      <alignment horizontal="center"/>
    </xf>
    <xf numFmtId="44" fontId="29" fillId="0" borderId="49" xfId="1" applyFont="1" applyFill="1" applyBorder="1"/>
    <xf numFmtId="1" fontId="23" fillId="0" borderId="48" xfId="0" applyNumberFormat="1" applyFont="1" applyFill="1" applyBorder="1" applyAlignment="1">
      <alignment horizontal="center"/>
    </xf>
    <xf numFmtId="0" fontId="10" fillId="0" borderId="47" xfId="0" applyFont="1" applyBorder="1"/>
    <xf numFmtId="0" fontId="0" fillId="0" borderId="46" xfId="0" applyBorder="1"/>
    <xf numFmtId="164" fontId="2" fillId="13" borderId="9" xfId="1" applyNumberFormat="1" applyFont="1" applyFill="1" applyBorder="1" applyAlignment="1">
      <alignment horizontal="center"/>
    </xf>
    <xf numFmtId="44" fontId="0" fillId="0" borderId="44" xfId="1" applyFont="1" applyBorder="1"/>
    <xf numFmtId="44" fontId="32" fillId="0" borderId="46" xfId="1" applyFont="1" applyBorder="1"/>
    <xf numFmtId="0" fontId="2" fillId="0" borderId="47" xfId="0" applyFont="1" applyBorder="1"/>
    <xf numFmtId="164" fontId="2" fillId="14" borderId="9" xfId="1" applyNumberFormat="1" applyFont="1" applyFill="1" applyBorder="1" applyAlignment="1">
      <alignment horizontal="center"/>
    </xf>
    <xf numFmtId="164" fontId="14" fillId="0" borderId="0" xfId="0" applyNumberFormat="1" applyFont="1" applyFill="1" applyAlignment="1">
      <alignment horizontal="center"/>
    </xf>
    <xf numFmtId="0" fontId="15" fillId="9" borderId="20" xfId="0" applyFont="1" applyFill="1" applyBorder="1" applyAlignment="1">
      <alignment horizontal="center"/>
    </xf>
    <xf numFmtId="44" fontId="20" fillId="0" borderId="0" xfId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8" fillId="9" borderId="0" xfId="0" applyNumberFormat="1" applyFont="1" applyFill="1" applyAlignment="1">
      <alignment horizontal="center"/>
    </xf>
    <xf numFmtId="44" fontId="8" fillId="9" borderId="0" xfId="1" applyFont="1" applyFill="1"/>
    <xf numFmtId="44" fontId="31" fillId="0" borderId="46" xfId="1" applyFont="1" applyBorder="1"/>
    <xf numFmtId="164" fontId="28" fillId="0" borderId="46" xfId="0" applyNumberFormat="1" applyFont="1" applyFill="1" applyBorder="1"/>
    <xf numFmtId="164" fontId="2" fillId="5" borderId="9" xfId="1" applyNumberFormat="1" applyFont="1" applyFill="1" applyBorder="1" applyAlignment="1">
      <alignment horizontal="center"/>
    </xf>
    <xf numFmtId="0" fontId="0" fillId="0" borderId="48" xfId="0" applyBorder="1"/>
    <xf numFmtId="44" fontId="31" fillId="0" borderId="48" xfId="1" applyFont="1" applyBorder="1"/>
    <xf numFmtId="44" fontId="2" fillId="0" borderId="44" xfId="1" applyFont="1" applyBorder="1"/>
    <xf numFmtId="0" fontId="2" fillId="0" borderId="44" xfId="0" applyFont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4" fontId="2" fillId="15" borderId="9" xfId="1" applyNumberFormat="1" applyFont="1" applyFill="1" applyBorder="1" applyAlignment="1">
      <alignment horizontal="center"/>
    </xf>
    <xf numFmtId="166" fontId="16" fillId="0" borderId="26" xfId="0" applyNumberFormat="1" applyFont="1" applyBorder="1" applyAlignment="1"/>
    <xf numFmtId="166" fontId="16" fillId="0" borderId="13" xfId="0" applyNumberFormat="1" applyFont="1" applyBorder="1" applyAlignment="1"/>
    <xf numFmtId="164" fontId="2" fillId="16" borderId="9" xfId="1" applyNumberFormat="1" applyFont="1" applyFill="1" applyBorder="1" applyAlignment="1">
      <alignment horizontal="center"/>
    </xf>
    <xf numFmtId="0" fontId="2" fillId="0" borderId="48" xfId="0" applyFont="1" applyBorder="1"/>
    <xf numFmtId="164" fontId="33" fillId="0" borderId="44" xfId="0" applyNumberFormat="1" applyFont="1" applyFill="1" applyBorder="1" applyAlignment="1">
      <alignment horizontal="center"/>
    </xf>
    <xf numFmtId="44" fontId="2" fillId="3" borderId="21" xfId="1" applyFont="1" applyFill="1" applyBorder="1"/>
    <xf numFmtId="165" fontId="34" fillId="0" borderId="0" xfId="0" applyNumberFormat="1" applyFont="1" applyFill="1"/>
    <xf numFmtId="165" fontId="35" fillId="0" borderId="0" xfId="0" applyNumberFormat="1" applyFont="1" applyFill="1"/>
    <xf numFmtId="165" fontId="8" fillId="0" borderId="0" xfId="0" applyNumberFormat="1" applyFont="1" applyFill="1"/>
    <xf numFmtId="165" fontId="27" fillId="0" borderId="0" xfId="0" applyNumberFormat="1" applyFont="1" applyFill="1"/>
    <xf numFmtId="164" fontId="2" fillId="17" borderId="9" xfId="1" applyNumberFormat="1" applyFont="1" applyFill="1" applyBorder="1" applyAlignment="1">
      <alignment horizontal="center"/>
    </xf>
    <xf numFmtId="44" fontId="28" fillId="0" borderId="48" xfId="1" applyFont="1" applyFill="1" applyBorder="1"/>
    <xf numFmtId="0" fontId="10" fillId="0" borderId="0" xfId="0" applyFont="1" applyBorder="1" applyAlignment="1">
      <alignment horizontal="center"/>
    </xf>
    <xf numFmtId="164" fontId="28" fillId="0" borderId="0" xfId="0" applyNumberFormat="1" applyFont="1" applyFill="1" applyBorder="1"/>
    <xf numFmtId="0" fontId="2" fillId="0" borderId="0" xfId="0" applyFont="1" applyBorder="1"/>
    <xf numFmtId="44" fontId="31" fillId="0" borderId="0" xfId="1" applyFont="1" applyBorder="1"/>
    <xf numFmtId="44" fontId="0" fillId="0" borderId="0" xfId="1" applyFont="1" applyBorder="1"/>
    <xf numFmtId="44" fontId="29" fillId="0" borderId="0" xfId="1" applyFont="1" applyFill="1" applyBorder="1"/>
    <xf numFmtId="44" fontId="1" fillId="0" borderId="50" xfId="1" applyFont="1" applyFill="1" applyBorder="1"/>
    <xf numFmtId="1" fontId="23" fillId="0" borderId="51" xfId="0" applyNumberFormat="1" applyFont="1" applyFill="1" applyBorder="1" applyAlignment="1">
      <alignment horizontal="center"/>
    </xf>
    <xf numFmtId="44" fontId="10" fillId="0" borderId="51" xfId="1" applyFont="1" applyFill="1" applyBorder="1" applyAlignment="1">
      <alignment horizontal="left"/>
    </xf>
    <xf numFmtId="0" fontId="10" fillId="0" borderId="51" xfId="0" applyFont="1" applyBorder="1" applyAlignment="1">
      <alignment horizontal="center"/>
    </xf>
    <xf numFmtId="44" fontId="30" fillId="0" borderId="51" xfId="1" applyFont="1" applyFill="1" applyBorder="1"/>
    <xf numFmtId="164" fontId="28" fillId="0" borderId="52" xfId="0" applyNumberFormat="1" applyFont="1" applyFill="1" applyBorder="1"/>
    <xf numFmtId="44" fontId="10" fillId="0" borderId="51" xfId="1" applyFont="1" applyFill="1" applyBorder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44" fontId="2" fillId="9" borderId="21" xfId="1" applyFont="1" applyFill="1" applyBorder="1"/>
    <xf numFmtId="44" fontId="2" fillId="9" borderId="15" xfId="1" applyFont="1" applyFill="1" applyBorder="1"/>
    <xf numFmtId="44" fontId="2" fillId="9" borderId="13" xfId="1" applyFont="1" applyFill="1" applyBorder="1"/>
    <xf numFmtId="0" fontId="15" fillId="0" borderId="20" xfId="0" applyFont="1" applyFill="1" applyBorder="1" applyAlignment="1">
      <alignment horizontal="center"/>
    </xf>
    <xf numFmtId="44" fontId="2" fillId="9" borderId="23" xfId="1" applyFont="1" applyFill="1" applyBorder="1"/>
    <xf numFmtId="16" fontId="12" fillId="0" borderId="0" xfId="1" applyNumberFormat="1" applyFont="1" applyFill="1" applyBorder="1"/>
    <xf numFmtId="44" fontId="2" fillId="0" borderId="0" xfId="1" applyFont="1" applyFill="1" applyBorder="1" applyAlignment="1">
      <alignment horizontal="left"/>
    </xf>
    <xf numFmtId="164" fontId="8" fillId="0" borderId="36" xfId="0" applyNumberFormat="1" applyFont="1" applyFill="1" applyBorder="1" applyAlignment="1">
      <alignment horizontal="center"/>
    </xf>
    <xf numFmtId="164" fontId="34" fillId="0" borderId="0" xfId="0" applyNumberFormat="1" applyFont="1" applyFill="1" applyAlignment="1">
      <alignment horizontal="center"/>
    </xf>
    <xf numFmtId="44" fontId="8" fillId="0" borderId="36" xfId="1" applyFont="1" applyFill="1" applyBorder="1"/>
    <xf numFmtId="44" fontId="2" fillId="18" borderId="13" xfId="1" applyFont="1" applyFill="1" applyBorder="1"/>
    <xf numFmtId="44" fontId="0" fillId="0" borderId="46" xfId="1" applyFont="1" applyBorder="1"/>
    <xf numFmtId="44" fontId="23" fillId="18" borderId="0" xfId="1" applyFont="1" applyFill="1" applyBorder="1" applyAlignment="1">
      <alignment horizontal="center"/>
    </xf>
    <xf numFmtId="164" fontId="2" fillId="18" borderId="0" xfId="0" applyNumberFormat="1" applyFont="1" applyFill="1"/>
    <xf numFmtId="44" fontId="23" fillId="3" borderId="0" xfId="1" applyFont="1" applyFill="1" applyBorder="1" applyAlignment="1">
      <alignment horizontal="center"/>
    </xf>
    <xf numFmtId="164" fontId="2" fillId="3" borderId="0" xfId="0" applyNumberFormat="1" applyFont="1" applyFill="1"/>
    <xf numFmtId="165" fontId="16" fillId="0" borderId="39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165" fontId="12" fillId="0" borderId="0" xfId="0" applyNumberFormat="1" applyFont="1" applyFill="1"/>
    <xf numFmtId="15" fontId="2" fillId="0" borderId="53" xfId="0" applyNumberFormat="1" applyFont="1" applyFill="1" applyBorder="1"/>
    <xf numFmtId="44" fontId="2" fillId="0" borderId="54" xfId="1" applyFont="1" applyFill="1" applyBorder="1"/>
    <xf numFmtId="15" fontId="2" fillId="0" borderId="55" xfId="0" applyNumberFormat="1" applyFont="1" applyFill="1" applyBorder="1"/>
    <xf numFmtId="44" fontId="2" fillId="0" borderId="56" xfId="1" applyFont="1" applyFill="1" applyBorder="1"/>
    <xf numFmtId="15" fontId="2" fillId="0" borderId="57" xfId="0" applyNumberFormat="1" applyFont="1" applyFill="1" applyBorder="1"/>
    <xf numFmtId="44" fontId="2" fillId="0" borderId="58" xfId="1" applyFont="1" applyFill="1" applyBorder="1"/>
    <xf numFmtId="164" fontId="2" fillId="0" borderId="59" xfId="0" applyNumberFormat="1" applyFont="1" applyFill="1" applyBorder="1" applyAlignment="1">
      <alignment horizontal="center"/>
    </xf>
    <xf numFmtId="44" fontId="2" fillId="0" borderId="60" xfId="1" applyFont="1" applyFill="1" applyBorder="1"/>
    <xf numFmtId="164" fontId="2" fillId="0" borderId="61" xfId="0" applyNumberFormat="1" applyFont="1" applyFill="1" applyBorder="1" applyAlignment="1">
      <alignment horizontal="center"/>
    </xf>
    <xf numFmtId="44" fontId="2" fillId="0" borderId="62" xfId="1" applyFont="1" applyFill="1" applyBorder="1"/>
    <xf numFmtId="44" fontId="2" fillId="0" borderId="63" xfId="1" applyFont="1" applyFill="1" applyBorder="1"/>
    <xf numFmtId="0" fontId="18" fillId="0" borderId="20" xfId="0" applyFont="1" applyFill="1" applyBorder="1" applyAlignment="1">
      <alignment horizontal="center"/>
    </xf>
    <xf numFmtId="44" fontId="2" fillId="0" borderId="64" xfId="1" applyFont="1" applyFill="1" applyBorder="1"/>
    <xf numFmtId="44" fontId="2" fillId="0" borderId="65" xfId="1" applyFont="1" applyFill="1" applyBorder="1"/>
    <xf numFmtId="44" fontId="1" fillId="0" borderId="66" xfId="1" applyFont="1" applyFill="1" applyBorder="1"/>
    <xf numFmtId="0" fontId="36" fillId="0" borderId="20" xfId="0" applyFont="1" applyFill="1" applyBorder="1"/>
    <xf numFmtId="44" fontId="31" fillId="9" borderId="44" xfId="1" applyFont="1" applyFill="1" applyBorder="1"/>
    <xf numFmtId="44" fontId="28" fillId="13" borderId="44" xfId="1" applyFont="1" applyFill="1" applyBorder="1"/>
    <xf numFmtId="44" fontId="30" fillId="13" borderId="48" xfId="1" applyFont="1" applyFill="1" applyBorder="1"/>
    <xf numFmtId="44" fontId="31" fillId="13" borderId="48" xfId="1" applyFont="1" applyFill="1" applyBorder="1"/>
    <xf numFmtId="44" fontId="31" fillId="13" borderId="44" xfId="1" applyFont="1" applyFill="1" applyBorder="1"/>
    <xf numFmtId="44" fontId="2" fillId="4" borderId="13" xfId="1" applyFont="1" applyFill="1" applyBorder="1"/>
    <xf numFmtId="44" fontId="2" fillId="3" borderId="0" xfId="1" applyFont="1" applyFill="1"/>
    <xf numFmtId="44" fontId="24" fillId="3" borderId="45" xfId="1" applyFont="1" applyFill="1" applyBorder="1"/>
    <xf numFmtId="44" fontId="31" fillId="0" borderId="48" xfId="1" applyFont="1" applyFill="1" applyBorder="1"/>
    <xf numFmtId="44" fontId="31" fillId="0" borderId="44" xfId="1" applyFont="1" applyFill="1" applyBorder="1"/>
    <xf numFmtId="44" fontId="31" fillId="0" borderId="0" xfId="1" applyFont="1" applyFill="1" applyBorder="1"/>
    <xf numFmtId="44" fontId="29" fillId="0" borderId="67" xfId="1" applyFont="1" applyFill="1" applyBorder="1"/>
    <xf numFmtId="44" fontId="10" fillId="0" borderId="9" xfId="1" applyFont="1" applyFill="1" applyBorder="1"/>
    <xf numFmtId="44" fontId="28" fillId="9" borderId="44" xfId="1" applyFont="1" applyFill="1" applyBorder="1"/>
    <xf numFmtId="44" fontId="28" fillId="0" borderId="0" xfId="1" applyFont="1" applyFill="1" applyBorder="1"/>
    <xf numFmtId="164" fontId="33" fillId="0" borderId="46" xfId="0" applyNumberFormat="1" applyFont="1" applyFill="1" applyBorder="1" applyAlignment="1">
      <alignment horizontal="center"/>
    </xf>
    <xf numFmtId="0" fontId="0" fillId="0" borderId="68" xfId="0" applyBorder="1"/>
    <xf numFmtId="0" fontId="10" fillId="0" borderId="47" xfId="0" applyFont="1" applyBorder="1" applyAlignment="1">
      <alignment horizontal="center"/>
    </xf>
    <xf numFmtId="44" fontId="31" fillId="0" borderId="68" xfId="1" applyFont="1" applyBorder="1"/>
    <xf numFmtId="164" fontId="28" fillId="0" borderId="68" xfId="0" applyNumberFormat="1" applyFont="1" applyFill="1" applyBorder="1"/>
    <xf numFmtId="44" fontId="0" fillId="0" borderId="47" xfId="1" applyFont="1" applyBorder="1"/>
    <xf numFmtId="44" fontId="20" fillId="0" borderId="0" xfId="1" applyFont="1" applyBorder="1" applyAlignment="1">
      <alignment horizontal="center"/>
    </xf>
    <xf numFmtId="0" fontId="14" fillId="0" borderId="0" xfId="0" applyFont="1" applyAlignment="1">
      <alignment horizontal="center"/>
    </xf>
    <xf numFmtId="44" fontId="20" fillId="2" borderId="2" xfId="1" applyFont="1" applyFill="1" applyBorder="1" applyAlignment="1">
      <alignment horizontal="center"/>
    </xf>
    <xf numFmtId="44" fontId="20" fillId="2" borderId="3" xfId="1" applyFont="1" applyFill="1" applyBorder="1" applyAlignment="1">
      <alignment horizontal="center"/>
    </xf>
    <xf numFmtId="165" fontId="20" fillId="2" borderId="3" xfId="1" applyNumberFormat="1" applyFont="1" applyFill="1" applyBorder="1" applyAlignment="1">
      <alignment horizontal="center"/>
    </xf>
    <xf numFmtId="44" fontId="20" fillId="2" borderId="37" xfId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center" vertical="center" wrapText="1"/>
    </xf>
    <xf numFmtId="0" fontId="10" fillId="9" borderId="41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0" fillId="9" borderId="31" xfId="0" applyFont="1" applyFill="1" applyBorder="1" applyAlignment="1">
      <alignment horizontal="center" vertical="center"/>
    </xf>
    <xf numFmtId="0" fontId="10" fillId="9" borderId="36" xfId="0" applyFont="1" applyFill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/>
    </xf>
    <xf numFmtId="165" fontId="9" fillId="0" borderId="17" xfId="0" applyNumberFormat="1" applyFont="1" applyBorder="1" applyAlignment="1">
      <alignment horizontal="center"/>
    </xf>
    <xf numFmtId="165" fontId="9" fillId="0" borderId="36" xfId="0" applyNumberFormat="1" applyFont="1" applyBorder="1" applyAlignment="1">
      <alignment horizontal="center"/>
    </xf>
    <xf numFmtId="165" fontId="9" fillId="0" borderId="3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16" fillId="0" borderId="38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 vertical="center" wrapText="1"/>
    </xf>
    <xf numFmtId="165" fontId="16" fillId="0" borderId="39" xfId="0" applyNumberFormat="1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3" fillId="0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6" fontId="16" fillId="0" borderId="26" xfId="0" applyNumberFormat="1" applyFont="1" applyBorder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0" fontId="15" fillId="0" borderId="20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33CCFF"/>
      <color rgb="FF0000FF"/>
      <color rgb="FF6666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5247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7896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87439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9145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629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10650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4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1 Conector recto de flecha"/>
        <xdr:cNvCxnSpPr/>
      </xdr:nvCxnSpPr>
      <xdr:spPr>
        <a:xfrm>
          <a:off x="4705350" y="77819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2 Conector recto de flecha"/>
        <xdr:cNvCxnSpPr/>
      </xdr:nvCxnSpPr>
      <xdr:spPr>
        <a:xfrm rot="10800000" flipV="1">
          <a:off x="4686300" y="815339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44</xdr:row>
      <xdr:rowOff>47625</xdr:rowOff>
    </xdr:from>
    <xdr:to>
      <xdr:col>7</xdr:col>
      <xdr:colOff>628650</xdr:colOff>
      <xdr:row>47</xdr:row>
      <xdr:rowOff>0</xdr:rowOff>
    </xdr:to>
    <xdr:cxnSp macro="">
      <xdr:nvCxnSpPr>
        <xdr:cNvPr id="7" name="3 Conector recto de flecha"/>
        <xdr:cNvCxnSpPr/>
      </xdr:nvCxnSpPr>
      <xdr:spPr>
        <a:xfrm flipV="1">
          <a:off x="4657725" y="9001125"/>
          <a:ext cx="809625" cy="6191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S57"/>
  <sheetViews>
    <sheetView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40" t="s">
        <v>0</v>
      </c>
      <c r="D1" s="340"/>
      <c r="E1" s="340"/>
      <c r="F1" s="340"/>
      <c r="G1" s="340"/>
      <c r="H1" s="340"/>
      <c r="I1" s="340"/>
      <c r="J1" s="340"/>
      <c r="K1" s="340"/>
      <c r="L1" s="2" t="s">
        <v>1</v>
      </c>
    </row>
    <row r="2" spans="1:19" ht="15.75" thickBot="1" x14ac:dyDescent="0.3"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279978.36</v>
      </c>
      <c r="D4" s="13"/>
      <c r="E4" s="341" t="s">
        <v>4</v>
      </c>
      <c r="F4" s="342"/>
      <c r="I4" s="343" t="s">
        <v>5</v>
      </c>
      <c r="J4" s="344"/>
      <c r="K4" s="344"/>
      <c r="L4" s="344"/>
      <c r="M4" s="14" t="s">
        <v>6</v>
      </c>
      <c r="N4" s="15" t="s">
        <v>7</v>
      </c>
    </row>
    <row r="5" spans="1:19" ht="15.75" thickTop="1" x14ac:dyDescent="0.25">
      <c r="A5" s="16"/>
      <c r="B5" s="17">
        <v>42736</v>
      </c>
      <c r="C5" s="18">
        <v>0</v>
      </c>
      <c r="D5" s="19"/>
      <c r="E5" s="20">
        <v>42736</v>
      </c>
      <c r="F5" s="21">
        <v>0</v>
      </c>
      <c r="G5" s="22"/>
      <c r="H5" s="23">
        <v>42736</v>
      </c>
      <c r="I5" s="24">
        <v>0</v>
      </c>
      <c r="J5" s="25"/>
      <c r="K5" s="26"/>
      <c r="L5" s="27"/>
      <c r="M5" s="28">
        <v>0</v>
      </c>
      <c r="N5" s="29">
        <v>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42737</v>
      </c>
      <c r="C6" s="30">
        <v>0</v>
      </c>
      <c r="D6" s="31"/>
      <c r="E6" s="20">
        <v>42737</v>
      </c>
      <c r="F6" s="32">
        <v>0</v>
      </c>
      <c r="G6" s="33"/>
      <c r="H6" s="34">
        <v>42737</v>
      </c>
      <c r="I6" s="35">
        <v>0</v>
      </c>
      <c r="J6" s="36"/>
      <c r="K6" s="37" t="s">
        <v>9</v>
      </c>
      <c r="L6" s="38">
        <v>537</v>
      </c>
      <c r="M6" s="39">
        <v>0</v>
      </c>
      <c r="N6" s="35">
        <v>0</v>
      </c>
      <c r="O6" s="22"/>
      <c r="P6" s="22"/>
      <c r="Q6" s="22"/>
    </row>
    <row r="7" spans="1:19" x14ac:dyDescent="0.25">
      <c r="A7" s="16"/>
      <c r="B7" s="17">
        <v>42738</v>
      </c>
      <c r="C7" s="30">
        <v>45465.55</v>
      </c>
      <c r="D7" s="19" t="s">
        <v>10</v>
      </c>
      <c r="E7" s="20">
        <v>42738</v>
      </c>
      <c r="F7" s="32">
        <v>19508.91</v>
      </c>
      <c r="G7" s="22"/>
      <c r="H7" s="34">
        <v>42738</v>
      </c>
      <c r="I7" s="35">
        <v>150</v>
      </c>
      <c r="J7" s="36"/>
      <c r="K7" s="40" t="s">
        <v>11</v>
      </c>
      <c r="L7" s="38">
        <v>11486</v>
      </c>
      <c r="M7" s="39">
        <v>359</v>
      </c>
      <c r="N7" s="35">
        <v>100</v>
      </c>
      <c r="O7" s="22"/>
      <c r="P7" s="22"/>
      <c r="Q7" s="22"/>
      <c r="R7" t="s">
        <v>12</v>
      </c>
      <c r="S7">
        <v>2500</v>
      </c>
    </row>
    <row r="8" spans="1:19" x14ac:dyDescent="0.25">
      <c r="A8" s="16"/>
      <c r="B8" s="17">
        <v>42739</v>
      </c>
      <c r="C8" s="30">
        <v>26575</v>
      </c>
      <c r="D8" s="19" t="s">
        <v>13</v>
      </c>
      <c r="E8" s="20">
        <v>42739</v>
      </c>
      <c r="F8" s="32">
        <v>27502.639999999999</v>
      </c>
      <c r="G8" s="22"/>
      <c r="H8" s="34">
        <v>42739</v>
      </c>
      <c r="I8" s="35">
        <v>340</v>
      </c>
      <c r="J8" s="36"/>
      <c r="K8" s="37" t="s">
        <v>14</v>
      </c>
      <c r="L8" s="41">
        <v>28750</v>
      </c>
      <c r="M8" s="39">
        <v>51</v>
      </c>
      <c r="N8" s="35">
        <v>100</v>
      </c>
      <c r="O8" s="22"/>
      <c r="P8" s="22"/>
      <c r="Q8" s="22"/>
    </row>
    <row r="9" spans="1:19" x14ac:dyDescent="0.25">
      <c r="A9" s="16"/>
      <c r="B9" s="17">
        <v>42740</v>
      </c>
      <c r="C9" s="30">
        <v>55173</v>
      </c>
      <c r="D9" s="19" t="s">
        <v>15</v>
      </c>
      <c r="E9" s="20">
        <v>42740</v>
      </c>
      <c r="F9" s="32">
        <v>55283.74</v>
      </c>
      <c r="G9" s="22"/>
      <c r="H9" s="34">
        <v>42740</v>
      </c>
      <c r="I9" s="35">
        <v>450</v>
      </c>
      <c r="J9" s="42" t="s">
        <v>16</v>
      </c>
      <c r="K9" s="37" t="s">
        <v>17</v>
      </c>
      <c r="L9" s="43">
        <v>11150</v>
      </c>
      <c r="M9" s="39">
        <v>11</v>
      </c>
      <c r="N9" s="35">
        <v>100</v>
      </c>
      <c r="O9" s="44"/>
      <c r="P9" s="22"/>
      <c r="Q9" s="22"/>
    </row>
    <row r="10" spans="1:19" x14ac:dyDescent="0.25">
      <c r="A10" s="16"/>
      <c r="B10" s="17">
        <v>42741</v>
      </c>
      <c r="C10" s="30">
        <v>12031</v>
      </c>
      <c r="D10" s="31" t="s">
        <v>18</v>
      </c>
      <c r="E10" s="20">
        <v>42741</v>
      </c>
      <c r="F10" s="32">
        <v>12130.68</v>
      </c>
      <c r="G10" s="22"/>
      <c r="H10" s="34">
        <v>42741</v>
      </c>
      <c r="I10" s="35">
        <v>100</v>
      </c>
      <c r="J10" s="42" t="s">
        <v>19</v>
      </c>
      <c r="K10" s="37" t="s">
        <v>20</v>
      </c>
      <c r="L10" s="43">
        <v>11150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42742</v>
      </c>
      <c r="C11" s="30">
        <v>52743.15</v>
      </c>
      <c r="D11" s="45" t="s">
        <v>21</v>
      </c>
      <c r="E11" s="20">
        <v>42742</v>
      </c>
      <c r="F11" s="32">
        <v>52843.15</v>
      </c>
      <c r="G11" s="22"/>
      <c r="H11" s="34">
        <v>42742</v>
      </c>
      <c r="I11" s="35">
        <v>100</v>
      </c>
      <c r="J11" s="42" t="s">
        <v>22</v>
      </c>
      <c r="K11" s="37" t="s">
        <v>23</v>
      </c>
      <c r="L11" s="43">
        <v>11150</v>
      </c>
      <c r="M11" s="39">
        <v>0</v>
      </c>
      <c r="N11" s="46">
        <v>100</v>
      </c>
      <c r="O11" s="22"/>
      <c r="P11" s="22"/>
      <c r="Q11" s="22"/>
    </row>
    <row r="12" spans="1:19" x14ac:dyDescent="0.25">
      <c r="A12" s="16"/>
      <c r="B12" s="17">
        <v>42743</v>
      </c>
      <c r="C12" s="30">
        <v>43168.79</v>
      </c>
      <c r="D12" s="19" t="s">
        <v>18</v>
      </c>
      <c r="E12" s="20">
        <v>42743</v>
      </c>
      <c r="F12" s="32">
        <v>44556.72</v>
      </c>
      <c r="G12" s="22"/>
      <c r="H12" s="34">
        <v>42743</v>
      </c>
      <c r="I12" s="35">
        <v>463.25</v>
      </c>
      <c r="J12" s="42" t="s">
        <v>24</v>
      </c>
      <c r="K12" s="37" t="s">
        <v>25</v>
      </c>
      <c r="L12" s="43">
        <v>11150</v>
      </c>
      <c r="M12" s="39">
        <v>3500</v>
      </c>
      <c r="N12" s="35">
        <v>100</v>
      </c>
      <c r="O12" s="44"/>
      <c r="P12" s="47"/>
      <c r="Q12" s="22"/>
    </row>
    <row r="13" spans="1:19" x14ac:dyDescent="0.25">
      <c r="A13" s="16"/>
      <c r="B13" s="17">
        <v>42744</v>
      </c>
      <c r="C13" s="30">
        <v>32404.13</v>
      </c>
      <c r="D13" s="45" t="s">
        <v>26</v>
      </c>
      <c r="E13" s="20">
        <v>42744</v>
      </c>
      <c r="F13" s="32">
        <v>29834.28</v>
      </c>
      <c r="G13" s="22"/>
      <c r="H13" s="34">
        <v>42744</v>
      </c>
      <c r="I13" s="35">
        <v>100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x14ac:dyDescent="0.25">
      <c r="A14" s="16"/>
      <c r="B14" s="17">
        <v>42745</v>
      </c>
      <c r="C14" s="30">
        <v>21625.62</v>
      </c>
      <c r="D14" s="19" t="s">
        <v>28</v>
      </c>
      <c r="E14" s="20">
        <v>42745</v>
      </c>
      <c r="F14" s="32">
        <v>22651.691999999999</v>
      </c>
      <c r="G14" s="22"/>
      <c r="H14" s="34">
        <v>42745</v>
      </c>
      <c r="I14" s="35">
        <v>156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42746</v>
      </c>
      <c r="C15" s="30">
        <v>49950.89</v>
      </c>
      <c r="D15" s="19" t="s">
        <v>30</v>
      </c>
      <c r="E15" s="20">
        <v>42746</v>
      </c>
      <c r="F15" s="32">
        <v>40610.21</v>
      </c>
      <c r="G15" s="22"/>
      <c r="H15" s="34">
        <v>42746</v>
      </c>
      <c r="I15" s="35">
        <v>100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42747</v>
      </c>
      <c r="C16" s="30">
        <v>37978.589999999997</v>
      </c>
      <c r="D16" s="19" t="s">
        <v>32</v>
      </c>
      <c r="E16" s="20">
        <v>42747</v>
      </c>
      <c r="F16" s="32">
        <v>38657.54</v>
      </c>
      <c r="G16" s="22"/>
      <c r="H16" s="34">
        <v>42747</v>
      </c>
      <c r="I16" s="35">
        <v>679.25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42748</v>
      </c>
      <c r="C17" s="30">
        <v>60026.879999999997</v>
      </c>
      <c r="D17" s="19" t="s">
        <v>33</v>
      </c>
      <c r="E17" s="20">
        <v>42748</v>
      </c>
      <c r="F17" s="32">
        <v>60126.879999999997</v>
      </c>
      <c r="G17" s="22"/>
      <c r="H17" s="34">
        <v>42748</v>
      </c>
      <c r="I17" s="35">
        <v>240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42749</v>
      </c>
      <c r="C18" s="30">
        <v>43782.2</v>
      </c>
      <c r="D18" s="19" t="s">
        <v>34</v>
      </c>
      <c r="E18" s="20">
        <v>42749</v>
      </c>
      <c r="F18" s="32">
        <v>43882.2</v>
      </c>
      <c r="G18" s="22"/>
      <c r="H18" s="34">
        <v>42749</v>
      </c>
      <c r="I18" s="35">
        <v>100</v>
      </c>
      <c r="J18" s="42"/>
      <c r="K18" s="53" t="s">
        <v>35</v>
      </c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42750</v>
      </c>
      <c r="C19" s="30">
        <v>21758.39</v>
      </c>
      <c r="D19" s="19" t="s">
        <v>36</v>
      </c>
      <c r="E19" s="20">
        <v>42750</v>
      </c>
      <c r="F19" s="32">
        <v>32708.39</v>
      </c>
      <c r="G19" s="22"/>
      <c r="H19" s="34">
        <v>42750</v>
      </c>
      <c r="I19" s="35">
        <v>400</v>
      </c>
      <c r="J19" s="42"/>
      <c r="K19" s="53"/>
      <c r="L19" s="54">
        <v>0</v>
      </c>
      <c r="M19" s="39">
        <v>500</v>
      </c>
      <c r="N19" s="35">
        <v>100</v>
      </c>
      <c r="O19" s="22"/>
      <c r="P19" s="22"/>
      <c r="Q19" s="22"/>
    </row>
    <row r="20" spans="1:18" x14ac:dyDescent="0.25">
      <c r="A20" s="16"/>
      <c r="B20" s="17">
        <v>42751</v>
      </c>
      <c r="C20" s="30">
        <v>38936.49</v>
      </c>
      <c r="D20" s="31" t="s">
        <v>37</v>
      </c>
      <c r="E20" s="20">
        <v>42751</v>
      </c>
      <c r="F20" s="32">
        <v>32333.38</v>
      </c>
      <c r="G20" s="22"/>
      <c r="H20" s="34">
        <v>42751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42752</v>
      </c>
      <c r="C21" s="30">
        <v>35609.07</v>
      </c>
      <c r="D21" s="19" t="s">
        <v>39</v>
      </c>
      <c r="E21" s="20">
        <v>42752</v>
      </c>
      <c r="F21" s="32">
        <v>21550.32</v>
      </c>
      <c r="G21" s="22"/>
      <c r="H21" s="34">
        <v>42752</v>
      </c>
      <c r="I21" s="55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42753</v>
      </c>
      <c r="C22" s="30">
        <v>31511.51</v>
      </c>
      <c r="D22" s="19" t="s">
        <v>41</v>
      </c>
      <c r="E22" s="20">
        <v>42753</v>
      </c>
      <c r="F22" s="32">
        <v>31611.51</v>
      </c>
      <c r="G22" s="22"/>
      <c r="H22" s="34">
        <v>42753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42754</v>
      </c>
      <c r="C23" s="30">
        <v>44498</v>
      </c>
      <c r="D23" s="60" t="s">
        <v>43</v>
      </c>
      <c r="E23" s="20">
        <v>42754</v>
      </c>
      <c r="F23" s="32">
        <v>44498.09</v>
      </c>
      <c r="G23" s="22"/>
      <c r="H23" s="34">
        <v>42754</v>
      </c>
      <c r="I23" s="55">
        <v>0</v>
      </c>
      <c r="J23" s="36"/>
      <c r="K23" s="61">
        <v>42745</v>
      </c>
      <c r="L23" s="51">
        <v>0</v>
      </c>
      <c r="M23" s="39">
        <v>0</v>
      </c>
      <c r="N23" s="35">
        <v>0</v>
      </c>
      <c r="O23" s="22"/>
      <c r="P23" s="22"/>
      <c r="Q23" s="22"/>
    </row>
    <row r="24" spans="1:18" x14ac:dyDescent="0.25">
      <c r="A24" s="16"/>
      <c r="B24" s="17">
        <v>42755</v>
      </c>
      <c r="C24" s="30">
        <v>44448</v>
      </c>
      <c r="D24" s="19" t="s">
        <v>44</v>
      </c>
      <c r="E24" s="20">
        <v>42755</v>
      </c>
      <c r="F24" s="32">
        <v>41698.76</v>
      </c>
      <c r="G24" s="22"/>
      <c r="H24" s="34">
        <v>42755</v>
      </c>
      <c r="I24" s="55">
        <v>184</v>
      </c>
      <c r="J24" s="42"/>
      <c r="K24" s="62" t="s">
        <v>45</v>
      </c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42756</v>
      </c>
      <c r="C25" s="30">
        <v>75134.31</v>
      </c>
      <c r="D25" s="60" t="s">
        <v>46</v>
      </c>
      <c r="E25" s="20">
        <v>42756</v>
      </c>
      <c r="F25" s="32">
        <v>75945.17</v>
      </c>
      <c r="G25" s="22"/>
      <c r="H25" s="34">
        <v>42756</v>
      </c>
      <c r="I25" s="55">
        <v>810.86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42757</v>
      </c>
      <c r="C26" s="30">
        <v>37433.58</v>
      </c>
      <c r="D26" s="19" t="s">
        <v>47</v>
      </c>
      <c r="E26" s="20">
        <v>42757</v>
      </c>
      <c r="F26" s="32">
        <v>48383.58</v>
      </c>
      <c r="G26" s="22"/>
      <c r="H26" s="34">
        <v>42757</v>
      </c>
      <c r="I26" s="55">
        <v>400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42758</v>
      </c>
      <c r="C27" s="30">
        <v>34194.26</v>
      </c>
      <c r="D27" s="19" t="s">
        <v>48</v>
      </c>
      <c r="E27" s="20">
        <v>42758</v>
      </c>
      <c r="F27" s="32">
        <v>34594.26</v>
      </c>
      <c r="G27" s="22"/>
      <c r="H27" s="34">
        <v>42758</v>
      </c>
      <c r="I27" s="55">
        <v>100</v>
      </c>
      <c r="J27" s="36"/>
      <c r="K27" s="64" t="s">
        <v>49</v>
      </c>
      <c r="L27" s="51">
        <v>3000</v>
      </c>
      <c r="M27" s="39">
        <v>0</v>
      </c>
      <c r="N27" s="35">
        <v>100</v>
      </c>
      <c r="O27" s="22"/>
      <c r="P27" s="22"/>
      <c r="Q27" s="22"/>
    </row>
    <row r="28" spans="1:18" x14ac:dyDescent="0.25">
      <c r="A28" s="16"/>
      <c r="B28" s="17">
        <v>42759</v>
      </c>
      <c r="C28" s="30">
        <v>28505.43</v>
      </c>
      <c r="D28" s="19" t="s">
        <v>50</v>
      </c>
      <c r="E28" s="20">
        <v>42759</v>
      </c>
      <c r="F28" s="32">
        <v>28616.43</v>
      </c>
      <c r="G28" s="22"/>
      <c r="H28" s="34">
        <v>42759</v>
      </c>
      <c r="I28" s="55">
        <v>111</v>
      </c>
      <c r="J28" s="36"/>
      <c r="K28" s="64" t="s">
        <v>51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42760</v>
      </c>
      <c r="C29" s="30">
        <v>37135.17</v>
      </c>
      <c r="D29" s="19" t="s">
        <v>50</v>
      </c>
      <c r="E29" s="20">
        <v>42760</v>
      </c>
      <c r="F29" s="32">
        <v>37235.17</v>
      </c>
      <c r="G29" s="22"/>
      <c r="H29" s="34">
        <v>42760</v>
      </c>
      <c r="I29" s="55">
        <v>100</v>
      </c>
      <c r="J29" s="36"/>
      <c r="K29" s="64" t="s">
        <v>52</v>
      </c>
      <c r="L29" s="65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42761</v>
      </c>
      <c r="C30" s="30">
        <v>29522</v>
      </c>
      <c r="D30" s="19" t="s">
        <v>53</v>
      </c>
      <c r="E30" s="20">
        <v>42761</v>
      </c>
      <c r="F30" s="32">
        <v>29984.1</v>
      </c>
      <c r="G30" s="22"/>
      <c r="H30" s="34">
        <v>42761</v>
      </c>
      <c r="I30" s="55">
        <v>462</v>
      </c>
      <c r="J30" s="63"/>
      <c r="K30" s="64" t="s">
        <v>54</v>
      </c>
      <c r="L30" s="65">
        <v>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42762</v>
      </c>
      <c r="C31" s="30">
        <v>60548.03</v>
      </c>
      <c r="D31" s="19" t="s">
        <v>55</v>
      </c>
      <c r="E31" s="20">
        <v>42762</v>
      </c>
      <c r="F31" s="32">
        <v>60704.03</v>
      </c>
      <c r="G31" s="22"/>
      <c r="H31" s="34">
        <v>42762</v>
      </c>
      <c r="I31" s="55">
        <v>156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42763</v>
      </c>
      <c r="C32" s="30">
        <v>48244.05</v>
      </c>
      <c r="D32" s="19" t="s">
        <v>56</v>
      </c>
      <c r="E32" s="20">
        <v>42763</v>
      </c>
      <c r="F32" s="32">
        <v>59830.05</v>
      </c>
      <c r="G32" s="22"/>
      <c r="H32" s="34">
        <v>42763</v>
      </c>
      <c r="I32" s="55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>
        <v>42764</v>
      </c>
      <c r="C33" s="30">
        <v>37891.5</v>
      </c>
      <c r="D33" s="45" t="s">
        <v>57</v>
      </c>
      <c r="E33" s="20">
        <v>42764</v>
      </c>
      <c r="F33" s="32">
        <v>48841.98</v>
      </c>
      <c r="G33" s="22"/>
      <c r="H33" s="34">
        <v>42764</v>
      </c>
      <c r="I33" s="55">
        <v>400</v>
      </c>
      <c r="J33" s="36"/>
      <c r="K33" s="69"/>
      <c r="L33" s="345">
        <v>0</v>
      </c>
      <c r="M33" s="39">
        <v>0</v>
      </c>
      <c r="N33" s="35">
        <v>100</v>
      </c>
      <c r="O33" s="22"/>
      <c r="P33" s="22"/>
      <c r="Q33" s="22"/>
    </row>
    <row r="34" spans="1:17" x14ac:dyDescent="0.25">
      <c r="A34" s="16"/>
      <c r="B34" s="17">
        <v>42765</v>
      </c>
      <c r="C34" s="30">
        <v>27948.880000000001</v>
      </c>
      <c r="D34" s="19" t="s">
        <v>58</v>
      </c>
      <c r="E34" s="20">
        <v>42765</v>
      </c>
      <c r="F34" s="32">
        <v>28048.880000000001</v>
      </c>
      <c r="G34" s="22"/>
      <c r="H34" s="34">
        <v>42765</v>
      </c>
      <c r="I34" s="55">
        <v>100</v>
      </c>
      <c r="J34" s="36"/>
      <c r="K34" s="69"/>
      <c r="L34" s="346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42766</v>
      </c>
      <c r="C35" s="30">
        <v>61224.03</v>
      </c>
      <c r="D35" s="45" t="s">
        <v>59</v>
      </c>
      <c r="E35" s="20">
        <v>42766</v>
      </c>
      <c r="F35" s="32">
        <v>61324.03</v>
      </c>
      <c r="G35" s="22"/>
      <c r="H35" s="34">
        <v>42766</v>
      </c>
      <c r="I35" s="55">
        <v>100</v>
      </c>
      <c r="J35" s="36"/>
      <c r="K35" s="347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47"/>
      <c r="L36" s="41"/>
      <c r="M36" s="78">
        <v>0</v>
      </c>
      <c r="N36" s="79">
        <f>SUM(N5:N35)</f>
        <v>2800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4421</v>
      </c>
    </row>
    <row r="38" spans="1:17" x14ac:dyDescent="0.25">
      <c r="B38" s="91" t="s">
        <v>60</v>
      </c>
      <c r="C38" s="92">
        <f>SUM(C5:C37)</f>
        <v>1175467.5000000002</v>
      </c>
      <c r="E38" s="93" t="s">
        <v>60</v>
      </c>
      <c r="F38" s="94">
        <f>SUM(F5:F37)</f>
        <v>1165496.7720000001</v>
      </c>
      <c r="H38" s="6" t="s">
        <v>60</v>
      </c>
      <c r="I38" s="4">
        <f>SUM(I5:I37)</f>
        <v>6702.36</v>
      </c>
      <c r="J38" s="4"/>
      <c r="K38" s="95" t="s">
        <v>60</v>
      </c>
      <c r="L38" s="96">
        <f>SUM(L5:L37)</f>
        <v>96743</v>
      </c>
    </row>
    <row r="40" spans="1:17" ht="15.75" x14ac:dyDescent="0.25">
      <c r="A40" s="97"/>
      <c r="B40" s="98"/>
      <c r="C40" s="36"/>
      <c r="D40" s="99"/>
      <c r="E40" s="100"/>
      <c r="F40" s="77"/>
      <c r="H40" s="336" t="s">
        <v>61</v>
      </c>
      <c r="I40" s="337"/>
      <c r="J40" s="101"/>
      <c r="K40" s="338">
        <f>I38+L38</f>
        <v>103445.36</v>
      </c>
      <c r="L40" s="339"/>
    </row>
    <row r="41" spans="1:17" ht="15.75" x14ac:dyDescent="0.25">
      <c r="B41" s="102"/>
      <c r="C41" s="77"/>
      <c r="D41" s="323" t="s">
        <v>62</v>
      </c>
      <c r="E41" s="323"/>
      <c r="F41" s="103">
        <f>F38-K40</f>
        <v>1062051.412</v>
      </c>
      <c r="I41" s="104"/>
      <c r="J41" s="104"/>
    </row>
    <row r="42" spans="1:17" ht="15.75" x14ac:dyDescent="0.25">
      <c r="D42" s="324" t="s">
        <v>63</v>
      </c>
      <c r="E42" s="324"/>
      <c r="F42" s="103">
        <v>-1186147.0900000001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-124095.67800000007</v>
      </c>
      <c r="I44" s="325" t="s">
        <v>66</v>
      </c>
      <c r="J44" s="326"/>
      <c r="K44" s="329">
        <f>F48+L46</f>
        <v>161813.49199999991</v>
      </c>
      <c r="L44" s="330"/>
    </row>
    <row r="45" spans="1:17" ht="15.75" thickBot="1" x14ac:dyDescent="0.3">
      <c r="D45" s="108" t="s">
        <v>67</v>
      </c>
      <c r="E45" s="97" t="s">
        <v>68</v>
      </c>
      <c r="F45" s="4">
        <v>22726.18</v>
      </c>
      <c r="I45" s="327"/>
      <c r="J45" s="328"/>
      <c r="K45" s="331"/>
      <c r="L45" s="332"/>
    </row>
    <row r="46" spans="1:17" ht="17.25" thickTop="1" thickBot="1" x14ac:dyDescent="0.3">
      <c r="C46" s="94"/>
      <c r="D46" s="333" t="s">
        <v>69</v>
      </c>
      <c r="E46" s="333"/>
      <c r="F46" s="109">
        <v>263182.99</v>
      </c>
      <c r="I46" s="334"/>
      <c r="J46" s="334"/>
      <c r="K46" s="335"/>
      <c r="L46" s="110"/>
    </row>
    <row r="47" spans="1:17" ht="19.5" thickBot="1" x14ac:dyDescent="0.35">
      <c r="C47" s="94"/>
      <c r="D47" s="93"/>
      <c r="E47" s="93"/>
      <c r="F47" s="111"/>
      <c r="H47" s="112"/>
      <c r="I47" s="113" t="s">
        <v>70</v>
      </c>
      <c r="J47" s="113"/>
      <c r="K47" s="317">
        <v>-279978.36</v>
      </c>
      <c r="L47" s="317"/>
      <c r="M47" s="114">
        <f>C4</f>
        <v>279978.36</v>
      </c>
    </row>
    <row r="48" spans="1:17" ht="17.25" thickTop="1" thickBot="1" x14ac:dyDescent="0.3">
      <c r="E48" s="115" t="s">
        <v>71</v>
      </c>
      <c r="F48" s="116">
        <f>F44+F45+F46</f>
        <v>161813.49199999991</v>
      </c>
    </row>
    <row r="49" spans="2:14" ht="19.5" thickBot="1" x14ac:dyDescent="0.35">
      <c r="B49"/>
      <c r="C49"/>
      <c r="D49" s="318"/>
      <c r="E49" s="318"/>
      <c r="F49" s="77"/>
      <c r="I49" s="319" t="s">
        <v>247</v>
      </c>
      <c r="J49" s="320"/>
      <c r="K49" s="321">
        <f>K44+K47</f>
        <v>-118164.86800000007</v>
      </c>
      <c r="L49" s="32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H40:I40"/>
    <mergeCell ref="K40:L40"/>
    <mergeCell ref="C1:K1"/>
    <mergeCell ref="E4:F4"/>
    <mergeCell ref="I4:L4"/>
    <mergeCell ref="L33:L34"/>
    <mergeCell ref="K35:K36"/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Y76"/>
  <sheetViews>
    <sheetView topLeftCell="A13" workbookViewId="0">
      <selection activeCell="E28" sqref="E28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4.7109375" style="22" bestFit="1" customWidth="1"/>
    <col min="9" max="9" width="13.85546875" bestFit="1" customWidth="1"/>
    <col min="11" max="11" width="14" customWidth="1"/>
    <col min="14" max="14" width="20.140625" bestFit="1" customWidth="1"/>
    <col min="15" max="15" width="13.140625" bestFit="1" customWidth="1"/>
    <col min="19" max="19" width="14.7109375" bestFit="1" customWidth="1"/>
    <col min="21" max="21" width="15.42578125" customWidth="1"/>
    <col min="24" max="24" width="20.140625" bestFit="1" customWidth="1"/>
    <col min="25" max="25" width="13.28515625" bestFit="1" customWidth="1"/>
  </cols>
  <sheetData>
    <row r="1" spans="1:25" ht="19.5" thickBot="1" x14ac:dyDescent="0.35">
      <c r="B1" s="118" t="s">
        <v>352</v>
      </c>
      <c r="C1" s="119"/>
      <c r="D1" s="120"/>
      <c r="E1" s="119"/>
      <c r="F1" s="121"/>
      <c r="G1" s="200"/>
      <c r="J1" t="s">
        <v>64</v>
      </c>
      <c r="K1" s="154" t="s">
        <v>105</v>
      </c>
      <c r="L1" s="155"/>
      <c r="M1" s="156"/>
      <c r="N1" s="182">
        <v>42868</v>
      </c>
      <c r="O1" s="158"/>
      <c r="T1" t="s">
        <v>64</v>
      </c>
      <c r="U1" s="154" t="s">
        <v>105</v>
      </c>
      <c r="V1" s="155"/>
      <c r="W1" s="156"/>
      <c r="X1" s="223">
        <v>42886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J2" s="159"/>
      <c r="K2" s="160"/>
      <c r="L2" s="159"/>
      <c r="M2" s="161"/>
      <c r="N2" s="160"/>
      <c r="O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42856</v>
      </c>
      <c r="B3" s="126" t="s">
        <v>353</v>
      </c>
      <c r="C3" s="36">
        <v>32165</v>
      </c>
      <c r="D3" s="127">
        <v>42868</v>
      </c>
      <c r="E3" s="36">
        <v>32165</v>
      </c>
      <c r="F3" s="128">
        <f t="shared" ref="F3:F34" si="0">C3-E3</f>
        <v>0</v>
      </c>
      <c r="J3" s="163" t="s">
        <v>106</v>
      </c>
      <c r="K3" s="160" t="s">
        <v>107</v>
      </c>
      <c r="L3" s="159"/>
      <c r="M3" s="161" t="s">
        <v>108</v>
      </c>
      <c r="N3" s="160" t="s">
        <v>109</v>
      </c>
      <c r="O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42857</v>
      </c>
      <c r="B4" s="126" t="s">
        <v>354</v>
      </c>
      <c r="C4" s="130">
        <v>67943.95</v>
      </c>
      <c r="D4" s="127">
        <v>42868</v>
      </c>
      <c r="E4" s="130">
        <v>67943.95</v>
      </c>
      <c r="F4" s="128">
        <f t="shared" si="0"/>
        <v>0</v>
      </c>
      <c r="G4" s="37"/>
      <c r="I4" s="164">
        <f>59351+50741.5</f>
        <v>110092.5</v>
      </c>
      <c r="J4" s="126" t="s">
        <v>320</v>
      </c>
      <c r="K4" s="36">
        <v>109347.54</v>
      </c>
      <c r="L4" s="165" t="s">
        <v>111</v>
      </c>
      <c r="M4" s="166" t="s">
        <v>113</v>
      </c>
      <c r="N4" s="167">
        <v>59351</v>
      </c>
      <c r="O4" s="168">
        <v>42857</v>
      </c>
      <c r="S4" s="164">
        <f>28915+1630.52</f>
        <v>30545.52</v>
      </c>
      <c r="T4" s="126" t="s">
        <v>390</v>
      </c>
      <c r="U4" s="36">
        <v>3903.29</v>
      </c>
      <c r="V4" s="165" t="s">
        <v>111</v>
      </c>
      <c r="W4" s="166" t="s">
        <v>113</v>
      </c>
      <c r="X4" s="167">
        <v>28916</v>
      </c>
      <c r="Y4" s="168">
        <v>42880</v>
      </c>
    </row>
    <row r="5" spans="1:25" ht="15.75" x14ac:dyDescent="0.25">
      <c r="A5" s="129">
        <v>42858</v>
      </c>
      <c r="B5" s="132" t="s">
        <v>355</v>
      </c>
      <c r="C5" s="36">
        <v>49458.52</v>
      </c>
      <c r="D5" s="127">
        <v>42868</v>
      </c>
      <c r="E5" s="36">
        <v>49458.52</v>
      </c>
      <c r="F5" s="128">
        <f t="shared" si="0"/>
        <v>0</v>
      </c>
      <c r="G5" s="201"/>
      <c r="I5" s="164">
        <f>17390.08+32671.55+21506.18</f>
        <v>71567.81</v>
      </c>
      <c r="J5" s="126" t="s">
        <v>339</v>
      </c>
      <c r="K5" s="130">
        <v>71567.81</v>
      </c>
      <c r="L5" s="165"/>
      <c r="M5" s="166" t="s">
        <v>113</v>
      </c>
      <c r="N5" s="167">
        <v>68131.5</v>
      </c>
      <c r="O5" s="168">
        <v>42857</v>
      </c>
      <c r="S5" s="164">
        <v>25013.7</v>
      </c>
      <c r="T5" s="126" t="s">
        <v>391</v>
      </c>
      <c r="U5" s="130">
        <v>25013.7</v>
      </c>
      <c r="V5" s="165"/>
      <c r="W5" s="166" t="s">
        <v>113</v>
      </c>
      <c r="X5" s="167">
        <v>28931.5</v>
      </c>
      <c r="Y5" s="168">
        <v>42880</v>
      </c>
    </row>
    <row r="6" spans="1:25" ht="15.75" x14ac:dyDescent="0.25">
      <c r="A6" s="129">
        <v>42859</v>
      </c>
      <c r="B6" s="126" t="s">
        <v>356</v>
      </c>
      <c r="C6" s="36">
        <v>98643.7</v>
      </c>
      <c r="D6" s="133" t="s">
        <v>410</v>
      </c>
      <c r="E6" s="36">
        <f>69893.91+28749.79</f>
        <v>98643.700000000012</v>
      </c>
      <c r="F6" s="128">
        <f t="shared" si="0"/>
        <v>0</v>
      </c>
      <c r="G6" s="176"/>
      <c r="I6" s="140">
        <f>8537.65+5538.12+36623.16+5567+50717.45+31174.5+4057.56+6161.94+17279.28</f>
        <v>165656.66</v>
      </c>
      <c r="J6" s="126" t="s">
        <v>340</v>
      </c>
      <c r="K6" s="130">
        <v>165656.38</v>
      </c>
      <c r="L6" s="165"/>
      <c r="M6" s="166" t="s">
        <v>113</v>
      </c>
      <c r="N6" s="167">
        <v>32671.5</v>
      </c>
      <c r="O6" s="168">
        <v>42857</v>
      </c>
      <c r="S6" s="140">
        <f>529.18+1758.59+41103.27+7912.03</f>
        <v>51303.069999999992</v>
      </c>
      <c r="T6" s="126" t="s">
        <v>392</v>
      </c>
      <c r="U6" s="130">
        <v>50773.62</v>
      </c>
      <c r="V6" s="165"/>
      <c r="W6" s="166" t="s">
        <v>113</v>
      </c>
      <c r="X6" s="4">
        <v>41103</v>
      </c>
      <c r="Y6" s="168">
        <v>42881</v>
      </c>
    </row>
    <row r="7" spans="1:25" ht="15.75" x14ac:dyDescent="0.25">
      <c r="A7" s="129">
        <v>42860</v>
      </c>
      <c r="B7" s="126" t="s">
        <v>357</v>
      </c>
      <c r="C7" s="130">
        <v>26281.02</v>
      </c>
      <c r="D7" s="127">
        <v>42879</v>
      </c>
      <c r="E7" s="130">
        <v>26281.02</v>
      </c>
      <c r="F7" s="128">
        <f t="shared" si="0"/>
        <v>0</v>
      </c>
      <c r="G7" s="176"/>
      <c r="I7" s="140">
        <f>16497+43944.74</f>
        <v>60441.74</v>
      </c>
      <c r="J7" s="126" t="s">
        <v>345</v>
      </c>
      <c r="K7" s="130">
        <v>60441.74</v>
      </c>
      <c r="L7" s="165"/>
      <c r="M7" s="166" t="s">
        <v>113</v>
      </c>
      <c r="N7" s="167">
        <v>30044</v>
      </c>
      <c r="O7" s="168">
        <v>42857</v>
      </c>
      <c r="S7" s="140">
        <f>27957.59+3457.12+4041.19+1962.52+1686.4+77373.87+42036.34+12887.43</f>
        <v>171402.46</v>
      </c>
      <c r="T7" s="126" t="s">
        <v>411</v>
      </c>
      <c r="U7" s="130">
        <v>171402.46</v>
      </c>
      <c r="V7" s="165"/>
      <c r="W7" s="166" t="s">
        <v>113</v>
      </c>
      <c r="X7" s="4">
        <v>35866.5</v>
      </c>
      <c r="Y7" s="168">
        <v>42882</v>
      </c>
    </row>
    <row r="8" spans="1:25" ht="16.5" thickBot="1" x14ac:dyDescent="0.3">
      <c r="A8" s="129">
        <v>42861</v>
      </c>
      <c r="B8" s="126" t="s">
        <v>358</v>
      </c>
      <c r="C8" s="130">
        <v>5790.1</v>
      </c>
      <c r="D8" s="127">
        <v>42879</v>
      </c>
      <c r="E8" s="130">
        <v>5790.1</v>
      </c>
      <c r="F8" s="128">
        <f t="shared" si="0"/>
        <v>0</v>
      </c>
      <c r="G8" s="176"/>
      <c r="I8" s="140">
        <v>6681.15</v>
      </c>
      <c r="J8" s="143" t="s">
        <v>346</v>
      </c>
      <c r="K8" s="144">
        <v>6681.15</v>
      </c>
      <c r="L8" s="165"/>
      <c r="M8" s="166" t="s">
        <v>113</v>
      </c>
      <c r="N8" s="167">
        <v>36623</v>
      </c>
      <c r="O8" s="168">
        <v>42858</v>
      </c>
      <c r="S8" s="140">
        <f>10105.54+31250.69</f>
        <v>41356.229999999996</v>
      </c>
      <c r="T8" s="126" t="s">
        <v>412</v>
      </c>
      <c r="U8" s="130">
        <v>42695.89</v>
      </c>
      <c r="V8" s="165" t="s">
        <v>125</v>
      </c>
      <c r="W8" s="166" t="s">
        <v>113</v>
      </c>
      <c r="X8" s="4">
        <v>3</v>
      </c>
      <c r="Y8" s="168">
        <v>42884</v>
      </c>
    </row>
    <row r="9" spans="1:25" ht="16.5" thickTop="1" x14ac:dyDescent="0.25">
      <c r="A9" s="129">
        <v>42862</v>
      </c>
      <c r="B9" s="126" t="s">
        <v>359</v>
      </c>
      <c r="C9" s="130">
        <v>3204.6</v>
      </c>
      <c r="D9" s="127">
        <v>42879</v>
      </c>
      <c r="E9" s="130">
        <v>3204.6</v>
      </c>
      <c r="F9" s="128">
        <f t="shared" si="0"/>
        <v>0</v>
      </c>
      <c r="G9" s="176"/>
      <c r="I9" s="140">
        <f>18361.92+13803.08</f>
        <v>32165</v>
      </c>
      <c r="J9" s="126" t="s">
        <v>353</v>
      </c>
      <c r="K9" s="36">
        <v>32165</v>
      </c>
      <c r="L9" s="165"/>
      <c r="M9" s="166" t="s">
        <v>113</v>
      </c>
      <c r="N9" s="167">
        <v>5567</v>
      </c>
      <c r="O9" s="168">
        <v>42857</v>
      </c>
      <c r="S9" s="140"/>
      <c r="T9" s="126"/>
      <c r="U9" s="130"/>
      <c r="V9" s="165"/>
      <c r="W9" s="166">
        <v>3797939</v>
      </c>
      <c r="X9" s="4">
        <v>77374</v>
      </c>
      <c r="Y9" s="168">
        <v>42884</v>
      </c>
    </row>
    <row r="10" spans="1:25" ht="15.75" x14ac:dyDescent="0.25">
      <c r="A10" s="129">
        <v>42863</v>
      </c>
      <c r="B10" s="126" t="s">
        <v>369</v>
      </c>
      <c r="C10" s="130">
        <v>99483.74</v>
      </c>
      <c r="D10" s="127">
        <v>42879</v>
      </c>
      <c r="E10" s="130">
        <v>99483.74</v>
      </c>
      <c r="F10" s="128">
        <f t="shared" si="0"/>
        <v>0</v>
      </c>
      <c r="G10" s="176"/>
      <c r="I10" s="140">
        <f>30274.05+33206.1+4463.3</f>
        <v>67943.45</v>
      </c>
      <c r="J10" s="126" t="s">
        <v>354</v>
      </c>
      <c r="K10" s="130">
        <v>67943.95</v>
      </c>
      <c r="L10" s="165"/>
      <c r="M10" s="166" t="s">
        <v>113</v>
      </c>
      <c r="N10" s="167">
        <v>5538</v>
      </c>
      <c r="O10" s="168">
        <v>42852</v>
      </c>
      <c r="S10" s="140"/>
      <c r="T10" s="126"/>
      <c r="U10" s="130"/>
      <c r="V10" s="165"/>
      <c r="W10" s="166" t="s">
        <v>113</v>
      </c>
      <c r="X10" s="167">
        <v>1686.5</v>
      </c>
      <c r="Y10" s="168">
        <v>42874</v>
      </c>
    </row>
    <row r="11" spans="1:25" ht="15.75" x14ac:dyDescent="0.25">
      <c r="A11" s="129">
        <v>42864</v>
      </c>
      <c r="B11" s="126" t="s">
        <v>370</v>
      </c>
      <c r="C11" s="130">
        <v>12710.4</v>
      </c>
      <c r="D11" s="127">
        <v>42879</v>
      </c>
      <c r="E11" s="130">
        <v>12710.4</v>
      </c>
      <c r="F11" s="128">
        <f t="shared" si="0"/>
        <v>0</v>
      </c>
      <c r="G11" s="176"/>
      <c r="I11" s="140">
        <f>33927.27+15531.25</f>
        <v>49458.52</v>
      </c>
      <c r="J11" s="132" t="s">
        <v>355</v>
      </c>
      <c r="K11" s="36">
        <v>49458.52</v>
      </c>
      <c r="L11" s="165"/>
      <c r="M11" s="166" t="s">
        <v>113</v>
      </c>
      <c r="N11" s="167">
        <v>50717</v>
      </c>
      <c r="O11" s="168">
        <v>42859</v>
      </c>
      <c r="S11" s="140"/>
      <c r="T11" s="126"/>
      <c r="U11" s="130"/>
      <c r="V11" s="165"/>
      <c r="W11" s="166" t="s">
        <v>113</v>
      </c>
      <c r="X11" s="167">
        <v>4041</v>
      </c>
      <c r="Y11" s="168">
        <v>42879</v>
      </c>
    </row>
    <row r="12" spans="1:25" ht="15.75" x14ac:dyDescent="0.25">
      <c r="A12" s="129">
        <v>42865</v>
      </c>
      <c r="B12" s="126" t="s">
        <v>371</v>
      </c>
      <c r="C12" s="130">
        <v>66354.42</v>
      </c>
      <c r="D12" s="127">
        <v>42879</v>
      </c>
      <c r="E12" s="130">
        <v>66354.42</v>
      </c>
      <c r="F12" s="128">
        <f t="shared" si="0"/>
        <v>0</v>
      </c>
      <c r="G12" s="176"/>
      <c r="I12" s="140">
        <f>27100.5+9792.5+32257.5</f>
        <v>69150.5</v>
      </c>
      <c r="J12" s="126" t="s">
        <v>356</v>
      </c>
      <c r="K12" s="36">
        <v>69893.91</v>
      </c>
      <c r="L12" s="183" t="s">
        <v>125</v>
      </c>
      <c r="M12" s="184" t="s">
        <v>113</v>
      </c>
      <c r="N12" s="185">
        <v>31174.5</v>
      </c>
      <c r="O12" s="186">
        <v>42861</v>
      </c>
      <c r="S12" s="151"/>
      <c r="T12" s="126"/>
      <c r="U12" s="130"/>
      <c r="V12" s="183"/>
      <c r="W12" s="184" t="s">
        <v>113</v>
      </c>
      <c r="X12" s="185">
        <v>1963</v>
      </c>
      <c r="Y12" s="186">
        <v>42880</v>
      </c>
    </row>
    <row r="13" spans="1:25" ht="15.75" x14ac:dyDescent="0.25">
      <c r="A13" s="129">
        <v>42866</v>
      </c>
      <c r="B13" s="126" t="s">
        <v>372</v>
      </c>
      <c r="C13" s="130">
        <v>46857.06</v>
      </c>
      <c r="D13" s="127">
        <v>42879</v>
      </c>
      <c r="E13" s="130">
        <v>46857.06</v>
      </c>
      <c r="F13" s="128">
        <f t="shared" ref="F13:F23" si="1">C13-E13</f>
        <v>0</v>
      </c>
      <c r="G13" s="176"/>
      <c r="I13" s="151"/>
      <c r="J13" s="126"/>
      <c r="K13" s="130"/>
      <c r="L13" s="235"/>
      <c r="M13" s="184" t="s">
        <v>113</v>
      </c>
      <c r="N13" s="225">
        <v>40457</v>
      </c>
      <c r="O13" s="186">
        <v>42863</v>
      </c>
      <c r="S13" s="151"/>
      <c r="T13" s="126"/>
      <c r="U13" s="130"/>
      <c r="V13" s="235"/>
      <c r="W13" s="184" t="s">
        <v>113</v>
      </c>
      <c r="X13" s="225">
        <v>3457</v>
      </c>
      <c r="Y13" s="186">
        <v>42875</v>
      </c>
    </row>
    <row r="14" spans="1:25" ht="15.75" x14ac:dyDescent="0.25">
      <c r="A14" s="129">
        <v>42868</v>
      </c>
      <c r="B14" s="126" t="s">
        <v>386</v>
      </c>
      <c r="C14" s="130">
        <v>57084.78</v>
      </c>
      <c r="D14" s="127">
        <v>42879</v>
      </c>
      <c r="E14" s="130">
        <v>57084.78</v>
      </c>
      <c r="F14" s="128">
        <f t="shared" si="1"/>
        <v>0</v>
      </c>
      <c r="G14" s="176"/>
      <c r="I14" s="151"/>
      <c r="J14" s="126"/>
      <c r="K14" s="130"/>
      <c r="L14" s="187"/>
      <c r="M14" s="184" t="s">
        <v>113</v>
      </c>
      <c r="N14" s="188">
        <v>6162</v>
      </c>
      <c r="O14" s="186">
        <v>42858</v>
      </c>
      <c r="S14" s="151"/>
      <c r="T14" s="126"/>
      <c r="U14" s="130"/>
      <c r="V14" s="187"/>
      <c r="W14" s="184" t="s">
        <v>294</v>
      </c>
      <c r="X14" s="188">
        <v>42036</v>
      </c>
      <c r="Y14" s="186">
        <v>42884</v>
      </c>
    </row>
    <row r="15" spans="1:25" ht="15.75" x14ac:dyDescent="0.25">
      <c r="A15" s="129">
        <v>42868</v>
      </c>
      <c r="B15" s="126" t="s">
        <v>387</v>
      </c>
      <c r="C15" s="130">
        <v>35329.480000000003</v>
      </c>
      <c r="D15" s="127">
        <v>42879</v>
      </c>
      <c r="E15" s="130">
        <v>35329.480000000003</v>
      </c>
      <c r="F15" s="128">
        <f t="shared" si="1"/>
        <v>0</v>
      </c>
      <c r="G15" s="176"/>
      <c r="I15" s="151"/>
      <c r="J15" s="126"/>
      <c r="K15" s="130"/>
      <c r="L15" s="187"/>
      <c r="M15" s="184" t="s">
        <v>113</v>
      </c>
      <c r="N15" s="188">
        <v>4057.5</v>
      </c>
      <c r="O15" s="186">
        <v>42859</v>
      </c>
      <c r="S15" s="164"/>
      <c r="T15" s="126"/>
      <c r="U15" s="130"/>
      <c r="V15" s="187"/>
      <c r="W15" s="184" t="s">
        <v>113</v>
      </c>
      <c r="X15" s="188">
        <v>22992.5</v>
      </c>
      <c r="Y15" s="186">
        <v>42885</v>
      </c>
    </row>
    <row r="16" spans="1:25" ht="15.75" x14ac:dyDescent="0.25">
      <c r="A16" s="129">
        <v>42870</v>
      </c>
      <c r="B16" s="126" t="s">
        <v>388</v>
      </c>
      <c r="C16" s="130">
        <v>48161</v>
      </c>
      <c r="D16" s="127">
        <v>42879</v>
      </c>
      <c r="E16" s="130">
        <v>48161</v>
      </c>
      <c r="F16" s="128">
        <f t="shared" si="1"/>
        <v>0</v>
      </c>
      <c r="G16" s="176"/>
      <c r="I16" s="151"/>
      <c r="J16" s="126"/>
      <c r="K16" s="36"/>
      <c r="L16" s="227"/>
      <c r="M16" s="184" t="s">
        <v>113</v>
      </c>
      <c r="N16" s="188">
        <v>62307</v>
      </c>
      <c r="O16" s="186">
        <v>42864</v>
      </c>
      <c r="S16" s="151"/>
      <c r="T16" s="126"/>
      <c r="U16" s="130"/>
      <c r="V16" s="227"/>
      <c r="W16" s="184" t="s">
        <v>113</v>
      </c>
      <c r="X16" s="188">
        <v>31251</v>
      </c>
      <c r="Y16" s="186">
        <v>42886</v>
      </c>
    </row>
    <row r="17" spans="1:25" ht="15.75" x14ac:dyDescent="0.25">
      <c r="A17" s="129">
        <v>42871</v>
      </c>
      <c r="B17" s="126" t="s">
        <v>389</v>
      </c>
      <c r="C17" s="130">
        <v>57472.36</v>
      </c>
      <c r="D17" s="127">
        <v>42879</v>
      </c>
      <c r="E17" s="130">
        <v>57472.36</v>
      </c>
      <c r="F17" s="128">
        <f t="shared" si="1"/>
        <v>0</v>
      </c>
      <c r="G17" s="176"/>
      <c r="I17" s="151"/>
      <c r="J17" s="187"/>
      <c r="K17" s="187"/>
      <c r="L17" s="187"/>
      <c r="M17" s="184" t="s">
        <v>113</v>
      </c>
      <c r="N17" s="188">
        <v>44077</v>
      </c>
      <c r="O17" s="186">
        <v>42863</v>
      </c>
      <c r="S17" s="151">
        <v>0</v>
      </c>
      <c r="T17" s="187">
        <v>0</v>
      </c>
      <c r="U17" s="209">
        <v>0</v>
      </c>
      <c r="V17" s="187"/>
      <c r="W17" s="184" t="s">
        <v>113</v>
      </c>
      <c r="X17" s="188"/>
      <c r="Y17" s="186"/>
    </row>
    <row r="18" spans="1:25" ht="15.75" x14ac:dyDescent="0.25">
      <c r="A18" s="129">
        <v>42872</v>
      </c>
      <c r="B18" s="126" t="s">
        <v>390</v>
      </c>
      <c r="C18" s="130">
        <v>32653.08</v>
      </c>
      <c r="D18" s="268" t="s">
        <v>445</v>
      </c>
      <c r="E18" s="130">
        <f>2917.75+3903.29+25832.04</f>
        <v>32653.08</v>
      </c>
      <c r="F18" s="128">
        <f t="shared" si="1"/>
        <v>0</v>
      </c>
      <c r="G18" s="272">
        <v>25832.04</v>
      </c>
      <c r="H18" s="273">
        <v>42880</v>
      </c>
      <c r="I18" s="151"/>
      <c r="J18" s="187"/>
      <c r="K18" s="187"/>
      <c r="L18" s="187"/>
      <c r="M18" s="184" t="s">
        <v>113</v>
      </c>
      <c r="N18" s="188">
        <v>33206</v>
      </c>
      <c r="O18" s="186">
        <v>42864</v>
      </c>
      <c r="S18" s="151"/>
      <c r="T18" s="187"/>
      <c r="U18" s="209">
        <v>0</v>
      </c>
      <c r="V18" s="187"/>
      <c r="W18" s="184" t="s">
        <v>113</v>
      </c>
      <c r="X18" s="188"/>
      <c r="Y18" s="186"/>
    </row>
    <row r="19" spans="1:25" ht="15.75" x14ac:dyDescent="0.25">
      <c r="A19" s="129">
        <v>42873</v>
      </c>
      <c r="B19" s="126" t="s">
        <v>391</v>
      </c>
      <c r="C19" s="130">
        <v>25013.7</v>
      </c>
      <c r="D19" s="127">
        <v>42887</v>
      </c>
      <c r="E19" s="130">
        <v>25013.7</v>
      </c>
      <c r="F19" s="128">
        <f t="shared" si="1"/>
        <v>0</v>
      </c>
      <c r="G19" s="37"/>
      <c r="I19" s="151"/>
      <c r="J19" s="187"/>
      <c r="K19" s="187"/>
      <c r="L19" s="187"/>
      <c r="M19" s="184" t="s">
        <v>113</v>
      </c>
      <c r="N19" s="188">
        <v>38390</v>
      </c>
      <c r="O19" s="186">
        <v>42865</v>
      </c>
      <c r="S19" s="151"/>
      <c r="T19" s="187"/>
      <c r="U19" s="209">
        <v>0</v>
      </c>
      <c r="V19" s="187"/>
      <c r="W19" s="184" t="s">
        <v>113</v>
      </c>
      <c r="X19" s="188"/>
      <c r="Y19" s="186"/>
    </row>
    <row r="20" spans="1:25" ht="15.75" x14ac:dyDescent="0.25">
      <c r="A20" s="129">
        <v>42874</v>
      </c>
      <c r="B20" s="126" t="s">
        <v>392</v>
      </c>
      <c r="C20" s="130">
        <v>50773.62</v>
      </c>
      <c r="D20" s="127">
        <v>42887</v>
      </c>
      <c r="E20" s="130">
        <v>50773.62</v>
      </c>
      <c r="F20" s="128">
        <f t="shared" si="1"/>
        <v>0</v>
      </c>
      <c r="I20" s="151"/>
      <c r="J20" s="187"/>
      <c r="K20" s="187"/>
      <c r="L20" s="187"/>
      <c r="M20" s="184" t="s">
        <v>113</v>
      </c>
      <c r="N20" s="188">
        <v>52424.5</v>
      </c>
      <c r="O20" s="186">
        <v>42866</v>
      </c>
      <c r="S20" s="151"/>
      <c r="T20" s="187"/>
      <c r="U20" s="209">
        <v>0</v>
      </c>
      <c r="V20" s="187"/>
      <c r="W20" s="184" t="s">
        <v>113</v>
      </c>
      <c r="X20" s="188"/>
      <c r="Y20" s="186"/>
    </row>
    <row r="21" spans="1:25" ht="16.5" thickBot="1" x14ac:dyDescent="0.3">
      <c r="A21" s="129">
        <v>42875</v>
      </c>
      <c r="B21" s="126" t="s">
        <v>411</v>
      </c>
      <c r="C21" s="130">
        <v>171402.46</v>
      </c>
      <c r="D21" s="127">
        <v>42887</v>
      </c>
      <c r="E21" s="130">
        <v>171402.46</v>
      </c>
      <c r="F21" s="128">
        <f t="shared" si="1"/>
        <v>0</v>
      </c>
      <c r="I21" s="151"/>
      <c r="J21" s="187"/>
      <c r="K21" s="187"/>
      <c r="L21" s="187"/>
      <c r="M21" s="184" t="s">
        <v>113</v>
      </c>
      <c r="N21" s="188">
        <v>32257.5</v>
      </c>
      <c r="O21" s="186">
        <v>42867</v>
      </c>
      <c r="S21" s="177">
        <f>SUM(S4:S20)</f>
        <v>319620.98</v>
      </c>
      <c r="T21" s="207"/>
      <c r="U21" s="271">
        <v>0</v>
      </c>
      <c r="V21" s="207"/>
      <c r="W21" s="184" t="s">
        <v>113</v>
      </c>
      <c r="X21" s="221">
        <v>0</v>
      </c>
      <c r="Y21" s="222"/>
    </row>
    <row r="22" spans="1:25" ht="17.25" thickTop="1" thickBot="1" x14ac:dyDescent="0.3">
      <c r="A22" s="129">
        <v>42879</v>
      </c>
      <c r="B22" s="126" t="s">
        <v>412</v>
      </c>
      <c r="C22" s="130">
        <v>124052.62</v>
      </c>
      <c r="D22" s="138" t="s">
        <v>470</v>
      </c>
      <c r="E22" s="137">
        <f>42695.89+81356.73</f>
        <v>124052.62</v>
      </c>
      <c r="F22" s="128">
        <f t="shared" si="1"/>
        <v>0</v>
      </c>
      <c r="I22" s="151"/>
      <c r="J22" s="187"/>
      <c r="K22" s="187"/>
      <c r="L22" s="187"/>
      <c r="M22" s="184" t="s">
        <v>113</v>
      </c>
      <c r="N22" s="188"/>
      <c r="O22" s="186"/>
      <c r="T22" s="177"/>
      <c r="U22" s="177">
        <f>SUM(U4:U21)</f>
        <v>293788.96000000002</v>
      </c>
      <c r="V22" s="178"/>
      <c r="W22" s="179"/>
      <c r="X22" s="204">
        <f>SUM(X4:X21)</f>
        <v>319621</v>
      </c>
      <c r="Y22" s="181"/>
    </row>
    <row r="23" spans="1:25" ht="16.5" thickBot="1" x14ac:dyDescent="0.3">
      <c r="A23" s="129">
        <v>42879</v>
      </c>
      <c r="B23" s="126" t="s">
        <v>413</v>
      </c>
      <c r="C23" s="130">
        <v>13140.58</v>
      </c>
      <c r="D23" s="138">
        <v>42901</v>
      </c>
      <c r="E23" s="137">
        <v>13140.58</v>
      </c>
      <c r="F23" s="128">
        <f t="shared" si="1"/>
        <v>0</v>
      </c>
      <c r="I23" s="177">
        <f>SUM(I4:I22)</f>
        <v>633157.32999999996</v>
      </c>
      <c r="J23" s="207"/>
      <c r="K23" s="207"/>
      <c r="L23" s="207"/>
      <c r="M23" s="184" t="s">
        <v>113</v>
      </c>
      <c r="N23" s="221">
        <v>0</v>
      </c>
      <c r="O23" s="222"/>
    </row>
    <row r="24" spans="1:25" ht="17.25" thickTop="1" thickBot="1" x14ac:dyDescent="0.3">
      <c r="A24" s="129">
        <v>42880</v>
      </c>
      <c r="B24" s="126" t="s">
        <v>414</v>
      </c>
      <c r="C24" s="130">
        <v>6555.2</v>
      </c>
      <c r="D24" s="138">
        <v>42901</v>
      </c>
      <c r="E24" s="137">
        <v>6555.2</v>
      </c>
      <c r="F24" s="128">
        <f t="shared" si="0"/>
        <v>0</v>
      </c>
      <c r="G24" s="149"/>
      <c r="J24" s="177"/>
      <c r="K24" s="177">
        <f>SUM(K4:K22)</f>
        <v>633156</v>
      </c>
      <c r="L24" s="178"/>
      <c r="M24" s="179"/>
      <c r="N24" s="204">
        <f>SUM(N4:N23)</f>
        <v>633156</v>
      </c>
      <c r="O24" s="181"/>
    </row>
    <row r="25" spans="1:25" x14ac:dyDescent="0.25">
      <c r="A25" s="129">
        <v>42881</v>
      </c>
      <c r="B25" s="126" t="s">
        <v>415</v>
      </c>
      <c r="C25" s="130">
        <v>94655</v>
      </c>
      <c r="D25" s="138">
        <v>42901</v>
      </c>
      <c r="E25" s="137">
        <v>94655</v>
      </c>
      <c r="F25" s="128">
        <f t="shared" si="0"/>
        <v>0</v>
      </c>
      <c r="G25" s="149"/>
      <c r="U25" s="274">
        <v>25832.04</v>
      </c>
      <c r="V25" s="275">
        <v>42880</v>
      </c>
      <c r="W25" s="97" t="s">
        <v>416</v>
      </c>
    </row>
    <row r="26" spans="1:25" x14ac:dyDescent="0.25">
      <c r="A26" s="129">
        <v>42885</v>
      </c>
      <c r="B26" s="126" t="s">
        <v>417</v>
      </c>
      <c r="C26" s="130">
        <v>63581</v>
      </c>
      <c r="D26" s="138">
        <v>42901</v>
      </c>
      <c r="E26" s="137">
        <v>63581</v>
      </c>
      <c r="F26" s="128">
        <f t="shared" si="0"/>
        <v>0</v>
      </c>
      <c r="G26" s="202"/>
    </row>
    <row r="27" spans="1:25" x14ac:dyDescent="0.25">
      <c r="A27" s="129">
        <v>42883</v>
      </c>
      <c r="B27" s="126" t="s">
        <v>423</v>
      </c>
      <c r="C27" s="130">
        <v>49727.18</v>
      </c>
      <c r="D27" s="138">
        <v>42901</v>
      </c>
      <c r="E27" s="137">
        <v>49727.18</v>
      </c>
      <c r="F27" s="128">
        <f t="shared" si="0"/>
        <v>0</v>
      </c>
    </row>
    <row r="28" spans="1:25" ht="15.75" thickBot="1" x14ac:dyDescent="0.3">
      <c r="A28" s="129">
        <v>42886</v>
      </c>
      <c r="B28" s="126" t="s">
        <v>422</v>
      </c>
      <c r="C28" s="130">
        <v>4258</v>
      </c>
      <c r="D28" s="138">
        <v>42901</v>
      </c>
      <c r="E28" s="137">
        <v>4258</v>
      </c>
      <c r="F28" s="128">
        <f t="shared" si="0"/>
        <v>0</v>
      </c>
    </row>
    <row r="29" spans="1:25" ht="19.5" thickBot="1" x14ac:dyDescent="0.35">
      <c r="A29" s="129"/>
      <c r="B29" s="126"/>
      <c r="C29" s="130"/>
      <c r="D29" s="127"/>
      <c r="E29" s="130"/>
      <c r="F29" s="128">
        <f t="shared" si="0"/>
        <v>0</v>
      </c>
      <c r="J29" t="s">
        <v>64</v>
      </c>
      <c r="K29" s="154" t="s">
        <v>105</v>
      </c>
      <c r="L29" s="155"/>
      <c r="M29" s="156"/>
      <c r="N29" s="182">
        <v>42879</v>
      </c>
      <c r="O29" s="158"/>
    </row>
    <row r="30" spans="1:25" ht="15.75" x14ac:dyDescent="0.25">
      <c r="A30" s="129"/>
      <c r="B30" s="126"/>
      <c r="C30" s="130"/>
      <c r="D30" s="127"/>
      <c r="E30" s="130"/>
      <c r="F30" s="128">
        <f t="shared" si="0"/>
        <v>0</v>
      </c>
      <c r="J30" s="159"/>
      <c r="K30" s="160"/>
      <c r="L30" s="159"/>
      <c r="M30" s="161"/>
      <c r="N30" s="160"/>
      <c r="O30" s="162"/>
    </row>
    <row r="31" spans="1:25" ht="15.75" x14ac:dyDescent="0.25">
      <c r="A31" s="236"/>
      <c r="B31" s="126"/>
      <c r="C31" s="130"/>
      <c r="D31" s="127"/>
      <c r="E31" s="130"/>
      <c r="F31" s="128">
        <f t="shared" si="0"/>
        <v>0</v>
      </c>
      <c r="J31" s="163" t="s">
        <v>106</v>
      </c>
      <c r="K31" s="160" t="s">
        <v>107</v>
      </c>
      <c r="L31" s="159"/>
      <c r="M31" s="161" t="s">
        <v>108</v>
      </c>
      <c r="N31" s="160" t="s">
        <v>109</v>
      </c>
      <c r="O31" s="162"/>
    </row>
    <row r="32" spans="1:25" ht="15.75" x14ac:dyDescent="0.25">
      <c r="A32" s="236"/>
      <c r="B32" s="126"/>
      <c r="C32" s="130"/>
      <c r="D32" s="127"/>
      <c r="E32" s="130"/>
      <c r="F32" s="128">
        <f t="shared" si="0"/>
        <v>0</v>
      </c>
      <c r="I32" s="164">
        <f>25817.66+3676.04</f>
        <v>29493.7</v>
      </c>
      <c r="J32" s="126" t="s">
        <v>356</v>
      </c>
      <c r="K32" s="36">
        <v>28749.79</v>
      </c>
      <c r="L32" s="165" t="s">
        <v>111</v>
      </c>
      <c r="M32" s="166" t="s">
        <v>113</v>
      </c>
      <c r="N32" s="167">
        <v>54252</v>
      </c>
      <c r="O32" s="168">
        <v>42870</v>
      </c>
    </row>
    <row r="33" spans="1:15" ht="15.75" x14ac:dyDescent="0.25">
      <c r="A33" s="236"/>
      <c r="B33" s="126"/>
      <c r="C33" s="130"/>
      <c r="D33" s="127"/>
      <c r="E33" s="130"/>
      <c r="F33" s="128">
        <f t="shared" si="0"/>
        <v>0</v>
      </c>
      <c r="I33" s="164">
        <f>15628.72+10652</f>
        <v>26280.720000000001</v>
      </c>
      <c r="J33" s="126" t="s">
        <v>357</v>
      </c>
      <c r="K33" s="130">
        <v>26281.02</v>
      </c>
      <c r="L33" s="165"/>
      <c r="M33" s="166" t="s">
        <v>113</v>
      </c>
      <c r="N33" s="167">
        <v>3676</v>
      </c>
      <c r="O33" s="168">
        <v>42864</v>
      </c>
    </row>
    <row r="34" spans="1:15" ht="16.5" thickBot="1" x14ac:dyDescent="0.3">
      <c r="A34" s="142"/>
      <c r="B34" s="143"/>
      <c r="C34" s="144"/>
      <c r="D34" s="145"/>
      <c r="E34" s="146"/>
      <c r="F34" s="147">
        <f t="shared" si="0"/>
        <v>0</v>
      </c>
      <c r="I34" s="140">
        <f>2154+3704.1</f>
        <v>5858.1</v>
      </c>
      <c r="J34" s="126" t="s">
        <v>358</v>
      </c>
      <c r="K34" s="130">
        <v>5790.1</v>
      </c>
      <c r="L34" s="165"/>
      <c r="M34" s="166" t="s">
        <v>113</v>
      </c>
      <c r="N34" s="4">
        <v>71901</v>
      </c>
      <c r="O34" s="168">
        <v>42870</v>
      </c>
    </row>
    <row r="35" spans="1:15" ht="16.5" thickTop="1" x14ac:dyDescent="0.25">
      <c r="B35" s="44"/>
      <c r="C35" s="130">
        <f>SUM(C3:C34)</f>
        <v>1342752.5699999998</v>
      </c>
      <c r="D35" s="148"/>
      <c r="E35" s="140">
        <f>SUM(E3:E34)</f>
        <v>1342752.5699999998</v>
      </c>
      <c r="F35" s="130">
        <f>SUM(F3:F34)</f>
        <v>0</v>
      </c>
      <c r="I35" s="140">
        <v>3204.9</v>
      </c>
      <c r="J35" s="126" t="s">
        <v>359</v>
      </c>
      <c r="K35" s="130">
        <v>3204.6</v>
      </c>
      <c r="L35" s="165"/>
      <c r="M35" s="166" t="s">
        <v>113</v>
      </c>
      <c r="N35" s="4">
        <v>5674.5</v>
      </c>
      <c r="O35" s="168">
        <v>42863</v>
      </c>
    </row>
    <row r="36" spans="1:15" ht="15.75" x14ac:dyDescent="0.25">
      <c r="A36"/>
      <c r="B36" s="16"/>
      <c r="C36" s="151"/>
      <c r="D36"/>
      <c r="E36"/>
      <c r="F36"/>
      <c r="G36"/>
      <c r="H36" s="140"/>
      <c r="I36" s="140">
        <f>5112.54+1996.88+5674.56+64991.91+21707.85</f>
        <v>99483.739999999991</v>
      </c>
      <c r="J36" s="126" t="s">
        <v>369</v>
      </c>
      <c r="K36" s="130">
        <v>99483.74</v>
      </c>
      <c r="L36" s="165"/>
      <c r="M36" s="166" t="s">
        <v>113</v>
      </c>
      <c r="N36" s="4">
        <v>1997</v>
      </c>
      <c r="O36" s="168">
        <v>42865</v>
      </c>
    </row>
    <row r="37" spans="1:15" ht="15.75" x14ac:dyDescent="0.25">
      <c r="A37"/>
      <c r="B37" s="16"/>
      <c r="C37" s="151"/>
      <c r="D37"/>
      <c r="E37"/>
      <c r="F37"/>
      <c r="G37"/>
      <c r="I37" s="140">
        <v>12710.4</v>
      </c>
      <c r="J37" s="126" t="s">
        <v>370</v>
      </c>
      <c r="K37" s="130">
        <v>12710.4</v>
      </c>
      <c r="L37" s="165"/>
      <c r="M37" s="166">
        <v>3797939</v>
      </c>
      <c r="N37" s="4">
        <v>5113</v>
      </c>
      <c r="O37" s="168">
        <v>42868</v>
      </c>
    </row>
    <row r="38" spans="1:15" ht="15.75" x14ac:dyDescent="0.25">
      <c r="A38"/>
      <c r="B38" s="149"/>
      <c r="D38" s="149"/>
      <c r="I38" s="140">
        <f>7299.82+1828.5+27986.3+31068.3</f>
        <v>68182.92</v>
      </c>
      <c r="J38" s="126" t="s">
        <v>371</v>
      </c>
      <c r="K38" s="130">
        <v>66354.42</v>
      </c>
      <c r="L38" s="165"/>
      <c r="M38" s="166" t="s">
        <v>113</v>
      </c>
      <c r="N38" s="167">
        <v>43545</v>
      </c>
      <c r="O38" s="168">
        <v>42870</v>
      </c>
    </row>
    <row r="39" spans="1:15" ht="15.75" x14ac:dyDescent="0.25">
      <c r="A39"/>
      <c r="B39" s="149"/>
      <c r="D39" s="149"/>
      <c r="I39" s="140">
        <f>10213.96+2816.64+19622.64+14204</f>
        <v>46857.24</v>
      </c>
      <c r="J39" s="126" t="s">
        <v>372</v>
      </c>
      <c r="K39" s="130">
        <v>46857.06</v>
      </c>
      <c r="L39" s="165"/>
      <c r="M39" s="166" t="s">
        <v>113</v>
      </c>
      <c r="N39" s="167">
        <v>27986</v>
      </c>
      <c r="O39" s="168">
        <v>42871</v>
      </c>
    </row>
    <row r="40" spans="1:15" ht="15.75" x14ac:dyDescent="0.25">
      <c r="A40"/>
      <c r="B40" s="149"/>
      <c r="D40" s="149"/>
      <c r="I40" s="151">
        <f>11163+45922</f>
        <v>57085</v>
      </c>
      <c r="J40" s="126" t="s">
        <v>386</v>
      </c>
      <c r="K40" s="130">
        <v>57084.78</v>
      </c>
      <c r="L40" s="183"/>
      <c r="M40" s="184" t="s">
        <v>113</v>
      </c>
      <c r="N40" s="185">
        <v>41282</v>
      </c>
      <c r="O40" s="186">
        <v>42872</v>
      </c>
    </row>
    <row r="41" spans="1:15" ht="15.75" x14ac:dyDescent="0.25">
      <c r="A41"/>
      <c r="B41" s="149"/>
      <c r="D41" s="149"/>
      <c r="I41" s="151">
        <f>17264.92+6189+11875.37</f>
        <v>35329.29</v>
      </c>
      <c r="J41" s="126" t="s">
        <v>387</v>
      </c>
      <c r="K41" s="130">
        <v>35329.480000000003</v>
      </c>
      <c r="L41" s="235"/>
      <c r="M41" s="184" t="s">
        <v>113</v>
      </c>
      <c r="N41" s="225">
        <v>2817</v>
      </c>
      <c r="O41" s="186">
        <v>42870</v>
      </c>
    </row>
    <row r="42" spans="1:15" ht="15.75" x14ac:dyDescent="0.25">
      <c r="A42"/>
      <c r="B42" s="149"/>
      <c r="D42" s="149"/>
      <c r="I42" s="151">
        <f>45585.61+2575.39</f>
        <v>48161</v>
      </c>
      <c r="J42" s="126" t="s">
        <v>388</v>
      </c>
      <c r="K42" s="130">
        <v>48161</v>
      </c>
      <c r="L42" s="187"/>
      <c r="M42" s="184" t="s">
        <v>113</v>
      </c>
      <c r="N42" s="188">
        <v>19623</v>
      </c>
      <c r="O42" s="186">
        <v>42874</v>
      </c>
    </row>
    <row r="43" spans="1:15" ht="15.75" x14ac:dyDescent="0.25">
      <c r="A43"/>
      <c r="B43" s="149"/>
      <c r="D43" s="149"/>
      <c r="I43" s="164">
        <f>30145.41+27326.95</f>
        <v>57472.36</v>
      </c>
      <c r="J43" s="126" t="s">
        <v>389</v>
      </c>
      <c r="K43" s="130">
        <v>57472.36</v>
      </c>
      <c r="L43" s="187"/>
      <c r="M43" s="184" t="s">
        <v>113</v>
      </c>
      <c r="N43" s="188">
        <v>25367</v>
      </c>
      <c r="O43" s="186">
        <v>42874</v>
      </c>
    </row>
    <row r="44" spans="1:15" ht="15.75" x14ac:dyDescent="0.25">
      <c r="A44"/>
      <c r="B44" s="149">
        <v>42856</v>
      </c>
      <c r="C44" s="140">
        <v>323.68</v>
      </c>
      <c r="D44" s="149" t="s">
        <v>367</v>
      </c>
      <c r="I44" s="151">
        <v>278.74</v>
      </c>
      <c r="J44" s="126" t="s">
        <v>390</v>
      </c>
      <c r="K44" s="130">
        <v>2917.75</v>
      </c>
      <c r="L44" s="227" t="s">
        <v>125</v>
      </c>
      <c r="M44" s="184" t="s">
        <v>113</v>
      </c>
      <c r="N44" s="188">
        <v>63187</v>
      </c>
      <c r="O44" s="186">
        <v>42877</v>
      </c>
    </row>
    <row r="45" spans="1:15" ht="15.75" x14ac:dyDescent="0.25">
      <c r="A45"/>
      <c r="B45" s="149">
        <v>42857</v>
      </c>
      <c r="C45" s="140">
        <v>0</v>
      </c>
      <c r="D45" s="149"/>
      <c r="I45" s="151">
        <v>0</v>
      </c>
      <c r="J45" s="187">
        <v>0</v>
      </c>
      <c r="K45" s="209">
        <v>0</v>
      </c>
      <c r="L45" s="187"/>
      <c r="M45" s="184" t="s">
        <v>113</v>
      </c>
      <c r="N45" s="188">
        <v>57461</v>
      </c>
      <c r="O45" s="186">
        <v>42878</v>
      </c>
    </row>
    <row r="46" spans="1:15" ht="15.75" x14ac:dyDescent="0.25">
      <c r="A46"/>
      <c r="B46" s="149">
        <v>42858</v>
      </c>
      <c r="C46" s="140">
        <v>0</v>
      </c>
      <c r="D46" s="149"/>
      <c r="F46"/>
      <c r="G46"/>
      <c r="I46" s="151"/>
      <c r="J46" s="187"/>
      <c r="K46" s="209">
        <v>0</v>
      </c>
      <c r="L46" s="187"/>
      <c r="M46" s="184" t="s">
        <v>113</v>
      </c>
      <c r="N46" s="188">
        <v>6189</v>
      </c>
      <c r="O46" s="186">
        <v>42873</v>
      </c>
    </row>
    <row r="47" spans="1:15" ht="15.75" x14ac:dyDescent="0.25">
      <c r="A47"/>
      <c r="B47" s="149">
        <v>42859</v>
      </c>
      <c r="C47" s="140">
        <v>319.5</v>
      </c>
      <c r="D47" s="149" t="s">
        <v>367</v>
      </c>
      <c r="F47"/>
      <c r="G47"/>
      <c r="I47" s="151"/>
      <c r="J47" s="187"/>
      <c r="K47" s="209">
        <v>0</v>
      </c>
      <c r="L47" s="187"/>
      <c r="M47" s="184" t="s">
        <v>113</v>
      </c>
      <c r="N47" s="188">
        <v>32720</v>
      </c>
      <c r="O47" s="186">
        <v>42877</v>
      </c>
    </row>
    <row r="48" spans="1:15" ht="15.75" x14ac:dyDescent="0.25">
      <c r="A48"/>
      <c r="B48" s="149">
        <v>42860</v>
      </c>
      <c r="C48" s="140">
        <v>0</v>
      </c>
      <c r="D48" s="149" t="s">
        <v>64</v>
      </c>
      <c r="F48"/>
      <c r="G48"/>
      <c r="I48" s="151"/>
      <c r="J48" s="187"/>
      <c r="K48" s="209">
        <v>0</v>
      </c>
      <c r="L48" s="187"/>
      <c r="M48" s="184" t="s">
        <v>113</v>
      </c>
      <c r="N48" s="188">
        <v>27606</v>
      </c>
      <c r="O48" s="186">
        <v>42878</v>
      </c>
    </row>
    <row r="49" spans="1:15" ht="16.5" thickBot="1" x14ac:dyDescent="0.3">
      <c r="A49"/>
      <c r="B49" s="149">
        <v>42861</v>
      </c>
      <c r="C49" s="140">
        <v>3767</v>
      </c>
      <c r="D49" s="149" t="s">
        <v>377</v>
      </c>
      <c r="F49"/>
      <c r="G49"/>
      <c r="I49" s="177">
        <f>SUM(I32:I48)</f>
        <v>490398.10999999993</v>
      </c>
      <c r="J49" s="207"/>
      <c r="K49" s="271">
        <v>0</v>
      </c>
      <c r="L49" s="207"/>
      <c r="M49" s="184" t="s">
        <v>113</v>
      </c>
      <c r="N49" s="221">
        <v>0</v>
      </c>
      <c r="O49" s="222"/>
    </row>
    <row r="50" spans="1:15" ht="17.25" thickTop="1" thickBot="1" x14ac:dyDescent="0.3">
      <c r="A50"/>
      <c r="B50" s="149">
        <v>42862</v>
      </c>
      <c r="C50" s="140">
        <v>0</v>
      </c>
      <c r="D50" s="149" t="s">
        <v>64</v>
      </c>
      <c r="F50"/>
      <c r="G50"/>
      <c r="J50" s="177"/>
      <c r="K50" s="177">
        <f>SUM(K32:K49)</f>
        <v>490396.5</v>
      </c>
      <c r="L50" s="178"/>
      <c r="M50" s="179"/>
      <c r="N50" s="204">
        <f>SUM(N32:N49)</f>
        <v>490396.5</v>
      </c>
      <c r="O50" s="181"/>
    </row>
    <row r="51" spans="1:15" x14ac:dyDescent="0.25">
      <c r="A51"/>
      <c r="B51" s="149">
        <v>42863</v>
      </c>
      <c r="C51" s="140">
        <v>0</v>
      </c>
      <c r="D51" s="149"/>
      <c r="F51"/>
      <c r="G51"/>
    </row>
    <row r="52" spans="1:15" x14ac:dyDescent="0.25">
      <c r="A52"/>
      <c r="B52" s="149">
        <v>42864</v>
      </c>
      <c r="C52" s="140">
        <v>0</v>
      </c>
      <c r="D52" s="149"/>
      <c r="F52"/>
      <c r="G52"/>
    </row>
    <row r="53" spans="1:15" x14ac:dyDescent="0.25">
      <c r="A53"/>
      <c r="B53" s="149">
        <v>42865</v>
      </c>
      <c r="C53" s="140">
        <v>1247.8499999999999</v>
      </c>
      <c r="D53" s="149" t="s">
        <v>97</v>
      </c>
      <c r="F53"/>
      <c r="G53"/>
    </row>
    <row r="54" spans="1:15" x14ac:dyDescent="0.25">
      <c r="A54"/>
      <c r="B54" s="149">
        <v>42866</v>
      </c>
      <c r="C54" s="140">
        <v>0</v>
      </c>
      <c r="D54" s="149"/>
      <c r="F54"/>
      <c r="G54"/>
    </row>
    <row r="55" spans="1:15" x14ac:dyDescent="0.25">
      <c r="A55"/>
      <c r="B55" s="149">
        <v>42867</v>
      </c>
      <c r="C55" s="140">
        <v>0</v>
      </c>
      <c r="D55" s="149"/>
      <c r="E55"/>
      <c r="F55"/>
      <c r="G55"/>
    </row>
    <row r="56" spans="1:15" x14ac:dyDescent="0.25">
      <c r="A56"/>
      <c r="B56" s="149">
        <v>42868</v>
      </c>
      <c r="C56" s="140">
        <v>136.91999999999999</v>
      </c>
      <c r="D56" t="s">
        <v>367</v>
      </c>
      <c r="E56"/>
      <c r="F56"/>
      <c r="G56"/>
    </row>
    <row r="57" spans="1:15" x14ac:dyDescent="0.25">
      <c r="A57"/>
      <c r="B57" s="149">
        <v>42869</v>
      </c>
      <c r="C57" s="140">
        <v>0</v>
      </c>
      <c r="D57"/>
      <c r="E57"/>
      <c r="F57"/>
      <c r="G57"/>
    </row>
    <row r="58" spans="1:15" x14ac:dyDescent="0.25">
      <c r="A58"/>
      <c r="B58" s="149">
        <v>42870</v>
      </c>
      <c r="C58" s="140">
        <v>1056</v>
      </c>
      <c r="D58" t="s">
        <v>365</v>
      </c>
      <c r="E58"/>
      <c r="F58"/>
      <c r="G58"/>
    </row>
    <row r="59" spans="1:15" x14ac:dyDescent="0.25">
      <c r="A59"/>
      <c r="B59" s="149">
        <v>42871</v>
      </c>
      <c r="C59" s="140">
        <v>0</v>
      </c>
      <c r="D59"/>
      <c r="E59"/>
      <c r="F59"/>
      <c r="G59"/>
    </row>
    <row r="60" spans="1:15" x14ac:dyDescent="0.25">
      <c r="A60"/>
      <c r="B60" s="149">
        <v>42872</v>
      </c>
      <c r="C60" s="140">
        <v>0</v>
      </c>
      <c r="D60"/>
      <c r="E60"/>
      <c r="F60"/>
      <c r="G60"/>
    </row>
    <row r="61" spans="1:15" x14ac:dyDescent="0.25">
      <c r="B61" s="149">
        <v>42873</v>
      </c>
      <c r="C61" s="140">
        <v>0</v>
      </c>
      <c r="D61"/>
      <c r="E61"/>
    </row>
    <row r="62" spans="1:15" x14ac:dyDescent="0.25">
      <c r="B62" s="149">
        <v>42874</v>
      </c>
      <c r="C62" s="140">
        <v>1149</v>
      </c>
      <c r="D62" t="s">
        <v>97</v>
      </c>
      <c r="E62"/>
    </row>
    <row r="63" spans="1:15" x14ac:dyDescent="0.25">
      <c r="B63" s="149">
        <v>42875</v>
      </c>
      <c r="C63" s="140">
        <v>0</v>
      </c>
      <c r="D63"/>
      <c r="E63"/>
    </row>
    <row r="64" spans="1:15" x14ac:dyDescent="0.25">
      <c r="B64" s="149">
        <v>42876</v>
      </c>
      <c r="C64" s="140">
        <v>0</v>
      </c>
      <c r="D64"/>
      <c r="E64"/>
    </row>
    <row r="65" spans="2:5" x14ac:dyDescent="0.25">
      <c r="B65" s="149">
        <v>42877</v>
      </c>
      <c r="C65" s="140">
        <v>0</v>
      </c>
      <c r="D65"/>
      <c r="E65"/>
    </row>
    <row r="66" spans="2:5" x14ac:dyDescent="0.25">
      <c r="B66" s="149">
        <v>42878</v>
      </c>
      <c r="C66" s="140">
        <v>376</v>
      </c>
      <c r="D66" t="s">
        <v>367</v>
      </c>
      <c r="E66"/>
    </row>
    <row r="67" spans="2:5" x14ac:dyDescent="0.25">
      <c r="B67" s="149">
        <v>42879</v>
      </c>
      <c r="C67" s="140">
        <v>520</v>
      </c>
      <c r="D67" t="s">
        <v>446</v>
      </c>
      <c r="E67"/>
    </row>
    <row r="68" spans="2:5" x14ac:dyDescent="0.25">
      <c r="B68" s="149">
        <v>42880</v>
      </c>
      <c r="C68" s="140">
        <v>0</v>
      </c>
      <c r="D68"/>
      <c r="E68"/>
    </row>
    <row r="69" spans="2:5" x14ac:dyDescent="0.25">
      <c r="B69" s="149">
        <v>42881</v>
      </c>
      <c r="C69" s="164">
        <v>0</v>
      </c>
      <c r="D69"/>
      <c r="E69"/>
    </row>
    <row r="70" spans="2:5" x14ac:dyDescent="0.25">
      <c r="B70" s="149">
        <v>42882</v>
      </c>
      <c r="C70" s="140">
        <v>919</v>
      </c>
      <c r="D70" s="22" t="s">
        <v>97</v>
      </c>
    </row>
    <row r="71" spans="2:5" x14ac:dyDescent="0.25">
      <c r="B71" s="149">
        <v>42883</v>
      </c>
      <c r="C71" s="140">
        <v>0</v>
      </c>
    </row>
    <row r="72" spans="2:5" x14ac:dyDescent="0.25">
      <c r="B72" s="149">
        <v>42884</v>
      </c>
      <c r="C72" s="140">
        <v>0</v>
      </c>
    </row>
    <row r="73" spans="2:5" x14ac:dyDescent="0.25">
      <c r="B73" s="149">
        <v>42885</v>
      </c>
      <c r="C73" s="140">
        <v>0</v>
      </c>
    </row>
    <row r="74" spans="2:5" x14ac:dyDescent="0.25">
      <c r="B74" s="149">
        <v>42886</v>
      </c>
      <c r="C74" s="140">
        <v>1040</v>
      </c>
      <c r="D74" s="22" t="s">
        <v>167</v>
      </c>
    </row>
    <row r="75" spans="2:5" x14ac:dyDescent="0.25">
      <c r="B75" s="149"/>
      <c r="C75" s="140">
        <v>0</v>
      </c>
    </row>
    <row r="76" spans="2:5" ht="18.75" x14ac:dyDescent="0.3">
      <c r="C76" s="215">
        <f>SUM(C47:C75)</f>
        <v>10531.27</v>
      </c>
    </row>
  </sheetData>
  <sortState ref="A13:F23">
    <sortCondition ref="B13:B23"/>
  </sortState>
  <pageMargins left="0.70866141732283472" right="0.70866141732283472" top="0.35433070866141736" bottom="0.15748031496062992" header="0.31496062992125984" footer="0.31496062992125984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A1:S57"/>
  <sheetViews>
    <sheetView topLeftCell="A22" workbookViewId="0">
      <selection activeCell="K33" sqref="K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40" t="s">
        <v>419</v>
      </c>
      <c r="D1" s="340"/>
      <c r="E1" s="340"/>
      <c r="F1" s="340"/>
      <c r="G1" s="340"/>
      <c r="H1" s="340"/>
      <c r="I1" s="340"/>
      <c r="J1" s="340"/>
      <c r="K1" s="340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205816.17</v>
      </c>
      <c r="D4" s="13"/>
      <c r="E4" s="341" t="s">
        <v>4</v>
      </c>
      <c r="F4" s="342"/>
      <c r="I4" s="343" t="s">
        <v>5</v>
      </c>
      <c r="J4" s="344"/>
      <c r="K4" s="344"/>
      <c r="L4" s="344"/>
      <c r="M4" s="14" t="s">
        <v>6</v>
      </c>
      <c r="N4" s="15" t="s">
        <v>7</v>
      </c>
    </row>
    <row r="5" spans="1:19" ht="16.5" thickTop="1" thickBot="1" x14ac:dyDescent="0.3">
      <c r="A5" s="16"/>
      <c r="B5" s="286">
        <v>42887</v>
      </c>
      <c r="C5" s="287">
        <v>28873</v>
      </c>
      <c r="D5" s="238" t="s">
        <v>448</v>
      </c>
      <c r="E5" s="280">
        <v>42887</v>
      </c>
      <c r="F5" s="281">
        <v>28972.81</v>
      </c>
      <c r="G5" s="22"/>
      <c r="H5" s="23">
        <v>42887</v>
      </c>
      <c r="I5" s="292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288">
        <v>42888</v>
      </c>
      <c r="C6" s="289">
        <v>61684.52</v>
      </c>
      <c r="D6" s="239" t="s">
        <v>447</v>
      </c>
      <c r="E6" s="282">
        <v>42888</v>
      </c>
      <c r="F6" s="283">
        <v>61984.49</v>
      </c>
      <c r="G6" s="33"/>
      <c r="H6" s="23">
        <v>42888</v>
      </c>
      <c r="I6" s="293">
        <v>300</v>
      </c>
      <c r="J6" s="36"/>
      <c r="K6" s="37" t="s">
        <v>9</v>
      </c>
      <c r="L6" s="38">
        <v>574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288">
        <v>42889</v>
      </c>
      <c r="C7" s="289">
        <v>75569.149999999994</v>
      </c>
      <c r="D7" s="238" t="s">
        <v>449</v>
      </c>
      <c r="E7" s="282">
        <v>42889</v>
      </c>
      <c r="F7" s="283">
        <v>66576.460000000006</v>
      </c>
      <c r="G7" s="22"/>
      <c r="H7" s="23">
        <v>42889</v>
      </c>
      <c r="I7" s="293">
        <v>705.15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288">
        <v>42890</v>
      </c>
      <c r="C8" s="289">
        <v>40486.33</v>
      </c>
      <c r="D8" s="238" t="s">
        <v>451</v>
      </c>
      <c r="E8" s="282">
        <v>42890</v>
      </c>
      <c r="F8" s="283">
        <v>44436.33</v>
      </c>
      <c r="G8" s="22"/>
      <c r="H8" s="23">
        <v>42890</v>
      </c>
      <c r="I8" s="293">
        <v>450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288">
        <v>42891</v>
      </c>
      <c r="C9" s="289">
        <v>32363.8</v>
      </c>
      <c r="D9" s="238" t="s">
        <v>452</v>
      </c>
      <c r="E9" s="282">
        <v>42891</v>
      </c>
      <c r="F9" s="283">
        <v>32463.8</v>
      </c>
      <c r="G9" s="22"/>
      <c r="H9" s="23">
        <v>42891</v>
      </c>
      <c r="I9" s="293">
        <v>100</v>
      </c>
      <c r="J9" s="42"/>
      <c r="K9" s="37" t="s">
        <v>460</v>
      </c>
      <c r="L9" s="270">
        <v>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288">
        <v>42892</v>
      </c>
      <c r="C10" s="289">
        <v>30468</v>
      </c>
      <c r="D10" s="239" t="s">
        <v>453</v>
      </c>
      <c r="E10" s="282">
        <v>42892</v>
      </c>
      <c r="F10" s="283">
        <v>30651.81</v>
      </c>
      <c r="G10" s="22"/>
      <c r="H10" s="23">
        <v>42892</v>
      </c>
      <c r="I10" s="293">
        <v>184</v>
      </c>
      <c r="J10" s="42"/>
      <c r="K10" s="37" t="s">
        <v>461</v>
      </c>
      <c r="L10" s="270">
        <v>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288">
        <v>42893</v>
      </c>
      <c r="C11" s="289">
        <v>35675.06</v>
      </c>
      <c r="D11" s="240" t="s">
        <v>454</v>
      </c>
      <c r="E11" s="282">
        <v>42893</v>
      </c>
      <c r="F11" s="283">
        <v>35775.06</v>
      </c>
      <c r="G11" s="22"/>
      <c r="H11" s="23">
        <v>42893</v>
      </c>
      <c r="I11" s="293">
        <v>100</v>
      </c>
      <c r="J11" s="42"/>
      <c r="K11" s="37" t="s">
        <v>462</v>
      </c>
      <c r="L11" s="270">
        <v>0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288">
        <v>42894</v>
      </c>
      <c r="C12" s="289">
        <v>25349.32</v>
      </c>
      <c r="D12" s="238" t="s">
        <v>455</v>
      </c>
      <c r="E12" s="282">
        <v>42894</v>
      </c>
      <c r="F12" s="283">
        <v>26419.32</v>
      </c>
      <c r="G12" s="22"/>
      <c r="H12" s="23">
        <v>42894</v>
      </c>
      <c r="I12" s="293">
        <v>200</v>
      </c>
      <c r="J12" s="42"/>
      <c r="K12" s="37" t="s">
        <v>463</v>
      </c>
      <c r="L12" s="270">
        <v>0</v>
      </c>
      <c r="M12" s="39">
        <v>0</v>
      </c>
      <c r="N12" s="35">
        <v>100</v>
      </c>
      <c r="O12" s="44" t="s">
        <v>64</v>
      </c>
      <c r="P12" s="47"/>
      <c r="Q12" s="22"/>
    </row>
    <row r="13" spans="1:19" ht="15.75" thickBot="1" x14ac:dyDescent="0.3">
      <c r="A13" s="16"/>
      <c r="B13" s="288">
        <v>42895</v>
      </c>
      <c r="C13" s="289">
        <v>44950.85</v>
      </c>
      <c r="D13" s="240" t="s">
        <v>456</v>
      </c>
      <c r="E13" s="282">
        <v>42895</v>
      </c>
      <c r="F13" s="283">
        <v>51106.35</v>
      </c>
      <c r="G13" s="22"/>
      <c r="H13" s="23">
        <v>42895</v>
      </c>
      <c r="I13" s="293">
        <v>1130.3499999999999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288">
        <v>42896</v>
      </c>
      <c r="C14" s="289">
        <v>61663.35</v>
      </c>
      <c r="D14" s="238" t="s">
        <v>459</v>
      </c>
      <c r="E14" s="282">
        <v>42896</v>
      </c>
      <c r="F14" s="283">
        <v>64763.5</v>
      </c>
      <c r="G14" s="22"/>
      <c r="H14" s="23">
        <v>42896</v>
      </c>
      <c r="I14" s="293">
        <v>100</v>
      </c>
      <c r="J14" s="42"/>
      <c r="K14" s="17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288">
        <v>42897</v>
      </c>
      <c r="C15" s="289">
        <v>44549.66</v>
      </c>
      <c r="D15" s="238" t="s">
        <v>464</v>
      </c>
      <c r="E15" s="282">
        <v>42897</v>
      </c>
      <c r="F15" s="283">
        <v>47697.46</v>
      </c>
      <c r="G15" s="22"/>
      <c r="H15" s="23">
        <v>42897</v>
      </c>
      <c r="I15" s="293">
        <v>148</v>
      </c>
      <c r="J15" s="265"/>
      <c r="K15" s="49"/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thickBot="1" x14ac:dyDescent="0.3">
      <c r="A16" s="16"/>
      <c r="B16" s="288">
        <v>42898</v>
      </c>
      <c r="C16" s="289">
        <v>33605.35</v>
      </c>
      <c r="D16" s="238" t="s">
        <v>467</v>
      </c>
      <c r="E16" s="282">
        <v>42898</v>
      </c>
      <c r="F16" s="283">
        <v>31723.35</v>
      </c>
      <c r="G16" s="22"/>
      <c r="H16" s="23">
        <v>42898</v>
      </c>
      <c r="I16" s="293">
        <v>118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288">
        <v>42899</v>
      </c>
      <c r="C17" s="289">
        <v>39135.68</v>
      </c>
      <c r="D17" s="238" t="s">
        <v>468</v>
      </c>
      <c r="E17" s="282">
        <v>42899</v>
      </c>
      <c r="F17" s="283">
        <v>39735.68</v>
      </c>
      <c r="G17" s="22"/>
      <c r="H17" s="23">
        <v>42899</v>
      </c>
      <c r="I17" s="293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288">
        <v>42900</v>
      </c>
      <c r="C18" s="289">
        <v>39956.76</v>
      </c>
      <c r="D18" s="238" t="s">
        <v>479</v>
      </c>
      <c r="E18" s="282">
        <v>42900</v>
      </c>
      <c r="F18" s="283">
        <v>40056.76</v>
      </c>
      <c r="G18" s="22"/>
      <c r="H18" s="23">
        <v>42900</v>
      </c>
      <c r="I18" s="293">
        <v>100</v>
      </c>
      <c r="J18" s="42"/>
      <c r="K18" s="53"/>
      <c r="L18" s="32">
        <v>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288">
        <v>42901</v>
      </c>
      <c r="C19" s="289">
        <v>3857</v>
      </c>
      <c r="D19" s="238" t="s">
        <v>480</v>
      </c>
      <c r="E19" s="282">
        <v>42901</v>
      </c>
      <c r="F19" s="283">
        <v>39087.49</v>
      </c>
      <c r="G19" s="22"/>
      <c r="H19" s="23">
        <v>42901</v>
      </c>
      <c r="I19" s="293">
        <v>580.6</v>
      </c>
      <c r="J19" s="42"/>
      <c r="K19" s="53"/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288">
        <v>42902</v>
      </c>
      <c r="C20" s="289">
        <v>78352.600000000006</v>
      </c>
      <c r="D20" s="239" t="s">
        <v>482</v>
      </c>
      <c r="E20" s="282">
        <v>42902</v>
      </c>
      <c r="F20" s="283">
        <v>78452.69</v>
      </c>
      <c r="G20" s="22"/>
      <c r="H20" s="23">
        <v>42902</v>
      </c>
      <c r="I20" s="293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288">
        <v>42903</v>
      </c>
      <c r="C21" s="289">
        <v>72259.95</v>
      </c>
      <c r="D21" s="238" t="s">
        <v>486</v>
      </c>
      <c r="E21" s="282">
        <v>42903</v>
      </c>
      <c r="F21" s="283">
        <v>75860.070000000007</v>
      </c>
      <c r="G21" s="22"/>
      <c r="H21" s="23">
        <v>42903</v>
      </c>
      <c r="I21" s="293">
        <v>100</v>
      </c>
      <c r="J21" s="42"/>
      <c r="K21" s="57" t="s">
        <v>418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288">
        <v>42904</v>
      </c>
      <c r="C22" s="289">
        <v>72259.95</v>
      </c>
      <c r="D22" s="238" t="s">
        <v>486</v>
      </c>
      <c r="E22" s="282">
        <v>42904</v>
      </c>
      <c r="F22" s="283">
        <v>75860.070000000007</v>
      </c>
      <c r="G22" s="22"/>
      <c r="H22" s="23">
        <v>42904</v>
      </c>
      <c r="I22" s="293">
        <v>100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288">
        <v>42905</v>
      </c>
      <c r="C23" s="289">
        <v>42590.89</v>
      </c>
      <c r="D23" s="241" t="s">
        <v>501</v>
      </c>
      <c r="E23" s="282">
        <v>42905</v>
      </c>
      <c r="F23" s="283">
        <v>35625.949999999997</v>
      </c>
      <c r="G23" s="22"/>
      <c r="H23" s="23">
        <v>42905</v>
      </c>
      <c r="I23" s="293">
        <v>100</v>
      </c>
      <c r="J23" s="36"/>
      <c r="K23" s="61">
        <v>42894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288">
        <v>42906</v>
      </c>
      <c r="C24" s="289">
        <v>24891.54</v>
      </c>
      <c r="D24" s="238" t="s">
        <v>502</v>
      </c>
      <c r="E24" s="282">
        <v>42906</v>
      </c>
      <c r="F24" s="283">
        <v>25013.54</v>
      </c>
      <c r="G24" s="22"/>
      <c r="H24" s="23">
        <v>42906</v>
      </c>
      <c r="I24" s="293">
        <v>622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288">
        <v>42907</v>
      </c>
      <c r="C25" s="289">
        <v>33751.96</v>
      </c>
      <c r="D25" s="241" t="s">
        <v>503</v>
      </c>
      <c r="E25" s="282">
        <v>42907</v>
      </c>
      <c r="F25" s="283">
        <v>33851.96</v>
      </c>
      <c r="G25" s="22"/>
      <c r="H25" s="23">
        <v>42907</v>
      </c>
      <c r="I25" s="293">
        <v>100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288">
        <v>42908</v>
      </c>
      <c r="C26" s="289">
        <v>35072.68</v>
      </c>
      <c r="D26" s="238" t="s">
        <v>504</v>
      </c>
      <c r="E26" s="282">
        <v>42908</v>
      </c>
      <c r="F26" s="283">
        <v>35252.68</v>
      </c>
      <c r="G26" s="22"/>
      <c r="H26" s="23">
        <v>42908</v>
      </c>
      <c r="I26" s="293">
        <v>180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288">
        <v>42909</v>
      </c>
      <c r="C27" s="289">
        <v>72548.88</v>
      </c>
      <c r="D27" s="238" t="s">
        <v>505</v>
      </c>
      <c r="E27" s="282">
        <v>42909</v>
      </c>
      <c r="F27" s="283">
        <v>72704.88</v>
      </c>
      <c r="G27" s="22"/>
      <c r="H27" s="23">
        <v>42909</v>
      </c>
      <c r="I27" s="293">
        <v>156</v>
      </c>
      <c r="J27" s="36"/>
      <c r="K27" s="64" t="s">
        <v>450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288">
        <v>42910</v>
      </c>
      <c r="C28" s="289">
        <v>74849.16</v>
      </c>
      <c r="D28" s="238" t="s">
        <v>506</v>
      </c>
      <c r="E28" s="282">
        <v>42910</v>
      </c>
      <c r="F28" s="283">
        <v>74992.210000000006</v>
      </c>
      <c r="G28" s="22"/>
      <c r="H28" s="23">
        <v>42910</v>
      </c>
      <c r="I28" s="293">
        <v>143</v>
      </c>
      <c r="J28" s="36"/>
      <c r="K28" s="64" t="s">
        <v>457</v>
      </c>
      <c r="L28" s="51">
        <v>5000</v>
      </c>
      <c r="M28" s="39">
        <v>0</v>
      </c>
      <c r="N28" s="35">
        <v>100</v>
      </c>
      <c r="O28" s="22"/>
      <c r="P28" s="22"/>
      <c r="Q28" s="22"/>
    </row>
    <row r="29" spans="1:18" ht="16.5" thickBot="1" x14ac:dyDescent="0.3">
      <c r="A29" s="16"/>
      <c r="B29" s="288">
        <v>42911</v>
      </c>
      <c r="C29" s="289">
        <v>51562.3</v>
      </c>
      <c r="D29" s="238" t="s">
        <v>507</v>
      </c>
      <c r="E29" s="282">
        <v>42911</v>
      </c>
      <c r="F29" s="283">
        <v>51662.19</v>
      </c>
      <c r="G29" s="22"/>
      <c r="H29" s="23">
        <v>42911</v>
      </c>
      <c r="I29" s="293">
        <v>100</v>
      </c>
      <c r="J29" s="36"/>
      <c r="K29" s="295" t="s">
        <v>458</v>
      </c>
      <c r="L29" s="51">
        <v>3000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288">
        <v>42912</v>
      </c>
      <c r="C30" s="289"/>
      <c r="D30" s="238"/>
      <c r="E30" s="282">
        <v>42912</v>
      </c>
      <c r="F30" s="283"/>
      <c r="G30" s="22"/>
      <c r="H30" s="23">
        <v>42912</v>
      </c>
      <c r="I30" s="293"/>
      <c r="J30" s="63"/>
      <c r="K30" s="64" t="s">
        <v>465</v>
      </c>
      <c r="L30" s="65">
        <v>3000</v>
      </c>
      <c r="M30" s="39">
        <v>0</v>
      </c>
      <c r="N30" s="35"/>
      <c r="O30" s="22"/>
      <c r="P30" s="22"/>
      <c r="Q30" s="22"/>
    </row>
    <row r="31" spans="1:18" ht="15.75" thickBot="1" x14ac:dyDescent="0.3">
      <c r="A31" s="16"/>
      <c r="B31" s="288">
        <v>42913</v>
      </c>
      <c r="C31" s="289"/>
      <c r="D31" s="238"/>
      <c r="E31" s="282">
        <v>42913</v>
      </c>
      <c r="F31" s="283"/>
      <c r="G31" s="22"/>
      <c r="H31" s="23">
        <v>42913</v>
      </c>
      <c r="I31" s="293"/>
      <c r="J31" s="42"/>
      <c r="K31" s="66" t="s">
        <v>485</v>
      </c>
      <c r="L31" s="67">
        <v>3500</v>
      </c>
      <c r="M31" s="39">
        <v>0</v>
      </c>
      <c r="N31" s="35"/>
      <c r="O31" s="22"/>
      <c r="P31" s="22"/>
      <c r="Q31" s="22"/>
    </row>
    <row r="32" spans="1:18" ht="15.75" thickBot="1" x14ac:dyDescent="0.3">
      <c r="A32" s="16"/>
      <c r="B32" s="288">
        <v>42914</v>
      </c>
      <c r="C32" s="289"/>
      <c r="D32" s="238"/>
      <c r="E32" s="282">
        <v>42914</v>
      </c>
      <c r="F32" s="283"/>
      <c r="G32" s="22"/>
      <c r="H32" s="23">
        <v>42914</v>
      </c>
      <c r="I32" s="293"/>
      <c r="J32" s="36"/>
      <c r="K32" s="64"/>
      <c r="L32" s="68"/>
      <c r="M32" s="39">
        <v>0</v>
      </c>
      <c r="N32" s="35"/>
      <c r="O32" s="22"/>
      <c r="P32" s="22"/>
      <c r="Q32" s="22"/>
    </row>
    <row r="33" spans="1:17" ht="15.75" thickBot="1" x14ac:dyDescent="0.3">
      <c r="A33" s="16"/>
      <c r="B33" s="288">
        <v>42915</v>
      </c>
      <c r="C33" s="289"/>
      <c r="D33" s="240"/>
      <c r="E33" s="282">
        <v>42915</v>
      </c>
      <c r="F33" s="283"/>
      <c r="G33" s="22"/>
      <c r="H33" s="23">
        <v>42915</v>
      </c>
      <c r="I33" s="293"/>
      <c r="J33" s="36"/>
      <c r="K33" s="69"/>
      <c r="L33" s="345">
        <v>0</v>
      </c>
      <c r="M33" s="39">
        <v>0</v>
      </c>
      <c r="N33" s="35"/>
      <c r="O33" s="22"/>
      <c r="P33" s="22"/>
      <c r="Q33" s="22"/>
    </row>
    <row r="34" spans="1:17" ht="15.75" thickBot="1" x14ac:dyDescent="0.3">
      <c r="A34" s="16"/>
      <c r="B34" s="288">
        <v>42916</v>
      </c>
      <c r="C34" s="290"/>
      <c r="D34" s="238"/>
      <c r="E34" s="282">
        <v>42916</v>
      </c>
      <c r="F34" s="283"/>
      <c r="G34" s="22"/>
      <c r="H34" s="23">
        <v>42916</v>
      </c>
      <c r="I34" s="293"/>
      <c r="J34" s="36"/>
      <c r="K34" s="69"/>
      <c r="L34" s="346"/>
      <c r="M34" s="39">
        <v>0</v>
      </c>
      <c r="N34" s="35"/>
      <c r="O34" s="22"/>
    </row>
    <row r="35" spans="1:17" ht="15.75" thickBot="1" x14ac:dyDescent="0.3">
      <c r="A35" s="16"/>
      <c r="B35" s="17"/>
      <c r="C35" s="30"/>
      <c r="D35" s="45"/>
      <c r="E35" s="284"/>
      <c r="F35" s="285"/>
      <c r="G35" s="22"/>
      <c r="H35" s="23"/>
      <c r="I35" s="293"/>
      <c r="J35" s="36"/>
      <c r="K35" s="347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291"/>
      <c r="I36" s="294">
        <v>0</v>
      </c>
      <c r="J36" s="77"/>
      <c r="K36" s="347"/>
      <c r="L36" s="41"/>
      <c r="M36" s="78">
        <v>0</v>
      </c>
      <c r="N36" s="79">
        <f>SUM(N5:N35)</f>
        <v>2500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1156327.74</v>
      </c>
      <c r="E38" s="277" t="s">
        <v>60</v>
      </c>
      <c r="F38" s="94">
        <f>SUM(F5:F37)</f>
        <v>1200726.9100000001</v>
      </c>
      <c r="H38" s="6" t="s">
        <v>60</v>
      </c>
      <c r="I38" s="4">
        <f>SUM(I5:I37)</f>
        <v>6117.1</v>
      </c>
      <c r="J38" s="4"/>
      <c r="K38" s="95" t="s">
        <v>60</v>
      </c>
      <c r="L38" s="96">
        <f>SUM(L5:L37)</f>
        <v>48194</v>
      </c>
    </row>
    <row r="40" spans="1:17" ht="15.75" x14ac:dyDescent="0.25">
      <c r="A40" s="97"/>
      <c r="B40" s="98"/>
      <c r="C40" s="36"/>
      <c r="D40" s="99"/>
      <c r="E40" s="100"/>
      <c r="F40" s="77"/>
      <c r="H40" s="336" t="s">
        <v>61</v>
      </c>
      <c r="I40" s="337"/>
      <c r="J40" s="276"/>
      <c r="K40" s="338">
        <f>I38+L38</f>
        <v>54311.1</v>
      </c>
      <c r="L40" s="339"/>
    </row>
    <row r="41" spans="1:17" ht="15.75" x14ac:dyDescent="0.25">
      <c r="B41" s="102"/>
      <c r="C41" s="77"/>
      <c r="D41" s="323" t="s">
        <v>62</v>
      </c>
      <c r="E41" s="323"/>
      <c r="F41" s="103">
        <f>F38-K40</f>
        <v>1146415.81</v>
      </c>
      <c r="I41" s="104"/>
      <c r="J41" s="104"/>
    </row>
    <row r="42" spans="1:17" ht="15.75" x14ac:dyDescent="0.25">
      <c r="D42" s="324" t="s">
        <v>63</v>
      </c>
      <c r="E42" s="324"/>
      <c r="F42" s="103"/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1146415.81</v>
      </c>
      <c r="I44" s="325" t="s">
        <v>66</v>
      </c>
      <c r="J44" s="326"/>
      <c r="K44" s="329">
        <f>F48+L46</f>
        <v>1146415.81</v>
      </c>
      <c r="L44" s="330"/>
    </row>
    <row r="45" spans="1:17" ht="15.75" thickBot="1" x14ac:dyDescent="0.3">
      <c r="D45" s="108" t="s">
        <v>67</v>
      </c>
      <c r="E45" s="97" t="s">
        <v>68</v>
      </c>
      <c r="F45" s="4"/>
      <c r="I45" s="327"/>
      <c r="J45" s="328"/>
      <c r="K45" s="331"/>
      <c r="L45" s="332"/>
    </row>
    <row r="46" spans="1:17" ht="17.25" thickTop="1" thickBot="1" x14ac:dyDescent="0.3">
      <c r="C46" s="94"/>
      <c r="D46" s="333" t="s">
        <v>69</v>
      </c>
      <c r="E46" s="333"/>
      <c r="F46" s="109"/>
      <c r="I46" s="334"/>
      <c r="J46" s="334"/>
      <c r="K46" s="335"/>
      <c r="L46" s="110"/>
    </row>
    <row r="47" spans="1:17" ht="19.5" thickBot="1" x14ac:dyDescent="0.35">
      <c r="C47" s="94"/>
      <c r="D47" s="277"/>
      <c r="E47" s="277"/>
      <c r="F47" s="111"/>
      <c r="H47" s="112"/>
      <c r="I47" s="278" t="s">
        <v>275</v>
      </c>
      <c r="J47" s="278"/>
      <c r="K47" s="317">
        <f>-C4</f>
        <v>-205816.17</v>
      </c>
      <c r="L47" s="317"/>
      <c r="M47" s="114"/>
    </row>
    <row r="48" spans="1:17" ht="17.25" thickTop="1" thickBot="1" x14ac:dyDescent="0.3">
      <c r="E48" s="115" t="s">
        <v>71</v>
      </c>
      <c r="F48" s="116">
        <f>F44+F45+F46</f>
        <v>1146415.81</v>
      </c>
    </row>
    <row r="49" spans="2:14" ht="19.5" thickBot="1" x14ac:dyDescent="0.35">
      <c r="B49"/>
      <c r="C49"/>
      <c r="D49" s="318"/>
      <c r="E49" s="318"/>
      <c r="F49" s="77"/>
      <c r="I49" s="319"/>
      <c r="J49" s="320"/>
      <c r="K49" s="321">
        <f>K44+K47</f>
        <v>940599.64</v>
      </c>
      <c r="L49" s="32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76"/>
  <sheetViews>
    <sheetView tabSelected="1" topLeftCell="A26" workbookViewId="0">
      <selection activeCell="C38" sqref="C38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10" max="10" width="13.85546875" bestFit="1" customWidth="1"/>
    <col min="12" max="12" width="14.85546875" customWidth="1"/>
    <col min="14" max="14" width="11.85546875" customWidth="1"/>
    <col min="15" max="15" width="20.140625" bestFit="1" customWidth="1"/>
    <col min="16" max="16" width="13.28515625" bestFit="1" customWidth="1"/>
    <col min="18" max="18" width="14.7109375" bestFit="1" customWidth="1"/>
  </cols>
  <sheetData>
    <row r="1" spans="1:16" ht="19.5" thickBot="1" x14ac:dyDescent="0.35">
      <c r="B1" s="118" t="s">
        <v>420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82">
        <v>42901</v>
      </c>
      <c r="P1" s="158"/>
    </row>
    <row r="2" spans="1:1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</row>
    <row r="3" spans="1:16" ht="15.75" x14ac:dyDescent="0.25">
      <c r="A3" s="125">
        <v>42887</v>
      </c>
      <c r="B3" s="126" t="s">
        <v>421</v>
      </c>
      <c r="C3" s="36">
        <v>105363.08</v>
      </c>
      <c r="D3" s="127">
        <v>42901</v>
      </c>
      <c r="E3" s="36">
        <v>105363.08</v>
      </c>
      <c r="F3" s="128">
        <f t="shared" ref="F3:F41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</row>
    <row r="4" spans="1:16" ht="15.75" x14ac:dyDescent="0.25">
      <c r="A4" s="129">
        <v>42888</v>
      </c>
      <c r="B4" s="126" t="s">
        <v>424</v>
      </c>
      <c r="C4" s="130">
        <v>17370.900000000001</v>
      </c>
      <c r="D4" s="127">
        <v>42901</v>
      </c>
      <c r="E4" s="130">
        <v>17370.900000000001</v>
      </c>
      <c r="F4" s="128">
        <f t="shared" si="0"/>
        <v>0</v>
      </c>
      <c r="J4" s="164">
        <f>31666.74+28873+22156.85</f>
        <v>82696.59</v>
      </c>
      <c r="K4" s="126" t="s">
        <v>412</v>
      </c>
      <c r="L4" s="130">
        <v>81356.73</v>
      </c>
      <c r="M4" s="165" t="s">
        <v>111</v>
      </c>
      <c r="N4" s="166" t="s">
        <v>113</v>
      </c>
      <c r="O4" s="167">
        <v>31667</v>
      </c>
      <c r="P4" s="168">
        <v>42887</v>
      </c>
    </row>
    <row r="5" spans="1:16" ht="15.75" x14ac:dyDescent="0.25">
      <c r="A5" s="129">
        <v>42889</v>
      </c>
      <c r="B5" s="132" t="s">
        <v>425</v>
      </c>
      <c r="C5" s="36">
        <v>27945.360000000001</v>
      </c>
      <c r="D5" s="127">
        <v>42901</v>
      </c>
      <c r="E5" s="36">
        <v>27945.360000000001</v>
      </c>
      <c r="F5" s="128">
        <f t="shared" si="0"/>
        <v>0</v>
      </c>
      <c r="J5" s="164">
        <v>13140.58</v>
      </c>
      <c r="K5" s="126" t="s">
        <v>413</v>
      </c>
      <c r="L5" s="130">
        <v>13140.58</v>
      </c>
      <c r="M5" s="165"/>
      <c r="N5" s="166" t="s">
        <v>113</v>
      </c>
      <c r="O5" s="297">
        <v>28873</v>
      </c>
      <c r="P5" s="168">
        <v>42888</v>
      </c>
    </row>
    <row r="6" spans="1:16" ht="15.75" x14ac:dyDescent="0.25">
      <c r="A6" s="129">
        <v>42890</v>
      </c>
      <c r="B6" s="126" t="s">
        <v>426</v>
      </c>
      <c r="C6" s="36">
        <v>23947.3</v>
      </c>
      <c r="D6" s="127">
        <v>42901</v>
      </c>
      <c r="E6" s="36">
        <v>23947.3</v>
      </c>
      <c r="F6" s="128">
        <f t="shared" si="0"/>
        <v>0</v>
      </c>
      <c r="J6" s="140">
        <v>6555.2</v>
      </c>
      <c r="K6" s="126" t="s">
        <v>414</v>
      </c>
      <c r="L6" s="130">
        <v>6555.2</v>
      </c>
      <c r="M6" s="165"/>
      <c r="N6" s="166" t="s">
        <v>113</v>
      </c>
      <c r="O6" s="297">
        <v>61349.5</v>
      </c>
      <c r="P6" s="168">
        <v>42889</v>
      </c>
    </row>
    <row r="7" spans="1:16" ht="15.75" x14ac:dyDescent="0.25">
      <c r="A7" s="129">
        <v>42891</v>
      </c>
      <c r="B7" s="126" t="s">
        <v>427</v>
      </c>
      <c r="C7" s="130">
        <v>8990.6</v>
      </c>
      <c r="D7" s="127">
        <v>42901</v>
      </c>
      <c r="E7" s="130">
        <v>8990.6</v>
      </c>
      <c r="F7" s="128">
        <f t="shared" si="0"/>
        <v>0</v>
      </c>
      <c r="J7" s="140">
        <f>19496.89+3812.8+2418.32+5855+63051.84</f>
        <v>94634.849999999991</v>
      </c>
      <c r="K7" s="126" t="s">
        <v>415</v>
      </c>
      <c r="L7" s="130">
        <v>94655</v>
      </c>
      <c r="M7" s="165"/>
      <c r="N7" s="166" t="s">
        <v>113</v>
      </c>
      <c r="O7" s="297">
        <v>63451</v>
      </c>
      <c r="P7" s="168">
        <v>42892</v>
      </c>
    </row>
    <row r="8" spans="1:16" ht="15.75" x14ac:dyDescent="0.25">
      <c r="A8" s="129">
        <v>42892</v>
      </c>
      <c r="B8" s="126" t="s">
        <v>428</v>
      </c>
      <c r="C8" s="130">
        <v>39602.699999999997</v>
      </c>
      <c r="D8" s="127">
        <v>42901</v>
      </c>
      <c r="E8" s="130">
        <v>39602.699999999997</v>
      </c>
      <c r="F8" s="128">
        <f t="shared" si="0"/>
        <v>0</v>
      </c>
      <c r="J8" s="140">
        <f>23524.14+29854+10202.86</f>
        <v>63581</v>
      </c>
      <c r="K8" s="126" t="s">
        <v>417</v>
      </c>
      <c r="L8" s="130">
        <v>63581</v>
      </c>
      <c r="M8" s="165"/>
      <c r="N8" s="166" t="s">
        <v>113</v>
      </c>
      <c r="O8" s="297">
        <v>5885.5</v>
      </c>
      <c r="P8" s="168">
        <v>42887</v>
      </c>
    </row>
    <row r="9" spans="1:16" ht="15.75" x14ac:dyDescent="0.25">
      <c r="A9" s="129">
        <v>42893</v>
      </c>
      <c r="B9" s="126" t="s">
        <v>440</v>
      </c>
      <c r="C9" s="130">
        <v>42671.86</v>
      </c>
      <c r="D9" s="127">
        <v>42901</v>
      </c>
      <c r="E9" s="130">
        <v>42671.86</v>
      </c>
      <c r="F9" s="128">
        <f t="shared" si="0"/>
        <v>0</v>
      </c>
      <c r="J9" s="140">
        <f>401.19+40486.33+8839.66</f>
        <v>49727.180000000008</v>
      </c>
      <c r="K9" s="126" t="s">
        <v>423</v>
      </c>
      <c r="L9" s="130">
        <v>49727.18</v>
      </c>
      <c r="M9" s="165"/>
      <c r="N9" s="166" t="s">
        <v>113</v>
      </c>
      <c r="O9" s="297">
        <v>2418</v>
      </c>
      <c r="P9" s="168">
        <v>42887</v>
      </c>
    </row>
    <row r="10" spans="1:16" ht="15.75" x14ac:dyDescent="0.25">
      <c r="A10" s="129">
        <v>42895</v>
      </c>
      <c r="B10" s="126" t="s">
        <v>441</v>
      </c>
      <c r="C10" s="130">
        <v>57699.78</v>
      </c>
      <c r="D10" s="133" t="s">
        <v>488</v>
      </c>
      <c r="E10" s="130">
        <f>3552.51+54147.27</f>
        <v>57699.78</v>
      </c>
      <c r="F10" s="128">
        <f t="shared" si="0"/>
        <v>0</v>
      </c>
      <c r="J10" s="140">
        <f>3093.2+1165</f>
        <v>4258.2</v>
      </c>
      <c r="K10" s="126" t="s">
        <v>422</v>
      </c>
      <c r="L10" s="130">
        <v>4258</v>
      </c>
      <c r="M10" s="165"/>
      <c r="N10" s="166" t="s">
        <v>113</v>
      </c>
      <c r="O10" s="297">
        <v>3813</v>
      </c>
      <c r="P10" s="168">
        <v>42884</v>
      </c>
    </row>
    <row r="11" spans="1:16" ht="15.75" x14ac:dyDescent="0.25">
      <c r="A11" s="129">
        <v>42895</v>
      </c>
      <c r="B11" s="126" t="s">
        <v>442</v>
      </c>
      <c r="C11" s="130">
        <v>2640.4</v>
      </c>
      <c r="D11" s="127">
        <v>42909</v>
      </c>
      <c r="E11" s="130">
        <v>2640.4</v>
      </c>
      <c r="F11" s="128">
        <f t="shared" si="0"/>
        <v>0</v>
      </c>
      <c r="J11" s="140">
        <f>18000+3214+24705.32+44726.85+14317</f>
        <v>104963.17</v>
      </c>
      <c r="K11" s="126" t="s">
        <v>421</v>
      </c>
      <c r="L11" s="36">
        <v>105363.08</v>
      </c>
      <c r="M11" s="165"/>
      <c r="N11" s="166" t="s">
        <v>113</v>
      </c>
      <c r="O11" s="297">
        <v>40486</v>
      </c>
      <c r="P11" s="168">
        <v>42891</v>
      </c>
    </row>
    <row r="12" spans="1:16" ht="15.75" x14ac:dyDescent="0.25">
      <c r="A12" s="129">
        <v>42895</v>
      </c>
      <c r="B12" s="126" t="s">
        <v>443</v>
      </c>
      <c r="C12" s="130">
        <v>38957.660000000003</v>
      </c>
      <c r="D12" s="127">
        <v>42909</v>
      </c>
      <c r="E12" s="130">
        <v>38957.660000000003</v>
      </c>
      <c r="F12" s="128">
        <f t="shared" si="0"/>
        <v>0</v>
      </c>
      <c r="J12" s="140">
        <v>17370.900000000001</v>
      </c>
      <c r="K12" s="126" t="s">
        <v>424</v>
      </c>
      <c r="L12" s="130">
        <v>17370.900000000001</v>
      </c>
      <c r="M12" s="183"/>
      <c r="N12" s="184" t="s">
        <v>113</v>
      </c>
      <c r="O12" s="298">
        <v>32364</v>
      </c>
      <c r="P12" s="186">
        <v>42892</v>
      </c>
    </row>
    <row r="13" spans="1:16" ht="15.75" x14ac:dyDescent="0.25">
      <c r="A13" s="129">
        <v>42896</v>
      </c>
      <c r="B13" s="126" t="s">
        <v>444</v>
      </c>
      <c r="C13" s="130">
        <v>43825.34</v>
      </c>
      <c r="D13" s="127">
        <v>42909</v>
      </c>
      <c r="E13" s="130">
        <v>43825.34</v>
      </c>
      <c r="F13" s="128">
        <f t="shared" si="0"/>
        <v>0</v>
      </c>
      <c r="J13" s="164">
        <v>29013.599999999999</v>
      </c>
      <c r="K13" s="132" t="s">
        <v>425</v>
      </c>
      <c r="L13" s="36">
        <v>27945.360000000001</v>
      </c>
      <c r="M13" s="235"/>
      <c r="N13" s="184" t="s">
        <v>113</v>
      </c>
      <c r="O13" s="299">
        <v>29854</v>
      </c>
      <c r="P13" s="186">
        <v>42893</v>
      </c>
    </row>
    <row r="14" spans="1:16" ht="15.75" x14ac:dyDescent="0.25">
      <c r="A14" s="129">
        <v>42896</v>
      </c>
      <c r="B14" s="126" t="s">
        <v>471</v>
      </c>
      <c r="C14" s="130">
        <v>6086.6</v>
      </c>
      <c r="D14" s="127">
        <v>42909</v>
      </c>
      <c r="E14" s="130">
        <v>6086.6</v>
      </c>
      <c r="F14" s="128">
        <f t="shared" si="0"/>
        <v>0</v>
      </c>
      <c r="J14" s="164">
        <v>22879.06</v>
      </c>
      <c r="K14" s="126" t="s">
        <v>426</v>
      </c>
      <c r="L14" s="36">
        <v>23947.3</v>
      </c>
      <c r="M14" s="187"/>
      <c r="N14" s="184" t="s">
        <v>113</v>
      </c>
      <c r="O14" s="300">
        <v>32982</v>
      </c>
      <c r="P14" s="186">
        <v>42894</v>
      </c>
    </row>
    <row r="15" spans="1:16" ht="15.75" x14ac:dyDescent="0.25">
      <c r="A15" s="129">
        <v>42898</v>
      </c>
      <c r="B15" s="126" t="s">
        <v>472</v>
      </c>
      <c r="C15" s="130">
        <v>16787.12</v>
      </c>
      <c r="D15" s="127">
        <v>42909</v>
      </c>
      <c r="E15" s="130">
        <v>16787.12</v>
      </c>
      <c r="F15" s="128">
        <f t="shared" si="0"/>
        <v>0</v>
      </c>
      <c r="J15" s="164">
        <v>8990.6</v>
      </c>
      <c r="K15" s="126" t="s">
        <v>427</v>
      </c>
      <c r="L15" s="130">
        <v>8990.6</v>
      </c>
      <c r="M15" s="187"/>
      <c r="N15" s="184" t="s">
        <v>113</v>
      </c>
      <c r="O15" s="300">
        <v>3093</v>
      </c>
      <c r="P15" s="186">
        <v>42891</v>
      </c>
    </row>
    <row r="16" spans="1:16" ht="15.75" x14ac:dyDescent="0.25">
      <c r="A16" s="129">
        <v>42898</v>
      </c>
      <c r="B16" s="126" t="s">
        <v>473</v>
      </c>
      <c r="C16" s="130">
        <v>71189.759999999995</v>
      </c>
      <c r="D16" s="127">
        <v>42909</v>
      </c>
      <c r="E16" s="130">
        <v>71189.759999999995</v>
      </c>
      <c r="F16" s="128">
        <f t="shared" si="0"/>
        <v>0</v>
      </c>
      <c r="J16" s="164">
        <f>12680+26923</f>
        <v>39603</v>
      </c>
      <c r="K16" s="126" t="s">
        <v>428</v>
      </c>
      <c r="L16" s="130">
        <v>39602.699999999997</v>
      </c>
      <c r="M16" s="227"/>
      <c r="N16" s="184" t="s">
        <v>113</v>
      </c>
      <c r="O16" s="296">
        <v>24705</v>
      </c>
      <c r="P16" s="186">
        <v>42895</v>
      </c>
    </row>
    <row r="17" spans="1:18" ht="15.75" x14ac:dyDescent="0.25">
      <c r="A17" s="129">
        <v>42898</v>
      </c>
      <c r="B17" s="126" t="s">
        <v>474</v>
      </c>
      <c r="C17" s="130">
        <v>6115</v>
      </c>
      <c r="D17" s="127">
        <v>42909</v>
      </c>
      <c r="E17" s="130">
        <v>6115</v>
      </c>
      <c r="F17" s="128">
        <f t="shared" si="0"/>
        <v>0</v>
      </c>
      <c r="J17" s="151">
        <f>6682.35+34298.94</f>
        <v>40981.29</v>
      </c>
      <c r="K17" s="126" t="s">
        <v>440</v>
      </c>
      <c r="L17" s="130">
        <v>42671.86</v>
      </c>
      <c r="M17" s="187"/>
      <c r="N17" s="184" t="s">
        <v>113</v>
      </c>
      <c r="O17" s="296">
        <v>44727</v>
      </c>
      <c r="P17" s="186">
        <v>42898</v>
      </c>
    </row>
    <row r="18" spans="1:18" ht="15.75" x14ac:dyDescent="0.25">
      <c r="A18" s="129">
        <v>42900</v>
      </c>
      <c r="B18" s="126" t="s">
        <v>475</v>
      </c>
      <c r="C18" s="130">
        <v>43813.1</v>
      </c>
      <c r="D18" s="127">
        <v>42909</v>
      </c>
      <c r="E18" s="130">
        <v>43813.1</v>
      </c>
      <c r="F18" s="128">
        <f t="shared" si="0"/>
        <v>0</v>
      </c>
      <c r="J18" s="151">
        <v>4294.74</v>
      </c>
      <c r="K18" s="126" t="s">
        <v>441</v>
      </c>
      <c r="L18" s="130">
        <v>3552.51</v>
      </c>
      <c r="M18" s="227" t="s">
        <v>202</v>
      </c>
      <c r="N18" s="184" t="s">
        <v>113</v>
      </c>
      <c r="O18" s="296">
        <v>60701.5</v>
      </c>
      <c r="P18" s="186">
        <v>42899</v>
      </c>
    </row>
    <row r="19" spans="1:18" ht="15.75" x14ac:dyDescent="0.25">
      <c r="A19" s="129">
        <v>42901</v>
      </c>
      <c r="B19" s="126" t="s">
        <v>476</v>
      </c>
      <c r="C19" s="130">
        <v>17937.16</v>
      </c>
      <c r="D19" s="127">
        <v>42909</v>
      </c>
      <c r="E19" s="130">
        <v>17937.16</v>
      </c>
      <c r="F19" s="128">
        <f t="shared" si="0"/>
        <v>0</v>
      </c>
      <c r="J19" s="151"/>
      <c r="K19" s="126"/>
      <c r="L19" s="130"/>
      <c r="M19" s="187"/>
      <c r="N19" s="184" t="s">
        <v>113</v>
      </c>
      <c r="O19" s="296">
        <v>44549.5</v>
      </c>
      <c r="P19" s="186">
        <v>42899</v>
      </c>
    </row>
    <row r="20" spans="1:18" ht="15.75" x14ac:dyDescent="0.25">
      <c r="A20" s="129">
        <v>42902</v>
      </c>
      <c r="B20" s="126" t="s">
        <v>477</v>
      </c>
      <c r="C20" s="130">
        <v>52460.67</v>
      </c>
      <c r="D20" s="127" t="s">
        <v>509</v>
      </c>
      <c r="E20" s="130">
        <f>2921.09+49539.58</f>
        <v>52460.67</v>
      </c>
      <c r="F20" s="128">
        <f t="shared" si="0"/>
        <v>0</v>
      </c>
      <c r="J20" s="151"/>
      <c r="K20" s="126"/>
      <c r="L20" s="130"/>
      <c r="M20" s="187"/>
      <c r="N20" s="184" t="s">
        <v>113</v>
      </c>
      <c r="O20" s="188">
        <v>33605</v>
      </c>
      <c r="P20" s="186">
        <v>42899</v>
      </c>
    </row>
    <row r="21" spans="1:18" ht="15.75" x14ac:dyDescent="0.25">
      <c r="A21" s="129">
        <v>42903</v>
      </c>
      <c r="B21" s="126" t="s">
        <v>489</v>
      </c>
      <c r="C21" s="130">
        <v>114738.84</v>
      </c>
      <c r="D21" s="127">
        <v>42915</v>
      </c>
      <c r="E21" s="130">
        <v>114738.84</v>
      </c>
      <c r="F21" s="128">
        <f t="shared" si="0"/>
        <v>0</v>
      </c>
      <c r="J21" s="151"/>
      <c r="K21" s="126"/>
      <c r="L21" s="130"/>
      <c r="M21" s="187"/>
      <c r="N21" s="184" t="s">
        <v>113</v>
      </c>
      <c r="O21" s="188">
        <v>4295</v>
      </c>
      <c r="P21" s="186">
        <v>42893</v>
      </c>
    </row>
    <row r="22" spans="1:18" ht="15.75" x14ac:dyDescent="0.25">
      <c r="A22" s="129">
        <v>42904</v>
      </c>
      <c r="B22" s="126" t="s">
        <v>478</v>
      </c>
      <c r="C22" s="130">
        <v>42579.040000000001</v>
      </c>
      <c r="D22" s="127">
        <v>42915</v>
      </c>
      <c r="E22" s="130">
        <v>42579.040000000001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33899</v>
      </c>
      <c r="P22" s="186">
        <v>42900</v>
      </c>
    </row>
    <row r="23" spans="1:18" ht="16.5" thickBot="1" x14ac:dyDescent="0.3">
      <c r="A23" s="129">
        <v>42905</v>
      </c>
      <c r="B23" s="126" t="s">
        <v>490</v>
      </c>
      <c r="C23" s="130">
        <v>32095.5</v>
      </c>
      <c r="D23" s="127">
        <v>42915</v>
      </c>
      <c r="E23" s="130">
        <v>32095.5</v>
      </c>
      <c r="F23" s="128">
        <f t="shared" si="0"/>
        <v>0</v>
      </c>
      <c r="J23" s="177">
        <f>SUM(J4:J22)</f>
        <v>582689.96</v>
      </c>
      <c r="K23" s="207"/>
      <c r="L23" s="207"/>
      <c r="M23" s="207"/>
      <c r="N23" s="184" t="s">
        <v>113</v>
      </c>
      <c r="O23" s="221">
        <v>0</v>
      </c>
      <c r="P23" s="222"/>
    </row>
    <row r="24" spans="1:18" ht="17.25" thickTop="1" thickBot="1" x14ac:dyDescent="0.3">
      <c r="A24" s="129">
        <v>42907</v>
      </c>
      <c r="B24" s="126" t="s">
        <v>491</v>
      </c>
      <c r="C24" s="130">
        <v>31599.8</v>
      </c>
      <c r="D24" s="127"/>
      <c r="E24" s="130"/>
      <c r="F24" s="128">
        <f t="shared" si="0"/>
        <v>31599.8</v>
      </c>
      <c r="K24" s="177"/>
      <c r="L24" s="177">
        <f>SUM(L4:L22)</f>
        <v>582718</v>
      </c>
      <c r="M24" s="178"/>
      <c r="N24" s="179"/>
      <c r="O24" s="204">
        <f>SUM(O4:O23)</f>
        <v>582718</v>
      </c>
      <c r="P24" s="181"/>
    </row>
    <row r="25" spans="1:18" x14ac:dyDescent="0.25">
      <c r="A25" s="129">
        <v>42907</v>
      </c>
      <c r="B25" s="126" t="s">
        <v>492</v>
      </c>
      <c r="C25" s="130">
        <v>32050.400000000001</v>
      </c>
      <c r="D25" s="127">
        <v>42915</v>
      </c>
      <c r="E25" s="130">
        <v>32050.400000000001</v>
      </c>
      <c r="F25" s="128">
        <f t="shared" si="0"/>
        <v>0</v>
      </c>
    </row>
    <row r="26" spans="1:18" x14ac:dyDescent="0.25">
      <c r="A26" s="129">
        <v>42907</v>
      </c>
      <c r="B26" s="126" t="s">
        <v>493</v>
      </c>
      <c r="C26" s="130">
        <v>995.5</v>
      </c>
      <c r="D26" s="127">
        <v>42915</v>
      </c>
      <c r="E26" s="130">
        <v>995.5</v>
      </c>
      <c r="F26" s="128">
        <f t="shared" si="0"/>
        <v>0</v>
      </c>
    </row>
    <row r="27" spans="1:18" x14ac:dyDescent="0.25">
      <c r="A27" s="129">
        <v>42908</v>
      </c>
      <c r="B27" s="126" t="s">
        <v>494</v>
      </c>
      <c r="C27" s="130">
        <v>28295.82</v>
      </c>
      <c r="D27" s="127">
        <v>42915</v>
      </c>
      <c r="E27" s="130">
        <v>28295.82</v>
      </c>
      <c r="F27" s="128">
        <f t="shared" si="0"/>
        <v>0</v>
      </c>
    </row>
    <row r="28" spans="1:18" ht="15.75" thickBot="1" x14ac:dyDescent="0.3">
      <c r="A28" s="129">
        <v>42908</v>
      </c>
      <c r="B28" s="126" t="s">
        <v>495</v>
      </c>
      <c r="C28" s="130">
        <v>17916.599999999999</v>
      </c>
      <c r="D28" s="127">
        <v>42915</v>
      </c>
      <c r="E28" s="130">
        <v>17916.599999999999</v>
      </c>
      <c r="F28" s="128">
        <f t="shared" si="0"/>
        <v>0</v>
      </c>
    </row>
    <row r="29" spans="1:18" ht="19.5" thickBot="1" x14ac:dyDescent="0.35">
      <c r="A29" s="129">
        <v>42909</v>
      </c>
      <c r="B29" s="126" t="s">
        <v>496</v>
      </c>
      <c r="C29" s="130">
        <v>23772.98</v>
      </c>
      <c r="D29" s="127"/>
      <c r="E29" s="130"/>
      <c r="F29" s="128">
        <f t="shared" si="0"/>
        <v>23772.98</v>
      </c>
      <c r="K29" t="s">
        <v>64</v>
      </c>
      <c r="L29" s="154" t="s">
        <v>105</v>
      </c>
      <c r="M29" s="155"/>
      <c r="N29" s="156"/>
      <c r="O29" s="242">
        <v>42909</v>
      </c>
      <c r="P29" s="158"/>
    </row>
    <row r="30" spans="1:18" ht="15.75" x14ac:dyDescent="0.25">
      <c r="A30" s="129">
        <v>42909</v>
      </c>
      <c r="B30" s="126" t="s">
        <v>497</v>
      </c>
      <c r="C30" s="130">
        <v>67096.800000000003</v>
      </c>
      <c r="D30" s="127">
        <v>42915</v>
      </c>
      <c r="E30" s="302">
        <v>14519.22</v>
      </c>
      <c r="F30" s="303">
        <f t="shared" si="0"/>
        <v>52577.58</v>
      </c>
      <c r="K30" s="159"/>
      <c r="L30" s="160"/>
      <c r="M30" s="159"/>
      <c r="N30" s="161"/>
      <c r="O30" s="160"/>
      <c r="P30" s="162"/>
    </row>
    <row r="31" spans="1:18" ht="15.75" x14ac:dyDescent="0.25">
      <c r="A31" s="236">
        <v>42909</v>
      </c>
      <c r="B31" s="126" t="s">
        <v>498</v>
      </c>
      <c r="C31" s="130">
        <v>690</v>
      </c>
      <c r="D31" s="127"/>
      <c r="E31" s="130"/>
      <c r="F31" s="128">
        <f t="shared" si="0"/>
        <v>690</v>
      </c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18" ht="15.75" x14ac:dyDescent="0.25">
      <c r="A32" s="236">
        <v>42910</v>
      </c>
      <c r="B32" s="126" t="s">
        <v>499</v>
      </c>
      <c r="C32" s="130">
        <v>83003.5</v>
      </c>
      <c r="D32" s="127"/>
      <c r="E32" s="130"/>
      <c r="F32" s="128">
        <f t="shared" si="0"/>
        <v>83003.5</v>
      </c>
      <c r="J32" s="164">
        <f>39436.76+15659</f>
        <v>55095.76</v>
      </c>
      <c r="K32" s="126" t="s">
        <v>441</v>
      </c>
      <c r="L32" s="130">
        <v>54147.27</v>
      </c>
      <c r="M32" s="165" t="s">
        <v>111</v>
      </c>
      <c r="N32" s="166" t="s">
        <v>113</v>
      </c>
      <c r="O32" s="309">
        <v>39436.5</v>
      </c>
      <c r="P32" s="168">
        <v>42901</v>
      </c>
      <c r="R32" s="100"/>
    </row>
    <row r="33" spans="1:18" ht="15.75" x14ac:dyDescent="0.25">
      <c r="A33" s="236">
        <v>42911</v>
      </c>
      <c r="B33" s="126" t="s">
        <v>500</v>
      </c>
      <c r="C33" s="130">
        <v>52491</v>
      </c>
      <c r="D33" s="127"/>
      <c r="E33" s="130"/>
      <c r="F33" s="128">
        <f t="shared" si="0"/>
        <v>52491</v>
      </c>
      <c r="J33" s="164">
        <v>2640.5</v>
      </c>
      <c r="K33" s="126" t="s">
        <v>442</v>
      </c>
      <c r="L33" s="130">
        <v>2640.4</v>
      </c>
      <c r="M33" s="165"/>
      <c r="N33" s="166" t="s">
        <v>113</v>
      </c>
      <c r="O33" s="167">
        <v>38209</v>
      </c>
      <c r="P33" s="168">
        <v>42902</v>
      </c>
      <c r="R33" s="310"/>
    </row>
    <row r="34" spans="1:18" ht="15.75" x14ac:dyDescent="0.25">
      <c r="A34" s="236">
        <v>42914</v>
      </c>
      <c r="B34" s="126" t="s">
        <v>510</v>
      </c>
      <c r="C34" s="130">
        <v>91267.56</v>
      </c>
      <c r="F34" s="128">
        <f t="shared" si="0"/>
        <v>91267.56</v>
      </c>
      <c r="J34" s="140">
        <f>19909.5+19048.16</f>
        <v>38957.660000000003</v>
      </c>
      <c r="K34" s="126" t="s">
        <v>443</v>
      </c>
      <c r="L34" s="130">
        <v>38957.660000000003</v>
      </c>
      <c r="M34" s="165"/>
      <c r="N34" s="166" t="s">
        <v>113</v>
      </c>
      <c r="O34" s="167">
        <v>76681</v>
      </c>
      <c r="P34" s="168">
        <v>42903</v>
      </c>
      <c r="R34" s="310"/>
    </row>
    <row r="35" spans="1:18" ht="15.75" x14ac:dyDescent="0.25">
      <c r="A35" s="236">
        <v>42914</v>
      </c>
      <c r="B35" s="126" t="s">
        <v>511</v>
      </c>
      <c r="C35" s="130">
        <v>3753.94</v>
      </c>
      <c r="D35" s="44"/>
      <c r="E35" s="130"/>
      <c r="F35" s="128">
        <f t="shared" si="0"/>
        <v>3753.94</v>
      </c>
      <c r="J35" s="140">
        <v>43825.34</v>
      </c>
      <c r="K35" s="126" t="s">
        <v>444</v>
      </c>
      <c r="L35" s="130">
        <v>43825.34</v>
      </c>
      <c r="M35" s="165"/>
      <c r="N35" s="166" t="s">
        <v>113</v>
      </c>
      <c r="O35" s="167">
        <v>78502</v>
      </c>
      <c r="P35" s="168">
        <v>42905</v>
      </c>
      <c r="R35" s="310"/>
    </row>
    <row r="36" spans="1:18" ht="15.75" x14ac:dyDescent="0.25">
      <c r="A36" s="236">
        <v>42914</v>
      </c>
      <c r="B36" s="126" t="s">
        <v>512</v>
      </c>
      <c r="C36" s="4">
        <v>1495.2</v>
      </c>
      <c r="D36" s="97"/>
      <c r="E36" s="97"/>
      <c r="F36" s="128">
        <f t="shared" si="0"/>
        <v>1495.2</v>
      </c>
      <c r="J36" s="140">
        <v>6086.6</v>
      </c>
      <c r="K36" s="126" t="s">
        <v>471</v>
      </c>
      <c r="L36" s="130">
        <v>6086.6</v>
      </c>
      <c r="M36" s="165"/>
      <c r="N36" s="166" t="s">
        <v>113</v>
      </c>
      <c r="O36" s="167">
        <v>71592</v>
      </c>
      <c r="P36" s="168">
        <v>42905</v>
      </c>
      <c r="R36" s="310"/>
    </row>
    <row r="37" spans="1:18" ht="15.75" x14ac:dyDescent="0.25">
      <c r="A37" s="236">
        <v>42916</v>
      </c>
      <c r="B37" s="126" t="s">
        <v>513</v>
      </c>
      <c r="C37" s="4">
        <v>59685.9</v>
      </c>
      <c r="D37" s="97"/>
      <c r="E37" s="97"/>
      <c r="F37" s="128">
        <f t="shared" si="0"/>
        <v>59685.9</v>
      </c>
      <c r="J37" s="140">
        <f>7720.5+9066.62</f>
        <v>16787.120000000003</v>
      </c>
      <c r="K37" s="126" t="s">
        <v>472</v>
      </c>
      <c r="L37" s="130">
        <v>16787.12</v>
      </c>
      <c r="M37" s="165"/>
      <c r="N37" s="166" t="s">
        <v>113</v>
      </c>
      <c r="O37" s="167"/>
      <c r="P37" s="168"/>
      <c r="R37" s="100"/>
    </row>
    <row r="38" spans="1:18" ht="15.75" x14ac:dyDescent="0.25">
      <c r="A38" s="236"/>
      <c r="B38" s="126"/>
      <c r="C38" s="130"/>
      <c r="D38" s="202"/>
      <c r="E38" s="130"/>
      <c r="F38" s="128">
        <f t="shared" si="0"/>
        <v>0</v>
      </c>
      <c r="J38" s="140">
        <f>63320.5+7869.29</f>
        <v>71189.789999999994</v>
      </c>
      <c r="K38" s="126" t="s">
        <v>473</v>
      </c>
      <c r="L38" s="130">
        <v>71189.759999999995</v>
      </c>
      <c r="M38" s="165"/>
      <c r="N38" s="166" t="s">
        <v>113</v>
      </c>
      <c r="O38" s="167"/>
      <c r="P38" s="168"/>
      <c r="R38" s="100"/>
    </row>
    <row r="39" spans="1:18" ht="15.75" x14ac:dyDescent="0.25">
      <c r="A39" s="236"/>
      <c r="B39" s="126"/>
      <c r="C39" s="130"/>
      <c r="D39" s="202"/>
      <c r="E39" s="130"/>
      <c r="F39" s="128">
        <f t="shared" si="0"/>
        <v>0</v>
      </c>
      <c r="J39" s="140">
        <v>6115</v>
      </c>
      <c r="K39" s="126" t="s">
        <v>474</v>
      </c>
      <c r="L39" s="130">
        <v>6115</v>
      </c>
      <c r="M39" s="165"/>
      <c r="N39" s="166" t="s">
        <v>113</v>
      </c>
      <c r="O39" s="167"/>
      <c r="P39" s="168"/>
    </row>
    <row r="40" spans="1:18" ht="15.75" x14ac:dyDescent="0.25">
      <c r="A40" s="236"/>
      <c r="B40" s="126"/>
      <c r="C40" s="130"/>
      <c r="D40" s="202"/>
      <c r="E40" s="130"/>
      <c r="F40" s="128">
        <f t="shared" si="0"/>
        <v>0</v>
      </c>
      <c r="J40" s="140">
        <v>43813</v>
      </c>
      <c r="K40" s="126" t="s">
        <v>475</v>
      </c>
      <c r="L40" s="130">
        <v>43813.1</v>
      </c>
      <c r="M40" s="183"/>
      <c r="N40" s="184" t="s">
        <v>113</v>
      </c>
      <c r="O40" s="185"/>
      <c r="P40" s="186"/>
    </row>
    <row r="41" spans="1:18" ht="16.5" thickBot="1" x14ac:dyDescent="0.3">
      <c r="A41" s="311"/>
      <c r="B41" s="143"/>
      <c r="C41" s="144"/>
      <c r="D41" s="145"/>
      <c r="E41" s="144"/>
      <c r="F41" s="128">
        <f t="shared" si="0"/>
        <v>0</v>
      </c>
      <c r="J41" s="164">
        <v>17937.16</v>
      </c>
      <c r="K41" s="126" t="s">
        <v>476</v>
      </c>
      <c r="L41" s="130">
        <v>17937.16</v>
      </c>
      <c r="M41" s="235"/>
      <c r="N41" s="184" t="s">
        <v>113</v>
      </c>
      <c r="O41" s="304"/>
      <c r="P41" s="186"/>
    </row>
    <row r="42" spans="1:18" ht="16.5" thickTop="1" x14ac:dyDescent="0.25">
      <c r="B42" s="44"/>
      <c r="C42" s="130">
        <f>SUM(C3:C41)</f>
        <v>1306932.7699999998</v>
      </c>
      <c r="D42" s="148"/>
      <c r="E42" s="140">
        <f>SUM(E3:E41)</f>
        <v>906595.30999999994</v>
      </c>
      <c r="F42" s="130">
        <f>SUM(F3:F41)</f>
        <v>400337.46</v>
      </c>
      <c r="J42" s="164">
        <v>1971.5</v>
      </c>
      <c r="K42" s="126" t="s">
        <v>477</v>
      </c>
      <c r="L42" s="130">
        <v>2921.09</v>
      </c>
      <c r="M42" s="227" t="s">
        <v>202</v>
      </c>
      <c r="N42" s="184" t="s">
        <v>113</v>
      </c>
      <c r="O42" s="305"/>
      <c r="P42" s="186"/>
    </row>
    <row r="43" spans="1:18" ht="15.75" x14ac:dyDescent="0.25">
      <c r="A43"/>
      <c r="B43" s="149"/>
      <c r="D43" s="149"/>
      <c r="J43" s="164"/>
      <c r="K43" s="126"/>
      <c r="L43" s="130"/>
      <c r="M43" s="187"/>
      <c r="N43" s="184" t="s">
        <v>113</v>
      </c>
      <c r="O43" s="305"/>
      <c r="P43" s="186"/>
    </row>
    <row r="44" spans="1:18" ht="16.5" thickBot="1" x14ac:dyDescent="0.3">
      <c r="A44"/>
      <c r="B44" s="149">
        <v>42887</v>
      </c>
      <c r="C44" s="140">
        <v>0</v>
      </c>
      <c r="D44" s="149"/>
      <c r="J44" s="177">
        <f>SUM(J32:J43)</f>
        <v>304419.43</v>
      </c>
      <c r="K44" s="207"/>
      <c r="L44" s="224"/>
      <c r="M44" s="207"/>
      <c r="N44" s="184" t="s">
        <v>113</v>
      </c>
      <c r="O44" s="221">
        <v>0</v>
      </c>
      <c r="P44" s="222"/>
    </row>
    <row r="45" spans="1:18" ht="17.25" thickTop="1" thickBot="1" x14ac:dyDescent="0.3">
      <c r="A45"/>
      <c r="B45" s="149">
        <v>42888</v>
      </c>
      <c r="C45" s="140">
        <v>335</v>
      </c>
      <c r="D45" s="149" t="s">
        <v>367</v>
      </c>
      <c r="K45" s="177"/>
      <c r="L45" s="308">
        <f>SUM(L32:L44)</f>
        <v>304420.49999999994</v>
      </c>
      <c r="M45" s="178"/>
      <c r="N45" s="179"/>
      <c r="O45" s="307">
        <f>SUM(O32:O44)</f>
        <v>304420.5</v>
      </c>
      <c r="P45" s="181"/>
    </row>
    <row r="46" spans="1:18" ht="15.75" x14ac:dyDescent="0.25">
      <c r="A46"/>
      <c r="B46" s="149">
        <v>42889</v>
      </c>
      <c r="C46" s="140">
        <v>0</v>
      </c>
      <c r="D46" s="149"/>
      <c r="F46"/>
      <c r="J46" s="248"/>
      <c r="K46" s="176"/>
      <c r="L46" s="36"/>
      <c r="M46" s="246"/>
      <c r="N46" s="244"/>
      <c r="O46" s="306"/>
      <c r="P46" s="245"/>
      <c r="Q46" s="100"/>
    </row>
    <row r="47" spans="1:18" ht="15.75" x14ac:dyDescent="0.25">
      <c r="A47"/>
      <c r="B47" s="149">
        <v>42890</v>
      </c>
      <c r="C47" s="140">
        <v>0</v>
      </c>
      <c r="D47" s="149"/>
      <c r="F47"/>
      <c r="J47" s="248"/>
      <c r="K47" s="176"/>
      <c r="L47" s="36"/>
      <c r="M47" s="100"/>
      <c r="N47" s="244"/>
      <c r="O47" s="306"/>
      <c r="P47" s="245"/>
      <c r="Q47" s="100"/>
    </row>
    <row r="48" spans="1:18" ht="15.75" x14ac:dyDescent="0.25">
      <c r="A48"/>
      <c r="B48" s="149">
        <v>42891</v>
      </c>
      <c r="C48" s="140">
        <v>0</v>
      </c>
      <c r="D48" s="149"/>
      <c r="F48"/>
      <c r="J48" s="248"/>
      <c r="K48" s="176"/>
      <c r="L48" s="36"/>
      <c r="M48" s="100"/>
      <c r="N48" s="244"/>
      <c r="O48" s="306"/>
      <c r="P48" s="245"/>
      <c r="Q48" s="100"/>
    </row>
    <row r="49" spans="1:17" ht="15.75" x14ac:dyDescent="0.25">
      <c r="A49"/>
      <c r="B49" s="149">
        <v>42892</v>
      </c>
      <c r="C49" s="140">
        <v>614</v>
      </c>
      <c r="D49" s="149" t="s">
        <v>97</v>
      </c>
      <c r="F49"/>
      <c r="J49" s="248"/>
      <c r="K49" s="176"/>
      <c r="L49" s="36"/>
      <c r="M49" s="100"/>
      <c r="N49" s="244"/>
      <c r="O49" s="306"/>
      <c r="P49" s="245"/>
      <c r="Q49" s="100"/>
    </row>
    <row r="50" spans="1:17" ht="16.5" thickBot="1" x14ac:dyDescent="0.3">
      <c r="A50"/>
      <c r="B50" s="149">
        <v>42893</v>
      </c>
      <c r="C50" s="140">
        <v>0</v>
      </c>
      <c r="D50" s="149"/>
      <c r="F50"/>
      <c r="J50" s="248"/>
      <c r="K50" s="100"/>
      <c r="L50" s="100"/>
      <c r="M50" s="100"/>
      <c r="N50" s="244"/>
      <c r="O50" s="306"/>
      <c r="P50" s="245"/>
      <c r="Q50" s="100"/>
    </row>
    <row r="51" spans="1:17" ht="19.5" thickBot="1" x14ac:dyDescent="0.35">
      <c r="A51"/>
      <c r="B51" s="149">
        <v>42894</v>
      </c>
      <c r="C51" s="140">
        <v>644</v>
      </c>
      <c r="D51" s="149" t="s">
        <v>97</v>
      </c>
      <c r="F51"/>
      <c r="K51" t="s">
        <v>64</v>
      </c>
      <c r="L51" s="154" t="s">
        <v>105</v>
      </c>
      <c r="M51" s="155"/>
      <c r="N51" s="156"/>
      <c r="O51" s="231">
        <v>42915</v>
      </c>
      <c r="P51" s="158"/>
      <c r="Q51" s="100"/>
    </row>
    <row r="52" spans="1:17" ht="15.75" x14ac:dyDescent="0.25">
      <c r="A52"/>
      <c r="B52" s="149">
        <v>42895</v>
      </c>
      <c r="C52" s="140">
        <v>224</v>
      </c>
      <c r="D52" s="149" t="s">
        <v>367</v>
      </c>
      <c r="F52"/>
      <c r="K52" s="159"/>
      <c r="L52" s="160"/>
      <c r="M52" s="159"/>
      <c r="N52" s="161"/>
      <c r="O52" s="160"/>
      <c r="P52" s="162"/>
      <c r="Q52" s="100"/>
    </row>
    <row r="53" spans="1:17" ht="15.75" x14ac:dyDescent="0.25">
      <c r="A53"/>
      <c r="B53" s="149">
        <v>42896</v>
      </c>
      <c r="C53" s="140">
        <v>962</v>
      </c>
      <c r="D53" s="149" t="s">
        <v>167</v>
      </c>
      <c r="F53"/>
      <c r="K53" s="163" t="s">
        <v>106</v>
      </c>
      <c r="L53" s="160" t="s">
        <v>107</v>
      </c>
      <c r="M53" s="159"/>
      <c r="N53" s="161" t="s">
        <v>108</v>
      </c>
      <c r="O53" s="160" t="s">
        <v>109</v>
      </c>
      <c r="P53" s="162"/>
    </row>
    <row r="54" spans="1:17" ht="15.75" x14ac:dyDescent="0.25">
      <c r="A54"/>
      <c r="B54" s="149">
        <v>42897</v>
      </c>
      <c r="C54" s="140">
        <v>0</v>
      </c>
      <c r="D54" s="149"/>
      <c r="F54"/>
      <c r="J54" s="164">
        <f>42260.59+8228.67</f>
        <v>50489.259999999995</v>
      </c>
      <c r="K54" s="126" t="s">
        <v>477</v>
      </c>
      <c r="L54" s="130">
        <v>49539.58</v>
      </c>
      <c r="M54" s="165" t="s">
        <v>111</v>
      </c>
      <c r="N54" s="166" t="s">
        <v>113</v>
      </c>
      <c r="O54" s="167">
        <v>42260.5</v>
      </c>
      <c r="P54" s="168">
        <v>42906</v>
      </c>
    </row>
    <row r="55" spans="1:17" ht="15.75" x14ac:dyDescent="0.25">
      <c r="A55"/>
      <c r="B55" s="149">
        <v>42898</v>
      </c>
      <c r="C55" s="140">
        <v>0</v>
      </c>
      <c r="D55" s="149"/>
      <c r="E55"/>
      <c r="F55"/>
      <c r="J55" s="164">
        <f>15503.87+500+33231.96+35052.68+30451</f>
        <v>114739.51000000001</v>
      </c>
      <c r="K55" s="126" t="s">
        <v>489</v>
      </c>
      <c r="L55" s="130">
        <v>114738.84</v>
      </c>
      <c r="M55" s="165"/>
      <c r="N55" s="166" t="s">
        <v>294</v>
      </c>
      <c r="O55" s="167">
        <v>24232.5</v>
      </c>
      <c r="P55" s="168">
        <v>42907</v>
      </c>
    </row>
    <row r="56" spans="1:17" ht="15.75" x14ac:dyDescent="0.25">
      <c r="A56"/>
      <c r="B56" s="149">
        <v>42899</v>
      </c>
      <c r="C56" s="140">
        <v>542</v>
      </c>
      <c r="D56" s="149" t="s">
        <v>469</v>
      </c>
      <c r="E56"/>
      <c r="F56"/>
      <c r="J56" s="140">
        <f>41848.88+731.16</f>
        <v>42580.04</v>
      </c>
      <c r="K56" s="126" t="s">
        <v>478</v>
      </c>
      <c r="L56" s="130">
        <v>42579.040000000001</v>
      </c>
      <c r="M56" s="165"/>
      <c r="N56" s="166" t="s">
        <v>113</v>
      </c>
      <c r="O56" s="167">
        <v>33232</v>
      </c>
      <c r="P56" s="168">
        <v>42908</v>
      </c>
    </row>
    <row r="57" spans="1:17" ht="15.75" x14ac:dyDescent="0.25">
      <c r="A57"/>
      <c r="B57" s="149">
        <v>42900</v>
      </c>
      <c r="C57" s="140">
        <v>520</v>
      </c>
      <c r="D57" s="149" t="s">
        <v>167</v>
      </c>
      <c r="E57"/>
      <c r="F57"/>
      <c r="J57" s="140">
        <v>32095.5</v>
      </c>
      <c r="K57" s="126" t="s">
        <v>490</v>
      </c>
      <c r="L57" s="130">
        <v>32095.5</v>
      </c>
      <c r="M57" s="165"/>
      <c r="N57" s="166" t="s">
        <v>113</v>
      </c>
      <c r="O57" s="167">
        <v>35052.5</v>
      </c>
      <c r="P57" s="168">
        <v>42909</v>
      </c>
    </row>
    <row r="58" spans="1:17" ht="15.75" x14ac:dyDescent="0.25">
      <c r="A58"/>
      <c r="B58" s="149">
        <v>42901</v>
      </c>
      <c r="C58" s="140">
        <v>298</v>
      </c>
      <c r="D58" s="149" t="s">
        <v>481</v>
      </c>
      <c r="E58"/>
      <c r="F58"/>
      <c r="J58" s="140">
        <v>32050.400000000001</v>
      </c>
      <c r="K58" s="126" t="s">
        <v>492</v>
      </c>
      <c r="L58" s="130">
        <v>32050.400000000001</v>
      </c>
      <c r="M58" s="165"/>
      <c r="N58" s="166" t="s">
        <v>113</v>
      </c>
      <c r="O58" s="167">
        <v>72299</v>
      </c>
      <c r="P58" s="168">
        <v>42912</v>
      </c>
    </row>
    <row r="59" spans="1:17" ht="15.75" x14ac:dyDescent="0.25">
      <c r="A59"/>
      <c r="B59" s="149">
        <v>42902</v>
      </c>
      <c r="C59" s="140">
        <v>1672</v>
      </c>
      <c r="D59" s="149" t="s">
        <v>483</v>
      </c>
      <c r="E59"/>
      <c r="F59"/>
      <c r="J59" s="140">
        <v>995.5</v>
      </c>
      <c r="K59" s="126" t="s">
        <v>493</v>
      </c>
      <c r="L59" s="130">
        <v>995.5</v>
      </c>
      <c r="M59" s="165"/>
      <c r="N59" s="166" t="s">
        <v>113</v>
      </c>
      <c r="O59" s="167">
        <v>74848</v>
      </c>
      <c r="P59" s="168">
        <v>42912</v>
      </c>
    </row>
    <row r="60" spans="1:17" ht="15.75" x14ac:dyDescent="0.25">
      <c r="A60"/>
      <c r="B60" s="149">
        <v>42903</v>
      </c>
      <c r="C60" s="140">
        <v>48</v>
      </c>
      <c r="D60" s="149" t="s">
        <v>484</v>
      </c>
      <c r="E60"/>
      <c r="F60"/>
      <c r="J60" s="140">
        <f>8976.6+19319.22</f>
        <v>28295.82</v>
      </c>
      <c r="K60" s="126" t="s">
        <v>494</v>
      </c>
      <c r="L60" s="130">
        <v>28295.82</v>
      </c>
      <c r="M60" s="165"/>
      <c r="N60" s="166" t="s">
        <v>113</v>
      </c>
      <c r="O60" s="167">
        <v>50806</v>
      </c>
      <c r="P60" s="168">
        <v>42912</v>
      </c>
    </row>
    <row r="61" spans="1:17" ht="15.75" x14ac:dyDescent="0.25">
      <c r="B61" s="149">
        <v>42904</v>
      </c>
      <c r="C61" s="140">
        <v>669</v>
      </c>
      <c r="D61" s="149" t="s">
        <v>487</v>
      </c>
      <c r="E61"/>
      <c r="J61" s="140">
        <v>17916.599999999999</v>
      </c>
      <c r="K61" s="126" t="s">
        <v>495</v>
      </c>
      <c r="L61" s="130">
        <v>17916.599999999999</v>
      </c>
      <c r="M61" s="165"/>
      <c r="N61" s="166" t="s">
        <v>113</v>
      </c>
      <c r="O61" s="167">
        <v>0</v>
      </c>
      <c r="P61" s="168"/>
    </row>
    <row r="62" spans="1:17" ht="15.75" x14ac:dyDescent="0.25">
      <c r="B62" s="149">
        <v>42905</v>
      </c>
      <c r="C62" s="140">
        <v>330.4</v>
      </c>
      <c r="D62" s="149" t="s">
        <v>367</v>
      </c>
      <c r="E62"/>
      <c r="J62" s="164">
        <v>13569.98</v>
      </c>
      <c r="K62" s="205" t="s">
        <v>497</v>
      </c>
      <c r="L62" s="130">
        <v>14519.22</v>
      </c>
      <c r="M62" s="183" t="s">
        <v>125</v>
      </c>
      <c r="N62" s="184" t="s">
        <v>113</v>
      </c>
      <c r="O62" s="185">
        <v>0</v>
      </c>
      <c r="P62" s="186"/>
    </row>
    <row r="63" spans="1:17" ht="16.5" thickBot="1" x14ac:dyDescent="0.3">
      <c r="B63" s="149">
        <v>42906</v>
      </c>
      <c r="C63" s="140">
        <v>659</v>
      </c>
      <c r="D63" s="149" t="s">
        <v>97</v>
      </c>
      <c r="E63"/>
      <c r="J63" s="177">
        <f ca="1">SUM(J54:J65)</f>
        <v>332732.61</v>
      </c>
      <c r="K63" s="312"/>
      <c r="L63" s="316">
        <v>0</v>
      </c>
      <c r="M63" s="312"/>
      <c r="N63" s="313" t="s">
        <v>113</v>
      </c>
      <c r="O63" s="314">
        <v>0</v>
      </c>
      <c r="P63" s="315"/>
    </row>
    <row r="64" spans="1:17" ht="17.25" thickTop="1" thickBot="1" x14ac:dyDescent="0.3">
      <c r="B64" s="149">
        <v>42907</v>
      </c>
      <c r="C64" s="140">
        <v>520</v>
      </c>
      <c r="D64" s="149" t="s">
        <v>167</v>
      </c>
      <c r="E64"/>
      <c r="K64" s="177"/>
      <c r="L64" s="308">
        <f>SUM(L54:L63)</f>
        <v>332730.49999999994</v>
      </c>
      <c r="M64" s="178"/>
      <c r="N64" s="179"/>
      <c r="O64" s="307">
        <f>SUM(O54:O63)</f>
        <v>332730.5</v>
      </c>
      <c r="P64" s="181"/>
    </row>
    <row r="65" spans="2:16" ht="15.75" x14ac:dyDescent="0.25">
      <c r="B65" s="149">
        <v>42908</v>
      </c>
      <c r="C65" s="140">
        <v>20</v>
      </c>
      <c r="D65" s="149" t="s">
        <v>508</v>
      </c>
      <c r="E65"/>
      <c r="J65" s="164"/>
      <c r="K65" s="176"/>
      <c r="L65" s="36"/>
      <c r="M65" s="100"/>
      <c r="N65" s="244"/>
      <c r="O65" s="306"/>
      <c r="P65" s="245"/>
    </row>
    <row r="66" spans="2:16" x14ac:dyDescent="0.25">
      <c r="B66" s="149">
        <v>42909</v>
      </c>
      <c r="C66" s="140">
        <v>249</v>
      </c>
      <c r="D66" s="149" t="s">
        <v>104</v>
      </c>
      <c r="E66"/>
    </row>
    <row r="67" spans="2:16" x14ac:dyDescent="0.25">
      <c r="B67" s="149">
        <v>42910</v>
      </c>
      <c r="C67" s="140">
        <v>756.5</v>
      </c>
      <c r="D67" s="149" t="s">
        <v>97</v>
      </c>
      <c r="E67"/>
    </row>
    <row r="68" spans="2:16" ht="15.75" x14ac:dyDescent="0.25">
      <c r="B68" s="149">
        <v>42911</v>
      </c>
      <c r="D68"/>
      <c r="E68"/>
      <c r="J68" s="248"/>
      <c r="K68" s="176"/>
      <c r="L68" s="36"/>
      <c r="M68" s="246"/>
      <c r="N68" s="244"/>
      <c r="O68" s="306"/>
      <c r="P68" s="245"/>
    </row>
    <row r="69" spans="2:16" ht="15.75" x14ac:dyDescent="0.25">
      <c r="B69" s="149">
        <v>42912</v>
      </c>
      <c r="C69" s="164"/>
      <c r="D69"/>
      <c r="E69"/>
      <c r="J69" s="248"/>
      <c r="K69" s="176"/>
      <c r="L69" s="36"/>
      <c r="M69" s="100"/>
      <c r="N69" s="244"/>
      <c r="O69" s="306"/>
      <c r="P69" s="245"/>
    </row>
    <row r="70" spans="2:16" x14ac:dyDescent="0.25">
      <c r="B70" s="149">
        <v>42913</v>
      </c>
    </row>
    <row r="71" spans="2:16" x14ac:dyDescent="0.25">
      <c r="B71" s="149">
        <v>42914</v>
      </c>
    </row>
    <row r="72" spans="2:16" x14ac:dyDescent="0.25">
      <c r="B72" s="149">
        <v>42915</v>
      </c>
    </row>
    <row r="73" spans="2:16" x14ac:dyDescent="0.25">
      <c r="B73" s="149">
        <v>42916</v>
      </c>
    </row>
    <row r="74" spans="2:16" x14ac:dyDescent="0.25">
      <c r="B74" s="149"/>
    </row>
    <row r="75" spans="2:16" x14ac:dyDescent="0.25">
      <c r="B75" s="149"/>
    </row>
    <row r="76" spans="2:16" ht="18.75" x14ac:dyDescent="0.3">
      <c r="C76" s="215">
        <f>SUM(C47:C75)</f>
        <v>8727.9</v>
      </c>
    </row>
  </sheetData>
  <sortState ref="J57:L64">
    <sortCondition ref="K57:K64"/>
  </sortState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76"/>
  <sheetViews>
    <sheetView topLeftCell="L1" workbookViewId="0">
      <selection activeCell="AA19" sqref="AA19"/>
    </sheetView>
  </sheetViews>
  <sheetFormatPr baseColWidth="10" defaultRowHeight="15" x14ac:dyDescent="0.25"/>
  <cols>
    <col min="1" max="1" width="13" bestFit="1" customWidth="1"/>
    <col min="3" max="3" width="14.140625" bestFit="1" customWidth="1"/>
    <col min="5" max="5" width="14.140625" bestFit="1" customWidth="1"/>
    <col min="10" max="10" width="13.85546875" bestFit="1" customWidth="1"/>
    <col min="12" max="12" width="20.28515625" customWidth="1"/>
    <col min="15" max="15" width="20.140625" bestFit="1" customWidth="1"/>
    <col min="16" max="16" width="12.7109375" bestFit="1" customWidth="1"/>
    <col min="20" max="20" width="13.7109375" customWidth="1"/>
    <col min="22" max="22" width="14" customWidth="1"/>
    <col min="25" max="25" width="16" customWidth="1"/>
    <col min="26" max="26" width="13.5703125" customWidth="1"/>
  </cols>
  <sheetData>
    <row r="1" spans="1:26" ht="19.5" thickBot="1" x14ac:dyDescent="0.35">
      <c r="A1" s="44"/>
      <c r="B1" s="118" t="s">
        <v>72</v>
      </c>
      <c r="C1" s="119"/>
      <c r="D1" s="120"/>
      <c r="E1" s="119"/>
      <c r="F1" s="121"/>
      <c r="K1" t="s">
        <v>64</v>
      </c>
      <c r="L1" s="154" t="s">
        <v>105</v>
      </c>
      <c r="M1" s="155"/>
      <c r="N1" s="156"/>
      <c r="O1" s="157">
        <v>42749</v>
      </c>
      <c r="P1" s="158"/>
      <c r="U1" t="s">
        <v>64</v>
      </c>
      <c r="V1" s="154" t="s">
        <v>105</v>
      </c>
      <c r="W1" s="155"/>
      <c r="X1" s="156"/>
      <c r="Y1" s="182">
        <v>42765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42738</v>
      </c>
      <c r="B3" s="126" t="s">
        <v>73</v>
      </c>
      <c r="C3" s="36">
        <v>33648.699999999997</v>
      </c>
      <c r="D3" s="127">
        <v>42749</v>
      </c>
      <c r="E3" s="36">
        <v>33648.699999999997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42739</v>
      </c>
      <c r="B4" s="126" t="s">
        <v>74</v>
      </c>
      <c r="C4" s="130">
        <v>36932.800000000003</v>
      </c>
      <c r="D4" s="127">
        <v>42749</v>
      </c>
      <c r="E4" s="130">
        <v>36932.800000000003</v>
      </c>
      <c r="F4" s="131">
        <f>C4-E4</f>
        <v>0</v>
      </c>
      <c r="J4" s="164">
        <v>34337.14</v>
      </c>
      <c r="K4" s="126" t="s">
        <v>110</v>
      </c>
      <c r="L4" s="130">
        <v>29880.36</v>
      </c>
      <c r="M4" s="165" t="s">
        <v>111</v>
      </c>
      <c r="N4" s="166">
        <v>3378318</v>
      </c>
      <c r="O4" s="167">
        <v>116300</v>
      </c>
      <c r="P4" s="168">
        <v>42728</v>
      </c>
      <c r="T4" s="164">
        <f>43317+20198.54</f>
        <v>63515.54</v>
      </c>
      <c r="U4" s="126" t="s">
        <v>79</v>
      </c>
      <c r="V4" s="130">
        <v>62984.800000000003</v>
      </c>
      <c r="W4" s="165" t="s">
        <v>111</v>
      </c>
      <c r="X4" s="166" t="s">
        <v>113</v>
      </c>
      <c r="Y4" s="167">
        <v>43317</v>
      </c>
      <c r="Z4" s="168">
        <v>42758</v>
      </c>
    </row>
    <row r="5" spans="1:26" ht="15.75" x14ac:dyDescent="0.25">
      <c r="A5" s="129">
        <v>42740</v>
      </c>
      <c r="B5" s="132" t="s">
        <v>75</v>
      </c>
      <c r="C5" s="36">
        <v>120457.54</v>
      </c>
      <c r="D5" s="133" t="s">
        <v>76</v>
      </c>
      <c r="E5" s="36">
        <f>5489.44+114968.1</f>
        <v>120457.54000000001</v>
      </c>
      <c r="F5" s="131">
        <f>C5-E5</f>
        <v>0</v>
      </c>
      <c r="J5" s="164">
        <v>16463</v>
      </c>
      <c r="K5" s="126" t="s">
        <v>112</v>
      </c>
      <c r="L5" s="130">
        <v>16463</v>
      </c>
      <c r="M5" s="165"/>
      <c r="N5" s="166" t="s">
        <v>113</v>
      </c>
      <c r="O5" s="167">
        <v>7700</v>
      </c>
      <c r="P5" s="168">
        <v>42731</v>
      </c>
      <c r="T5" s="164">
        <v>13659.8</v>
      </c>
      <c r="U5" s="126" t="s">
        <v>82</v>
      </c>
      <c r="V5" s="130">
        <v>13659.8</v>
      </c>
      <c r="W5" s="165"/>
      <c r="X5" s="166" t="s">
        <v>113</v>
      </c>
      <c r="Y5" s="167">
        <v>58210.5</v>
      </c>
      <c r="Z5" s="168">
        <v>42758</v>
      </c>
    </row>
    <row r="6" spans="1:26" ht="15.75" x14ac:dyDescent="0.25">
      <c r="A6" s="134">
        <v>42743</v>
      </c>
      <c r="B6" s="126" t="s">
        <v>77</v>
      </c>
      <c r="C6" s="36">
        <v>102030.76</v>
      </c>
      <c r="D6" s="127">
        <v>42756</v>
      </c>
      <c r="E6" s="36">
        <v>102030.76</v>
      </c>
      <c r="F6" s="131">
        <f>C6-E6</f>
        <v>0</v>
      </c>
      <c r="J6" s="140">
        <f>65500+7700+29500+33500+47403.48</f>
        <v>183603.48</v>
      </c>
      <c r="K6" s="126" t="s">
        <v>114</v>
      </c>
      <c r="L6" s="130">
        <v>183603.48</v>
      </c>
      <c r="M6" s="165"/>
      <c r="N6" s="166" t="s">
        <v>113</v>
      </c>
      <c r="O6" s="167">
        <v>23965</v>
      </c>
      <c r="P6" s="168">
        <v>42732</v>
      </c>
      <c r="T6" s="140">
        <f>8428.33+27566.87</f>
        <v>35995.199999999997</v>
      </c>
      <c r="U6" s="126" t="s">
        <v>83</v>
      </c>
      <c r="V6" s="130">
        <v>35995.199999999997</v>
      </c>
      <c r="W6" s="165"/>
      <c r="X6" s="166" t="s">
        <v>113</v>
      </c>
      <c r="Y6" s="167">
        <v>8409</v>
      </c>
      <c r="Z6" s="168">
        <v>42754</v>
      </c>
    </row>
    <row r="7" spans="1:26" ht="15.75" x14ac:dyDescent="0.25">
      <c r="A7" s="129">
        <v>42746</v>
      </c>
      <c r="B7" s="126" t="s">
        <v>78</v>
      </c>
      <c r="C7" s="130">
        <v>37947.9</v>
      </c>
      <c r="D7" s="127">
        <v>42756</v>
      </c>
      <c r="E7" s="130">
        <v>37947.9</v>
      </c>
      <c r="F7" s="131">
        <f t="shared" ref="F7:F50" si="0">C7-E7</f>
        <v>0</v>
      </c>
      <c r="J7" s="140">
        <v>1159.2</v>
      </c>
      <c r="K7" s="126" t="s">
        <v>115</v>
      </c>
      <c r="L7" s="130">
        <v>1159.2</v>
      </c>
      <c r="M7" s="165"/>
      <c r="N7" s="166" t="s">
        <v>113</v>
      </c>
      <c r="O7" s="167">
        <v>5535</v>
      </c>
      <c r="P7" s="168">
        <v>42730</v>
      </c>
      <c r="T7" s="140">
        <f>8408.72+8515.36+24351.89+28285.25</f>
        <v>69561.22</v>
      </c>
      <c r="U7" s="126" t="s">
        <v>84</v>
      </c>
      <c r="V7" s="130">
        <v>69561.22</v>
      </c>
      <c r="W7" s="165"/>
      <c r="X7" s="166" t="s">
        <v>113</v>
      </c>
      <c r="Y7" s="167">
        <v>8515.5</v>
      </c>
      <c r="Z7" s="168">
        <v>42752</v>
      </c>
    </row>
    <row r="8" spans="1:26" ht="15.75" x14ac:dyDescent="0.25">
      <c r="A8" s="129">
        <v>42747</v>
      </c>
      <c r="B8" s="126" t="s">
        <v>79</v>
      </c>
      <c r="C8" s="130">
        <v>77436.040999999997</v>
      </c>
      <c r="D8" s="127" t="s">
        <v>80</v>
      </c>
      <c r="E8" s="130">
        <f>14451.24+62984.8</f>
        <v>77436.040000000008</v>
      </c>
      <c r="F8" s="131">
        <f t="shared" si="0"/>
        <v>9.9999998928979039E-4</v>
      </c>
      <c r="J8" s="140">
        <f>3519.5+10932.16+1257.32+24487.13+13500+78146.32</f>
        <v>131842.43</v>
      </c>
      <c r="K8" s="126" t="s">
        <v>116</v>
      </c>
      <c r="L8" s="130">
        <v>131842.43</v>
      </c>
      <c r="M8" s="165"/>
      <c r="N8" s="166" t="s">
        <v>113</v>
      </c>
      <c r="O8" s="167">
        <v>33500</v>
      </c>
      <c r="P8" s="168">
        <v>42733</v>
      </c>
      <c r="T8" s="140">
        <f>6257.39+28505.43+37135.17+29522+30497.68</f>
        <v>131917.66999999998</v>
      </c>
      <c r="U8" s="126" t="s">
        <v>85</v>
      </c>
      <c r="V8" s="130">
        <v>131798.07</v>
      </c>
      <c r="W8" s="165"/>
      <c r="X8" s="166" t="s">
        <v>113</v>
      </c>
      <c r="Y8" s="167">
        <v>36713</v>
      </c>
      <c r="Z8" s="168">
        <v>42758</v>
      </c>
    </row>
    <row r="9" spans="1:26" ht="15.75" x14ac:dyDescent="0.25">
      <c r="A9" s="129">
        <v>42747</v>
      </c>
      <c r="B9" s="126" t="s">
        <v>81</v>
      </c>
      <c r="C9" s="130">
        <v>4800</v>
      </c>
      <c r="D9" s="133">
        <v>42756</v>
      </c>
      <c r="E9" s="130">
        <v>4800</v>
      </c>
      <c r="F9" s="131">
        <f t="shared" si="0"/>
        <v>0</v>
      </c>
      <c r="J9" s="140">
        <v>18188.599999999999</v>
      </c>
      <c r="K9" s="126" t="s">
        <v>117</v>
      </c>
      <c r="L9" s="130">
        <v>18188.599999999999</v>
      </c>
      <c r="M9" s="165"/>
      <c r="N9" s="166" t="s">
        <v>113</v>
      </c>
      <c r="O9" s="167">
        <v>62062</v>
      </c>
      <c r="P9" s="168">
        <v>42734</v>
      </c>
      <c r="T9" s="140">
        <v>10002.700000000001</v>
      </c>
      <c r="U9" s="126" t="s">
        <v>86</v>
      </c>
      <c r="V9" s="130">
        <v>10002.700000000001</v>
      </c>
      <c r="W9" s="165"/>
      <c r="X9" s="166" t="s">
        <v>113</v>
      </c>
      <c r="Y9" s="167">
        <v>33824</v>
      </c>
      <c r="Z9" s="168">
        <v>42759</v>
      </c>
    </row>
    <row r="10" spans="1:26" ht="15.75" x14ac:dyDescent="0.25">
      <c r="A10" s="129">
        <v>42748</v>
      </c>
      <c r="B10" s="126" t="s">
        <v>82</v>
      </c>
      <c r="C10" s="130">
        <v>13659.8</v>
      </c>
      <c r="D10" s="127">
        <v>42765</v>
      </c>
      <c r="E10" s="130">
        <v>13659.8</v>
      </c>
      <c r="F10" s="131">
        <f t="shared" si="0"/>
        <v>0</v>
      </c>
      <c r="J10" s="140">
        <v>85146.73</v>
      </c>
      <c r="K10" s="126" t="s">
        <v>118</v>
      </c>
      <c r="L10" s="130">
        <v>85146.73</v>
      </c>
      <c r="M10" s="165"/>
      <c r="N10" s="166" t="s">
        <v>113</v>
      </c>
      <c r="O10" s="167">
        <v>3519.5</v>
      </c>
      <c r="P10" s="168">
        <v>42727</v>
      </c>
      <c r="T10" s="140">
        <f>19407.65+29414.38</f>
        <v>48822.03</v>
      </c>
      <c r="U10" s="126" t="s">
        <v>87</v>
      </c>
      <c r="V10" s="130">
        <v>48822.03</v>
      </c>
      <c r="W10" s="165"/>
      <c r="X10" s="166" t="s">
        <v>113</v>
      </c>
      <c r="Y10" s="167">
        <v>28505</v>
      </c>
      <c r="Z10" s="168">
        <v>42760</v>
      </c>
    </row>
    <row r="11" spans="1:26" ht="15.75" x14ac:dyDescent="0.25">
      <c r="A11" s="129">
        <v>42749</v>
      </c>
      <c r="B11" s="126" t="s">
        <v>83</v>
      </c>
      <c r="C11" s="130">
        <v>35995.199999999997</v>
      </c>
      <c r="D11" s="127">
        <v>42765</v>
      </c>
      <c r="E11" s="130">
        <v>35995.199999999997</v>
      </c>
      <c r="F11" s="135">
        <f t="shared" si="0"/>
        <v>0</v>
      </c>
      <c r="J11" s="140">
        <f>25692.2+7000.2</f>
        <v>32692.400000000001</v>
      </c>
      <c r="K11" s="126" t="s">
        <v>119</v>
      </c>
      <c r="L11" s="130">
        <v>32692.2</v>
      </c>
      <c r="M11" s="165"/>
      <c r="N11" s="166" t="s">
        <v>113</v>
      </c>
      <c r="O11" s="167">
        <v>10932</v>
      </c>
      <c r="P11" s="168">
        <v>42724</v>
      </c>
      <c r="T11" s="140">
        <f>18829.67+34891.37</f>
        <v>53721.04</v>
      </c>
      <c r="U11" s="126" t="s">
        <v>88</v>
      </c>
      <c r="V11" s="130">
        <v>53721.04</v>
      </c>
      <c r="W11" s="165"/>
      <c r="X11" s="166" t="s">
        <v>113</v>
      </c>
      <c r="Y11" s="167">
        <v>37135</v>
      </c>
      <c r="Z11" s="168">
        <v>42761</v>
      </c>
    </row>
    <row r="12" spans="1:26" ht="15.75" x14ac:dyDescent="0.25">
      <c r="A12" s="129">
        <v>42750</v>
      </c>
      <c r="B12" s="126" t="s">
        <v>84</v>
      </c>
      <c r="C12" s="130">
        <v>69561.22</v>
      </c>
      <c r="D12" s="127">
        <v>42765</v>
      </c>
      <c r="E12" s="130">
        <v>69561.22</v>
      </c>
      <c r="F12" s="135">
        <f t="shared" si="0"/>
        <v>0</v>
      </c>
      <c r="J12" s="140">
        <v>4228.8</v>
      </c>
      <c r="K12" s="126" t="s">
        <v>120</v>
      </c>
      <c r="L12" s="130">
        <v>4228.8</v>
      </c>
      <c r="M12" s="165"/>
      <c r="N12" s="166" t="s">
        <v>113</v>
      </c>
      <c r="O12" s="167">
        <v>1257.5</v>
      </c>
      <c r="P12" s="168">
        <v>42732</v>
      </c>
      <c r="T12" s="140">
        <v>3000.61</v>
      </c>
      <c r="U12" s="126" t="s">
        <v>89</v>
      </c>
      <c r="V12" s="130">
        <v>3649.64</v>
      </c>
      <c r="W12" s="183" t="s">
        <v>125</v>
      </c>
      <c r="X12" s="184" t="s">
        <v>113</v>
      </c>
      <c r="Y12" s="185">
        <v>29522</v>
      </c>
      <c r="Z12" s="186">
        <v>42762</v>
      </c>
    </row>
    <row r="13" spans="1:26" ht="15.75" x14ac:dyDescent="0.25">
      <c r="A13" s="129">
        <v>42753</v>
      </c>
      <c r="B13" s="126" t="s">
        <v>85</v>
      </c>
      <c r="C13" s="130">
        <v>131798.07</v>
      </c>
      <c r="D13" s="127">
        <v>42765</v>
      </c>
      <c r="E13" s="130">
        <v>131798.07</v>
      </c>
      <c r="F13" s="135">
        <f t="shared" si="0"/>
        <v>0</v>
      </c>
      <c r="J13" s="140">
        <v>11014.8</v>
      </c>
      <c r="K13" s="126" t="s">
        <v>121</v>
      </c>
      <c r="L13" s="130">
        <v>11014.8</v>
      </c>
      <c r="M13" s="165"/>
      <c r="N13" s="166" t="s">
        <v>113</v>
      </c>
      <c r="O13" s="167">
        <v>24487.5</v>
      </c>
      <c r="P13" s="168">
        <v>42730</v>
      </c>
      <c r="U13" s="126"/>
      <c r="V13" s="130">
        <v>0</v>
      </c>
      <c r="W13" s="187"/>
      <c r="X13" s="184" t="s">
        <v>113</v>
      </c>
      <c r="Y13" s="188">
        <v>59908.5</v>
      </c>
      <c r="Z13" s="186">
        <v>42765</v>
      </c>
    </row>
    <row r="14" spans="1:26" ht="15.75" x14ac:dyDescent="0.25">
      <c r="A14" s="129">
        <v>42754</v>
      </c>
      <c r="B14" s="126" t="s">
        <v>86</v>
      </c>
      <c r="C14" s="130">
        <v>10002.700000000001</v>
      </c>
      <c r="D14" s="127">
        <v>42765</v>
      </c>
      <c r="E14" s="130">
        <v>10002.700000000001</v>
      </c>
      <c r="F14" s="135">
        <f t="shared" si="0"/>
        <v>0</v>
      </c>
      <c r="J14" s="140">
        <f>27700+7003+5170+18500+26465.55+19000+26000+11523</f>
        <v>141361.54999999999</v>
      </c>
      <c r="K14" s="126" t="s">
        <v>122</v>
      </c>
      <c r="L14" s="130">
        <v>141361.57</v>
      </c>
      <c r="M14" s="165"/>
      <c r="N14" s="166" t="s">
        <v>113</v>
      </c>
      <c r="O14" s="167">
        <v>122026.5</v>
      </c>
      <c r="P14" s="168">
        <v>42734</v>
      </c>
      <c r="U14" s="126"/>
      <c r="V14" s="130">
        <v>0</v>
      </c>
      <c r="W14" s="187"/>
      <c r="X14" s="184" t="s">
        <v>113</v>
      </c>
      <c r="Y14" s="188">
        <v>48243.5</v>
      </c>
      <c r="Z14" s="186">
        <v>42765</v>
      </c>
    </row>
    <row r="15" spans="1:26" ht="15.75" x14ac:dyDescent="0.25">
      <c r="A15" s="129">
        <v>42756</v>
      </c>
      <c r="B15" s="126" t="s">
        <v>87</v>
      </c>
      <c r="C15" s="130">
        <v>48822.03</v>
      </c>
      <c r="D15" s="127">
        <v>42765</v>
      </c>
      <c r="E15" s="130">
        <v>48822.03</v>
      </c>
      <c r="F15" s="135">
        <f t="shared" si="0"/>
        <v>0</v>
      </c>
      <c r="J15" s="140">
        <f>43300+12031+51876.15+43169+31879.13+7916.79</f>
        <v>190172.07</v>
      </c>
      <c r="K15" s="126" t="s">
        <v>123</v>
      </c>
      <c r="L15" s="130">
        <v>190171.7</v>
      </c>
      <c r="M15" s="165"/>
      <c r="N15" s="166" t="s">
        <v>113</v>
      </c>
      <c r="O15" s="167">
        <v>124076</v>
      </c>
      <c r="P15" s="168">
        <v>42737</v>
      </c>
      <c r="T15" s="140"/>
      <c r="U15" s="126"/>
      <c r="V15" s="130">
        <v>0</v>
      </c>
      <c r="W15" s="165"/>
      <c r="X15" s="184" t="s">
        <v>113</v>
      </c>
      <c r="Y15" s="189">
        <v>37891.5</v>
      </c>
      <c r="Z15" s="186">
        <v>42765</v>
      </c>
    </row>
    <row r="16" spans="1:26" ht="15.75" x14ac:dyDescent="0.25">
      <c r="A16" s="129">
        <v>42757</v>
      </c>
      <c r="B16" s="126" t="s">
        <v>88</v>
      </c>
      <c r="C16" s="130">
        <v>53721.04</v>
      </c>
      <c r="D16" s="127">
        <v>42765</v>
      </c>
      <c r="E16" s="130">
        <v>53721.04</v>
      </c>
      <c r="F16" s="135">
        <f t="shared" si="0"/>
        <v>0</v>
      </c>
      <c r="J16" s="140">
        <f>13708.83+11482.37</f>
        <v>25191.200000000001</v>
      </c>
      <c r="K16" s="126" t="s">
        <v>124</v>
      </c>
      <c r="L16" s="130">
        <v>25191.200000000001</v>
      </c>
      <c r="M16" s="165"/>
      <c r="N16" s="166" t="s">
        <v>113</v>
      </c>
      <c r="O16" s="167">
        <v>11015</v>
      </c>
      <c r="P16" s="168">
        <v>42738</v>
      </c>
      <c r="U16" s="187"/>
      <c r="V16" s="209">
        <v>0</v>
      </c>
      <c r="W16" s="187"/>
      <c r="X16" s="184" t="s">
        <v>113</v>
      </c>
      <c r="Y16" s="188">
        <v>0</v>
      </c>
      <c r="Z16" s="186"/>
    </row>
    <row r="17" spans="1:26" ht="15.75" x14ac:dyDescent="0.25">
      <c r="A17" s="129">
        <v>42758</v>
      </c>
      <c r="B17" s="126" t="s">
        <v>89</v>
      </c>
      <c r="C17" s="130">
        <v>33530</v>
      </c>
      <c r="D17" s="136" t="s">
        <v>90</v>
      </c>
      <c r="E17" s="137">
        <f>3649.64+29880.36</f>
        <v>33530</v>
      </c>
      <c r="F17" s="135">
        <f t="shared" si="0"/>
        <v>0</v>
      </c>
      <c r="J17" s="140">
        <f>5163.16+15958.6+9440.68+3086.26</f>
        <v>33648.700000000004</v>
      </c>
      <c r="K17" s="126" t="s">
        <v>73</v>
      </c>
      <c r="L17" s="36">
        <v>33648.699999999997</v>
      </c>
      <c r="M17" s="165"/>
      <c r="N17" s="166" t="s">
        <v>113</v>
      </c>
      <c r="O17" s="167">
        <v>18500</v>
      </c>
      <c r="P17" s="168">
        <v>42738</v>
      </c>
      <c r="U17" s="187"/>
      <c r="V17" s="209">
        <v>0</v>
      </c>
      <c r="W17" s="187"/>
      <c r="X17" s="184" t="s">
        <v>113</v>
      </c>
      <c r="Y17" s="188">
        <v>0</v>
      </c>
      <c r="Z17" s="186"/>
    </row>
    <row r="18" spans="1:26" ht="16.5" thickBot="1" x14ac:dyDescent="0.3">
      <c r="A18" s="129">
        <v>42759</v>
      </c>
      <c r="B18" s="126" t="s">
        <v>91</v>
      </c>
      <c r="C18" s="130">
        <v>42260.1</v>
      </c>
      <c r="D18" s="138">
        <v>42780</v>
      </c>
      <c r="E18" s="137">
        <v>42260.1</v>
      </c>
      <c r="F18" s="135">
        <f t="shared" si="0"/>
        <v>0</v>
      </c>
      <c r="J18" s="140">
        <f>4819.82+32113</f>
        <v>36932.82</v>
      </c>
      <c r="K18" s="126" t="s">
        <v>74</v>
      </c>
      <c r="L18" s="130">
        <v>36932.800000000003</v>
      </c>
      <c r="M18" s="165"/>
      <c r="N18" s="166" t="s">
        <v>113</v>
      </c>
      <c r="O18" s="167">
        <v>7003</v>
      </c>
      <c r="P18" s="168">
        <v>42734</v>
      </c>
      <c r="T18" s="153"/>
      <c r="U18" s="171"/>
      <c r="V18" s="172">
        <v>0</v>
      </c>
      <c r="W18" s="171"/>
      <c r="X18" s="173" t="s">
        <v>113</v>
      </c>
      <c r="Y18" s="190">
        <v>0</v>
      </c>
      <c r="Z18" s="186"/>
    </row>
    <row r="19" spans="1:26" ht="16.5" thickBot="1" x14ac:dyDescent="0.3">
      <c r="A19" s="129">
        <v>42760</v>
      </c>
      <c r="B19" s="126" t="s">
        <v>92</v>
      </c>
      <c r="C19" s="130">
        <v>48906.53</v>
      </c>
      <c r="D19" s="138">
        <v>42780</v>
      </c>
      <c r="E19" s="137">
        <v>48906.53</v>
      </c>
      <c r="F19" s="135">
        <f t="shared" si="0"/>
        <v>0</v>
      </c>
      <c r="J19" s="140">
        <v>4957.59</v>
      </c>
      <c r="K19" s="132" t="s">
        <v>75</v>
      </c>
      <c r="L19" s="36">
        <v>5489.44</v>
      </c>
      <c r="M19" s="165" t="s">
        <v>125</v>
      </c>
      <c r="N19" s="166" t="s">
        <v>113</v>
      </c>
      <c r="O19" s="167">
        <v>5170</v>
      </c>
      <c r="P19" s="168">
        <v>42733</v>
      </c>
      <c r="T19" s="177">
        <f>SUM(T4:T18)</f>
        <v>430195.81</v>
      </c>
      <c r="U19" s="177"/>
      <c r="V19" s="177">
        <f>SUM(V4:V18)</f>
        <v>430194.50000000006</v>
      </c>
      <c r="W19" s="178"/>
      <c r="X19" s="179"/>
      <c r="Y19" s="180">
        <f>SUM(Y4:Y18)</f>
        <v>430194.5</v>
      </c>
      <c r="Z19" s="181"/>
    </row>
    <row r="20" spans="1:26" ht="15.75" x14ac:dyDescent="0.25">
      <c r="A20" s="129">
        <v>42761</v>
      </c>
      <c r="B20" s="126" t="s">
        <v>93</v>
      </c>
      <c r="C20" s="130">
        <v>38425.1</v>
      </c>
      <c r="D20" s="138">
        <v>42780</v>
      </c>
      <c r="E20" s="137">
        <v>38425.1</v>
      </c>
      <c r="F20" s="135">
        <f t="shared" si="0"/>
        <v>0</v>
      </c>
      <c r="J20" s="140"/>
      <c r="K20" s="126"/>
      <c r="L20" s="36"/>
      <c r="M20" s="165"/>
      <c r="N20" s="166" t="s">
        <v>113</v>
      </c>
      <c r="O20" s="167">
        <v>19000</v>
      </c>
      <c r="P20" s="168">
        <v>42739</v>
      </c>
    </row>
    <row r="21" spans="1:26" ht="15.75" x14ac:dyDescent="0.25">
      <c r="A21" s="129">
        <v>42762</v>
      </c>
      <c r="B21" s="126" t="s">
        <v>94</v>
      </c>
      <c r="C21" s="130">
        <v>23513.279999999999</v>
      </c>
      <c r="D21" s="138">
        <v>42780</v>
      </c>
      <c r="E21" s="137">
        <v>23513.279999999999</v>
      </c>
      <c r="F21" s="135">
        <f t="shared" si="0"/>
        <v>0</v>
      </c>
      <c r="J21" s="140"/>
      <c r="K21" s="126"/>
      <c r="L21" s="36"/>
      <c r="M21" s="165"/>
      <c r="N21" s="166" t="s">
        <v>113</v>
      </c>
      <c r="O21" s="167">
        <v>26465.55</v>
      </c>
      <c r="P21" s="168">
        <v>42739</v>
      </c>
    </row>
    <row r="22" spans="1:26" ht="15.75" x14ac:dyDescent="0.25">
      <c r="A22" s="129">
        <v>42765</v>
      </c>
      <c r="B22" s="126" t="s">
        <v>95</v>
      </c>
      <c r="C22" s="130">
        <v>151174.9</v>
      </c>
      <c r="D22" s="138">
        <v>42780</v>
      </c>
      <c r="E22" s="137">
        <v>151174.9</v>
      </c>
      <c r="F22" s="135">
        <f t="shared" si="0"/>
        <v>0</v>
      </c>
      <c r="J22" s="140"/>
      <c r="K22" s="126"/>
      <c r="L22" s="36"/>
      <c r="M22" s="165"/>
      <c r="N22" s="166" t="s">
        <v>113</v>
      </c>
      <c r="O22" s="167">
        <v>26000</v>
      </c>
      <c r="P22" s="168">
        <v>42740</v>
      </c>
    </row>
    <row r="23" spans="1:26" ht="15.75" x14ac:dyDescent="0.25">
      <c r="A23" s="129">
        <v>42763</v>
      </c>
      <c r="B23" s="126" t="s">
        <v>96</v>
      </c>
      <c r="C23" s="130">
        <v>62978.38</v>
      </c>
      <c r="D23" s="138">
        <v>42780</v>
      </c>
      <c r="E23" s="137">
        <v>62978.38</v>
      </c>
      <c r="F23" s="135">
        <f t="shared" si="0"/>
        <v>0</v>
      </c>
      <c r="J23" s="140"/>
      <c r="K23" s="126"/>
      <c r="L23" s="36"/>
      <c r="M23" s="165"/>
      <c r="N23" s="166">
        <v>3378330</v>
      </c>
      <c r="O23" s="167">
        <v>54823</v>
      </c>
      <c r="P23" s="168">
        <v>42740</v>
      </c>
    </row>
    <row r="24" spans="1:26" ht="15.75" x14ac:dyDescent="0.25">
      <c r="A24" s="129"/>
      <c r="B24" s="126"/>
      <c r="C24" s="130"/>
      <c r="D24" s="127"/>
      <c r="E24" s="130"/>
      <c r="F24" s="135">
        <f t="shared" si="0"/>
        <v>0</v>
      </c>
      <c r="J24" s="140"/>
      <c r="K24" s="126"/>
      <c r="L24" s="130"/>
      <c r="M24" s="165"/>
      <c r="N24" s="166" t="s">
        <v>113</v>
      </c>
      <c r="O24" s="167">
        <v>12031</v>
      </c>
      <c r="P24" s="168">
        <v>42744</v>
      </c>
    </row>
    <row r="25" spans="1:26" ht="15.75" x14ac:dyDescent="0.25">
      <c r="A25" s="129"/>
      <c r="B25" s="126"/>
      <c r="C25" s="130"/>
      <c r="D25" s="127"/>
      <c r="E25" s="130"/>
      <c r="F25" s="135">
        <f t="shared" si="0"/>
        <v>0</v>
      </c>
      <c r="J25" s="140"/>
      <c r="K25" s="132"/>
      <c r="L25" s="36"/>
      <c r="M25" s="165"/>
      <c r="N25" s="166" t="s">
        <v>113</v>
      </c>
      <c r="O25" s="167">
        <v>51876</v>
      </c>
      <c r="P25" s="168">
        <v>42744</v>
      </c>
    </row>
    <row r="26" spans="1:26" ht="15.75" x14ac:dyDescent="0.25">
      <c r="A26" s="129"/>
      <c r="B26" s="126"/>
      <c r="C26" s="130"/>
      <c r="D26" s="127"/>
      <c r="E26" s="130"/>
      <c r="F26" s="135">
        <f t="shared" si="0"/>
        <v>0</v>
      </c>
      <c r="J26" s="140"/>
      <c r="K26" s="126"/>
      <c r="L26" s="36"/>
      <c r="M26" s="165"/>
      <c r="N26" s="166" t="s">
        <v>113</v>
      </c>
      <c r="O26" s="167">
        <v>43169</v>
      </c>
      <c r="P26" s="168">
        <v>42744</v>
      </c>
    </row>
    <row r="27" spans="1:26" ht="15.75" x14ac:dyDescent="0.25">
      <c r="A27" s="129"/>
      <c r="B27" s="126"/>
      <c r="C27" s="130"/>
      <c r="D27" s="127"/>
      <c r="E27" s="130"/>
      <c r="F27" s="135">
        <f t="shared" si="0"/>
        <v>0</v>
      </c>
      <c r="J27" s="140"/>
      <c r="K27" s="126"/>
      <c r="L27" s="130"/>
      <c r="M27" s="165"/>
      <c r="N27" s="166" t="s">
        <v>113</v>
      </c>
      <c r="O27" s="167">
        <v>31879</v>
      </c>
      <c r="P27" s="168">
        <v>42745</v>
      </c>
    </row>
    <row r="28" spans="1:26" ht="15.75" x14ac:dyDescent="0.25">
      <c r="A28" s="129"/>
      <c r="B28" s="126"/>
      <c r="C28" s="130"/>
      <c r="D28" s="127"/>
      <c r="E28" s="130"/>
      <c r="F28" s="135">
        <f t="shared" si="0"/>
        <v>0</v>
      </c>
      <c r="J28" s="140"/>
      <c r="K28" s="126"/>
      <c r="L28" s="130"/>
      <c r="M28" s="165"/>
      <c r="N28" s="166" t="s">
        <v>113</v>
      </c>
      <c r="O28" s="167">
        <v>21626</v>
      </c>
      <c r="P28" s="168">
        <v>42746</v>
      </c>
    </row>
    <row r="29" spans="1:26" ht="15.75" x14ac:dyDescent="0.25">
      <c r="A29" s="129"/>
      <c r="B29" s="126"/>
      <c r="C29" s="130"/>
      <c r="D29" s="127"/>
      <c r="E29" s="130"/>
      <c r="F29" s="135">
        <f t="shared" si="0"/>
        <v>0</v>
      </c>
      <c r="J29" s="140"/>
      <c r="K29" s="126"/>
      <c r="L29" s="130"/>
      <c r="M29" s="165"/>
      <c r="N29" s="166" t="s">
        <v>113</v>
      </c>
      <c r="O29" s="167">
        <v>19387</v>
      </c>
      <c r="P29" s="168">
        <v>42747</v>
      </c>
    </row>
    <row r="30" spans="1:26" ht="15.75" x14ac:dyDescent="0.25">
      <c r="A30" s="129"/>
      <c r="B30" s="126"/>
      <c r="C30" s="130"/>
      <c r="D30" s="127"/>
      <c r="E30" s="130"/>
      <c r="F30" s="135">
        <f t="shared" si="0"/>
        <v>0</v>
      </c>
      <c r="J30" s="140"/>
      <c r="K30" s="126"/>
      <c r="L30" s="130"/>
      <c r="M30" s="165"/>
      <c r="N30" s="166" t="s">
        <v>113</v>
      </c>
      <c r="O30" s="167">
        <v>5164</v>
      </c>
      <c r="P30" s="168">
        <v>42744</v>
      </c>
    </row>
    <row r="31" spans="1:26" ht="15.75" x14ac:dyDescent="0.25">
      <c r="A31" s="129"/>
      <c r="B31" s="126"/>
      <c r="C31" s="130"/>
      <c r="D31" s="127"/>
      <c r="E31" s="130"/>
      <c r="F31" s="135">
        <f t="shared" si="0"/>
        <v>0</v>
      </c>
      <c r="J31" s="140"/>
      <c r="K31" s="126"/>
      <c r="L31" s="130"/>
      <c r="M31" s="165"/>
      <c r="N31" s="166" t="s">
        <v>113</v>
      </c>
      <c r="O31" s="167">
        <v>15959</v>
      </c>
      <c r="P31" s="168">
        <v>42739</v>
      </c>
    </row>
    <row r="32" spans="1:26" ht="15.75" x14ac:dyDescent="0.25">
      <c r="A32" s="129"/>
      <c r="B32" s="126"/>
      <c r="C32" s="130"/>
      <c r="D32" s="127"/>
      <c r="E32" s="130"/>
      <c r="F32" s="135">
        <f t="shared" si="0"/>
        <v>0</v>
      </c>
      <c r="J32" s="140"/>
      <c r="K32" s="126"/>
      <c r="L32" s="130"/>
      <c r="M32" s="169"/>
      <c r="N32" s="166" t="s">
        <v>113</v>
      </c>
      <c r="O32" s="167">
        <v>9441</v>
      </c>
      <c r="P32" s="168">
        <v>42737</v>
      </c>
    </row>
    <row r="33" spans="1:16" ht="15.75" x14ac:dyDescent="0.25">
      <c r="A33" s="129"/>
      <c r="B33" s="126"/>
      <c r="C33" s="130"/>
      <c r="D33" s="127"/>
      <c r="E33" s="130"/>
      <c r="F33" s="135">
        <f t="shared" si="0"/>
        <v>0</v>
      </c>
      <c r="J33" s="140"/>
      <c r="K33" s="126"/>
      <c r="L33" s="130"/>
      <c r="M33" s="170"/>
      <c r="N33" s="166" t="s">
        <v>113</v>
      </c>
      <c r="O33" s="167">
        <v>37070.5</v>
      </c>
      <c r="P33" s="168">
        <v>42748</v>
      </c>
    </row>
    <row r="34" spans="1:16" ht="16.5" thickBot="1" x14ac:dyDescent="0.3">
      <c r="A34" s="129"/>
      <c r="B34" s="126"/>
      <c r="C34" s="130"/>
      <c r="D34" s="127"/>
      <c r="E34" s="130"/>
      <c r="F34" s="135">
        <f t="shared" si="0"/>
        <v>0</v>
      </c>
      <c r="J34" s="153">
        <f>SUM(J4:J33)</f>
        <v>950940.50999999978</v>
      </c>
      <c r="K34" s="171"/>
      <c r="L34" s="172">
        <v>0</v>
      </c>
      <c r="M34" s="171"/>
      <c r="N34" s="173" t="s">
        <v>113</v>
      </c>
      <c r="O34" s="174"/>
      <c r="P34" s="175"/>
    </row>
    <row r="35" spans="1:16" ht="16.5" thickBot="1" x14ac:dyDescent="0.3">
      <c r="A35" s="134"/>
      <c r="B35" s="126"/>
      <c r="C35" s="130"/>
      <c r="D35" s="127"/>
      <c r="E35" s="130"/>
      <c r="F35" s="135">
        <f t="shared" si="0"/>
        <v>0</v>
      </c>
      <c r="K35" s="176"/>
      <c r="L35" s="177">
        <f>SUM(L4:L34)</f>
        <v>947015.00999999978</v>
      </c>
      <c r="M35" s="178"/>
      <c r="N35" s="179"/>
      <c r="O35" s="180">
        <f>SUM(O4:O34)</f>
        <v>950940.05</v>
      </c>
      <c r="P35" s="181"/>
    </row>
    <row r="36" spans="1:16" x14ac:dyDescent="0.25">
      <c r="A36" s="134"/>
      <c r="B36" s="126"/>
      <c r="C36" s="130"/>
      <c r="D36" s="127"/>
      <c r="E36" s="130"/>
      <c r="F36" s="139">
        <f t="shared" si="0"/>
        <v>0</v>
      </c>
    </row>
    <row r="37" spans="1:16" x14ac:dyDescent="0.25">
      <c r="A37" s="134"/>
      <c r="B37" s="126"/>
      <c r="C37" s="130"/>
      <c r="D37" s="127"/>
      <c r="E37" s="130"/>
      <c r="F37" s="139">
        <f t="shared" si="0"/>
        <v>0</v>
      </c>
    </row>
    <row r="38" spans="1:16" x14ac:dyDescent="0.25">
      <c r="A38" s="129"/>
      <c r="B38" s="126"/>
      <c r="C38" s="130"/>
      <c r="D38" s="127"/>
      <c r="E38" s="140"/>
      <c r="F38" s="141">
        <f t="shared" si="0"/>
        <v>0</v>
      </c>
    </row>
    <row r="39" spans="1:16" x14ac:dyDescent="0.25">
      <c r="A39" s="129"/>
      <c r="B39" s="126"/>
      <c r="C39" s="130"/>
      <c r="D39" s="127"/>
      <c r="E39" s="140"/>
      <c r="F39" s="141">
        <f t="shared" si="0"/>
        <v>0</v>
      </c>
    </row>
    <row r="40" spans="1:16" ht="15.75" thickBot="1" x14ac:dyDescent="0.3">
      <c r="A40" s="129"/>
      <c r="B40" s="126"/>
      <c r="C40" s="130"/>
      <c r="D40" s="127"/>
      <c r="E40" s="140"/>
      <c r="F40" s="141">
        <f t="shared" si="0"/>
        <v>0</v>
      </c>
      <c r="J40" s="37"/>
      <c r="K40" s="37"/>
      <c r="L40" s="37"/>
      <c r="M40" s="37"/>
      <c r="N40" s="37"/>
      <c r="O40" s="37"/>
      <c r="P40" s="37"/>
    </row>
    <row r="41" spans="1:16" ht="19.5" thickBot="1" x14ac:dyDescent="0.35">
      <c r="A41" s="129"/>
      <c r="B41" s="126"/>
      <c r="C41" s="130"/>
      <c r="D41" s="127"/>
      <c r="E41" s="140"/>
      <c r="F41" s="141">
        <f t="shared" si="0"/>
        <v>0</v>
      </c>
      <c r="K41" t="s">
        <v>64</v>
      </c>
      <c r="L41" s="154" t="s">
        <v>105</v>
      </c>
      <c r="M41" s="155"/>
      <c r="N41" s="156"/>
      <c r="O41" s="203">
        <v>42749</v>
      </c>
      <c r="P41" s="158"/>
    </row>
    <row r="42" spans="1:16" ht="15.75" x14ac:dyDescent="0.25">
      <c r="A42" s="129"/>
      <c r="B42" s="126"/>
      <c r="C42" s="130"/>
      <c r="D42" s="127"/>
      <c r="E42" s="140"/>
      <c r="F42" s="141">
        <f t="shared" si="0"/>
        <v>0</v>
      </c>
      <c r="K42" s="159"/>
      <c r="L42" s="160"/>
      <c r="M42" s="159"/>
      <c r="N42" s="161"/>
      <c r="O42" s="160"/>
      <c r="P42" s="162"/>
    </row>
    <row r="43" spans="1:16" ht="15.75" x14ac:dyDescent="0.25">
      <c r="A43" s="129"/>
      <c r="B43" s="126"/>
      <c r="C43" s="130"/>
      <c r="D43" s="127"/>
      <c r="E43" s="140"/>
      <c r="F43" s="141">
        <f t="shared" si="0"/>
        <v>0</v>
      </c>
      <c r="K43" s="163" t="s">
        <v>106</v>
      </c>
      <c r="L43" s="160" t="s">
        <v>107</v>
      </c>
      <c r="M43" s="159"/>
      <c r="N43" s="161" t="s">
        <v>108</v>
      </c>
      <c r="O43" s="160" t="s">
        <v>109</v>
      </c>
      <c r="P43" s="162"/>
    </row>
    <row r="44" spans="1:16" ht="15.75" x14ac:dyDescent="0.25">
      <c r="A44" s="129"/>
      <c r="B44" s="126"/>
      <c r="C44" s="130"/>
      <c r="D44" s="127"/>
      <c r="E44" s="140"/>
      <c r="F44" s="141">
        <f t="shared" si="0"/>
        <v>0</v>
      </c>
      <c r="J44" s="164">
        <f>7329.12+52698+42477+12996.17</f>
        <v>115500.29</v>
      </c>
      <c r="K44" s="126" t="s">
        <v>75</v>
      </c>
      <c r="L44" s="130">
        <v>114968.1</v>
      </c>
      <c r="M44" s="165" t="s">
        <v>111</v>
      </c>
      <c r="N44" s="166" t="s">
        <v>113</v>
      </c>
      <c r="O44" s="167">
        <v>52698</v>
      </c>
      <c r="P44" s="168">
        <v>42753</v>
      </c>
    </row>
    <row r="45" spans="1:16" ht="15.75" x14ac:dyDescent="0.25">
      <c r="A45" s="129"/>
      <c r="B45" s="126"/>
      <c r="C45" s="130"/>
      <c r="D45" s="127"/>
      <c r="E45" s="140"/>
      <c r="F45" s="141">
        <f t="shared" si="0"/>
        <v>0</v>
      </c>
      <c r="J45" s="164">
        <f>8762.22+34847.13+4089.36+34991+19340.98</f>
        <v>102030.68999999999</v>
      </c>
      <c r="K45" s="126" t="s">
        <v>77</v>
      </c>
      <c r="L45" s="130">
        <v>102030.76</v>
      </c>
      <c r="M45" s="165"/>
      <c r="N45" s="166" t="s">
        <v>113</v>
      </c>
      <c r="O45" s="167">
        <v>7329</v>
      </c>
      <c r="P45" s="168">
        <v>42745</v>
      </c>
    </row>
    <row r="46" spans="1:16" ht="15.75" x14ac:dyDescent="0.25">
      <c r="A46" s="129"/>
      <c r="B46" s="126"/>
      <c r="C46" s="130"/>
      <c r="D46" s="127"/>
      <c r="E46" s="140"/>
      <c r="F46" s="141">
        <f t="shared" si="0"/>
        <v>0</v>
      </c>
      <c r="J46" s="140">
        <f>12170.53+25777.5</f>
        <v>37948.03</v>
      </c>
      <c r="K46" s="126" t="s">
        <v>78</v>
      </c>
      <c r="L46" s="130">
        <v>37947.9</v>
      </c>
      <c r="M46" s="165"/>
      <c r="N46" s="166" t="s">
        <v>113</v>
      </c>
      <c r="O46" s="167">
        <v>42477</v>
      </c>
      <c r="P46" s="168">
        <v>42751</v>
      </c>
    </row>
    <row r="47" spans="1:16" ht="15.75" x14ac:dyDescent="0.25">
      <c r="A47" s="129"/>
      <c r="B47" s="126"/>
      <c r="C47" s="130"/>
      <c r="D47" s="127"/>
      <c r="E47" s="140"/>
      <c r="F47" s="141">
        <f t="shared" si="0"/>
        <v>0</v>
      </c>
      <c r="J47" s="140">
        <v>13920.5</v>
      </c>
      <c r="K47" s="126" t="s">
        <v>79</v>
      </c>
      <c r="L47" s="130">
        <v>14451.24</v>
      </c>
      <c r="M47" s="165" t="s">
        <v>125</v>
      </c>
      <c r="N47" s="166" t="s">
        <v>113</v>
      </c>
      <c r="O47" s="167">
        <v>21757</v>
      </c>
      <c r="P47" s="168">
        <v>42751</v>
      </c>
    </row>
    <row r="48" spans="1:16" ht="15.75" x14ac:dyDescent="0.25">
      <c r="A48" s="129"/>
      <c r="B48" s="126"/>
      <c r="C48" s="130"/>
      <c r="D48" s="127"/>
      <c r="E48" s="140"/>
      <c r="F48" s="141">
        <f t="shared" si="0"/>
        <v>0</v>
      </c>
      <c r="J48" s="140">
        <v>4800</v>
      </c>
      <c r="K48" s="126" t="s">
        <v>81</v>
      </c>
      <c r="L48" s="130">
        <v>4800</v>
      </c>
      <c r="M48" s="165"/>
      <c r="N48" s="166" t="s">
        <v>113</v>
      </c>
      <c r="O48" s="167">
        <v>34847</v>
      </c>
      <c r="P48" s="168">
        <v>42752</v>
      </c>
    </row>
    <row r="49" spans="1:16" ht="15.75" x14ac:dyDescent="0.25">
      <c r="A49" s="129"/>
      <c r="B49" s="126"/>
      <c r="C49" s="130"/>
      <c r="D49" s="127"/>
      <c r="E49" s="140"/>
      <c r="F49" s="141">
        <f t="shared" si="0"/>
        <v>0</v>
      </c>
      <c r="J49" s="140"/>
      <c r="K49" s="126"/>
      <c r="L49" s="130"/>
      <c r="M49" s="165"/>
      <c r="N49" s="166" t="s">
        <v>113</v>
      </c>
      <c r="O49" s="167">
        <v>4089.5</v>
      </c>
      <c r="P49" s="168">
        <v>42747</v>
      </c>
    </row>
    <row r="50" spans="1:16" ht="16.5" thickBot="1" x14ac:dyDescent="0.3">
      <c r="A50" s="142"/>
      <c r="B50" s="143"/>
      <c r="C50" s="144"/>
      <c r="D50" s="145"/>
      <c r="E50" s="146"/>
      <c r="F50" s="147">
        <f t="shared" si="0"/>
        <v>0</v>
      </c>
      <c r="J50" s="140"/>
      <c r="K50" s="126"/>
      <c r="L50" s="130"/>
      <c r="M50" s="165"/>
      <c r="N50" s="166" t="s">
        <v>113</v>
      </c>
      <c r="O50" s="167">
        <v>34991</v>
      </c>
      <c r="P50" s="168">
        <v>42753</v>
      </c>
    </row>
    <row r="51" spans="1:16" ht="16.5" thickTop="1" x14ac:dyDescent="0.25">
      <c r="A51" s="44"/>
      <c r="B51" s="44"/>
      <c r="C51" s="130">
        <f>SUM(C3:C50)</f>
        <v>1177602.0909999998</v>
      </c>
      <c r="D51" s="148"/>
      <c r="E51" s="140">
        <f>SUM(E3:E50)</f>
        <v>1177602.0899999999</v>
      </c>
      <c r="F51" s="130">
        <f>SUM(F3:F50)</f>
        <v>9.9999998928979039E-4</v>
      </c>
      <c r="J51" s="140"/>
      <c r="K51" s="126"/>
      <c r="L51" s="130"/>
      <c r="M51" s="165"/>
      <c r="N51" s="166" t="s">
        <v>113</v>
      </c>
      <c r="O51" s="167">
        <v>31511.5</v>
      </c>
      <c r="P51" s="168">
        <v>42754</v>
      </c>
    </row>
    <row r="52" spans="1:16" ht="15.75" x14ac:dyDescent="0.25">
      <c r="J52" s="140"/>
      <c r="K52" s="126"/>
      <c r="L52" s="130"/>
      <c r="M52" s="183"/>
      <c r="N52" s="184" t="s">
        <v>113</v>
      </c>
      <c r="O52" s="185">
        <v>44498</v>
      </c>
      <c r="P52" s="186">
        <v>42755</v>
      </c>
    </row>
    <row r="53" spans="1:16" ht="15.75" x14ac:dyDescent="0.25">
      <c r="K53" s="126"/>
      <c r="L53" s="130"/>
      <c r="M53" s="187"/>
      <c r="N53" s="184" t="s">
        <v>113</v>
      </c>
      <c r="O53" s="188"/>
      <c r="P53" s="186"/>
    </row>
    <row r="54" spans="1:16" ht="15.75" x14ac:dyDescent="0.25">
      <c r="K54" s="126"/>
      <c r="L54" s="130"/>
      <c r="M54" s="187"/>
      <c r="N54" s="184" t="s">
        <v>113</v>
      </c>
      <c r="O54" s="188"/>
      <c r="P54" s="186"/>
    </row>
    <row r="55" spans="1:16" ht="15.75" x14ac:dyDescent="0.25">
      <c r="J55" s="140"/>
      <c r="K55" s="126"/>
      <c r="L55" s="130"/>
      <c r="M55" s="165"/>
      <c r="N55" s="184" t="s">
        <v>113</v>
      </c>
      <c r="O55" s="189"/>
      <c r="P55" s="186"/>
    </row>
    <row r="56" spans="1:16" ht="15.75" x14ac:dyDescent="0.25">
      <c r="K56" s="187"/>
      <c r="L56" s="187"/>
      <c r="M56" s="187"/>
      <c r="N56" s="184" t="s">
        <v>113</v>
      </c>
      <c r="O56" s="188">
        <v>0</v>
      </c>
      <c r="P56" s="186"/>
    </row>
    <row r="57" spans="1:16" ht="15.75" x14ac:dyDescent="0.25">
      <c r="B57" s="149">
        <v>42739</v>
      </c>
      <c r="C57" s="150">
        <v>575</v>
      </c>
      <c r="D57" s="22" t="s">
        <v>97</v>
      </c>
      <c r="K57" s="187"/>
      <c r="L57" s="187"/>
      <c r="M57" s="187"/>
      <c r="N57" s="184" t="s">
        <v>113</v>
      </c>
      <c r="O57" s="188">
        <v>0</v>
      </c>
      <c r="P57" s="186"/>
    </row>
    <row r="58" spans="1:16" ht="16.5" thickBot="1" x14ac:dyDescent="0.3">
      <c r="B58" s="149">
        <v>42742</v>
      </c>
      <c r="C58" s="150">
        <v>867</v>
      </c>
      <c r="D58" s="22" t="s">
        <v>98</v>
      </c>
      <c r="J58" s="153"/>
      <c r="K58" s="171"/>
      <c r="L58" s="172">
        <v>0</v>
      </c>
      <c r="M58" s="171"/>
      <c r="N58" s="173" t="s">
        <v>113</v>
      </c>
      <c r="O58" s="190">
        <v>0</v>
      </c>
      <c r="P58" s="186"/>
    </row>
    <row r="59" spans="1:16" ht="16.5" thickBot="1" x14ac:dyDescent="0.3">
      <c r="B59" s="149">
        <v>42744</v>
      </c>
      <c r="C59" s="150">
        <v>525</v>
      </c>
      <c r="D59" s="22" t="s">
        <v>99</v>
      </c>
      <c r="J59" s="177">
        <f>SUM(J44:J58)</f>
        <v>274199.51</v>
      </c>
      <c r="K59" s="177"/>
      <c r="L59" s="177">
        <f>SUM(L44:L58)</f>
        <v>274198</v>
      </c>
      <c r="M59" s="178"/>
      <c r="N59" s="179"/>
      <c r="O59" s="180">
        <f>SUM(O44:O58)</f>
        <v>274198</v>
      </c>
      <c r="P59" s="181"/>
    </row>
    <row r="60" spans="1:16" x14ac:dyDescent="0.25">
      <c r="B60" s="149">
        <v>42747</v>
      </c>
      <c r="C60" s="150">
        <v>908</v>
      </c>
      <c r="D60" s="22" t="s">
        <v>100</v>
      </c>
    </row>
    <row r="61" spans="1:16" x14ac:dyDescent="0.25">
      <c r="B61" s="149">
        <v>42749</v>
      </c>
      <c r="C61" s="150">
        <v>1305</v>
      </c>
      <c r="D61" s="22" t="s">
        <v>101</v>
      </c>
    </row>
    <row r="62" spans="1:16" x14ac:dyDescent="0.25">
      <c r="B62" s="149">
        <v>42752</v>
      </c>
      <c r="C62" s="150">
        <v>618</v>
      </c>
      <c r="D62" s="22" t="s">
        <v>99</v>
      </c>
    </row>
    <row r="63" spans="1:16" x14ac:dyDescent="0.25">
      <c r="B63" s="149">
        <v>42755</v>
      </c>
      <c r="C63" s="150">
        <v>1131</v>
      </c>
      <c r="D63" s="22" t="s">
        <v>102</v>
      </c>
    </row>
    <row r="64" spans="1:16" x14ac:dyDescent="0.25">
      <c r="B64" s="149">
        <v>42756</v>
      </c>
      <c r="C64" s="140">
        <v>0</v>
      </c>
      <c r="D64" s="22"/>
    </row>
    <row r="65" spans="2:4" x14ac:dyDescent="0.25">
      <c r="B65" s="149">
        <v>42757</v>
      </c>
      <c r="C65" s="150">
        <v>720</v>
      </c>
      <c r="D65" s="22" t="s">
        <v>99</v>
      </c>
    </row>
    <row r="66" spans="2:4" x14ac:dyDescent="0.25">
      <c r="B66" s="149">
        <v>42758</v>
      </c>
      <c r="C66" s="150">
        <v>370</v>
      </c>
      <c r="D66" s="22" t="s">
        <v>103</v>
      </c>
    </row>
    <row r="67" spans="2:4" x14ac:dyDescent="0.25">
      <c r="B67" s="149">
        <v>42759</v>
      </c>
      <c r="C67" s="140">
        <v>0</v>
      </c>
      <c r="D67" s="22"/>
    </row>
    <row r="68" spans="2:4" x14ac:dyDescent="0.25">
      <c r="B68" s="149">
        <v>42760</v>
      </c>
      <c r="C68" s="140">
        <v>0</v>
      </c>
      <c r="D68" s="22"/>
    </row>
    <row r="69" spans="2:4" x14ac:dyDescent="0.25">
      <c r="B69" s="149">
        <v>42761</v>
      </c>
      <c r="C69" s="151">
        <v>0</v>
      </c>
    </row>
    <row r="70" spans="2:4" x14ac:dyDescent="0.25">
      <c r="B70" s="149">
        <v>42762</v>
      </c>
      <c r="C70" s="152">
        <v>640</v>
      </c>
      <c r="D70" t="s">
        <v>97</v>
      </c>
    </row>
    <row r="71" spans="2:4" x14ac:dyDescent="0.25">
      <c r="B71" s="149">
        <v>42763</v>
      </c>
      <c r="C71" s="140">
        <v>0</v>
      </c>
      <c r="D71" s="22"/>
    </row>
    <row r="72" spans="2:4" x14ac:dyDescent="0.25">
      <c r="B72" s="149">
        <v>42764</v>
      </c>
      <c r="C72" s="140">
        <v>0</v>
      </c>
      <c r="D72" s="22"/>
    </row>
    <row r="73" spans="2:4" x14ac:dyDescent="0.25">
      <c r="B73" s="149">
        <v>42765</v>
      </c>
      <c r="C73" s="150">
        <v>525</v>
      </c>
      <c r="D73" s="22" t="s">
        <v>99</v>
      </c>
    </row>
    <row r="74" spans="2:4" x14ac:dyDescent="0.25">
      <c r="B74" s="149">
        <v>42766</v>
      </c>
      <c r="C74" s="150">
        <v>361</v>
      </c>
      <c r="D74" s="22" t="s">
        <v>104</v>
      </c>
    </row>
    <row r="75" spans="2:4" x14ac:dyDescent="0.25">
      <c r="C75" s="150">
        <v>0</v>
      </c>
    </row>
    <row r="76" spans="2:4" ht="15.75" x14ac:dyDescent="0.25">
      <c r="C76" s="153">
        <f>SUM(C57:C75)</f>
        <v>8545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57"/>
  <sheetViews>
    <sheetView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40" t="s">
        <v>126</v>
      </c>
      <c r="D1" s="340"/>
      <c r="E1" s="340"/>
      <c r="F1" s="340"/>
      <c r="G1" s="340"/>
      <c r="H1" s="340"/>
      <c r="I1" s="340"/>
      <c r="J1" s="340"/>
      <c r="K1" s="340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263182.99</v>
      </c>
      <c r="D4" s="13"/>
      <c r="E4" s="341" t="s">
        <v>4</v>
      </c>
      <c r="F4" s="342"/>
      <c r="I4" s="343" t="s">
        <v>5</v>
      </c>
      <c r="J4" s="344"/>
      <c r="K4" s="344"/>
      <c r="L4" s="344"/>
      <c r="M4" s="14" t="s">
        <v>6</v>
      </c>
      <c r="N4" s="15" t="s">
        <v>7</v>
      </c>
    </row>
    <row r="5" spans="1:19" ht="15.75" thickTop="1" x14ac:dyDescent="0.25">
      <c r="A5" s="16"/>
      <c r="B5" s="17">
        <v>42767</v>
      </c>
      <c r="C5" s="30">
        <v>27607.7</v>
      </c>
      <c r="D5" s="19" t="s">
        <v>128</v>
      </c>
      <c r="E5" s="20">
        <v>42767</v>
      </c>
      <c r="F5" s="32">
        <v>25858.76</v>
      </c>
      <c r="G5" s="22"/>
      <c r="H5" s="23">
        <v>42767</v>
      </c>
      <c r="I5" s="194">
        <v>151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x14ac:dyDescent="0.25">
      <c r="A6" s="16"/>
      <c r="B6" s="17">
        <v>42768</v>
      </c>
      <c r="C6" s="30">
        <v>40478</v>
      </c>
      <c r="D6" s="31" t="s">
        <v>129</v>
      </c>
      <c r="E6" s="20">
        <v>42768</v>
      </c>
      <c r="F6" s="32">
        <v>40577.839999999997</v>
      </c>
      <c r="G6" s="33"/>
      <c r="H6" s="34">
        <v>42768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x14ac:dyDescent="0.25">
      <c r="A7" s="16"/>
      <c r="B7" s="17">
        <v>42769</v>
      </c>
      <c r="C7" s="30">
        <v>43831.59</v>
      </c>
      <c r="D7" s="19" t="s">
        <v>130</v>
      </c>
      <c r="E7" s="20">
        <v>42769</v>
      </c>
      <c r="F7" s="32">
        <v>43931.59</v>
      </c>
      <c r="G7" s="22"/>
      <c r="H7" s="34">
        <v>42769</v>
      </c>
      <c r="I7" s="35">
        <v>100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x14ac:dyDescent="0.25">
      <c r="A8" s="16"/>
      <c r="B8" s="17">
        <v>42770</v>
      </c>
      <c r="C8" s="30">
        <v>58211.39</v>
      </c>
      <c r="D8" s="19" t="s">
        <v>132</v>
      </c>
      <c r="E8" s="20">
        <v>42770</v>
      </c>
      <c r="F8" s="32">
        <v>74927.39</v>
      </c>
      <c r="G8" s="22"/>
      <c r="H8" s="34">
        <v>42770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x14ac:dyDescent="0.25">
      <c r="A9" s="16"/>
      <c r="B9" s="17">
        <v>42771</v>
      </c>
      <c r="C9" s="30">
        <v>40985.5</v>
      </c>
      <c r="D9" s="19" t="s">
        <v>133</v>
      </c>
      <c r="E9" s="20">
        <v>42771</v>
      </c>
      <c r="F9" s="32">
        <v>42823.85</v>
      </c>
      <c r="G9" s="22"/>
      <c r="H9" s="34">
        <v>42771</v>
      </c>
      <c r="I9" s="35">
        <v>510</v>
      </c>
      <c r="J9" s="42" t="s">
        <v>134</v>
      </c>
      <c r="K9" s="37" t="s">
        <v>135</v>
      </c>
      <c r="L9" s="32">
        <v>10092</v>
      </c>
      <c r="M9" s="39">
        <v>0</v>
      </c>
      <c r="N9" s="35">
        <v>100</v>
      </c>
      <c r="O9" s="44"/>
      <c r="P9" s="22"/>
      <c r="Q9" s="22"/>
    </row>
    <row r="10" spans="1:19" x14ac:dyDescent="0.25">
      <c r="A10" s="16"/>
      <c r="B10" s="17">
        <v>42772</v>
      </c>
      <c r="C10" s="30">
        <v>27324.959999999999</v>
      </c>
      <c r="D10" s="31" t="s">
        <v>133</v>
      </c>
      <c r="E10" s="20">
        <v>42772</v>
      </c>
      <c r="F10" s="32">
        <v>27424.959999999999</v>
      </c>
      <c r="G10" s="22"/>
      <c r="H10" s="34">
        <v>42772</v>
      </c>
      <c r="I10" s="35">
        <v>100</v>
      </c>
      <c r="J10" s="42" t="s">
        <v>136</v>
      </c>
      <c r="K10" s="37" t="s">
        <v>137</v>
      </c>
      <c r="L10" s="32">
        <v>9528.85</v>
      </c>
      <c r="M10" s="39">
        <v>0</v>
      </c>
      <c r="N10" s="35">
        <v>100</v>
      </c>
      <c r="O10" s="22"/>
      <c r="P10" s="22"/>
      <c r="Q10" s="22"/>
    </row>
    <row r="11" spans="1:19" x14ac:dyDescent="0.25">
      <c r="A11" s="16"/>
      <c r="B11" s="17">
        <v>42773</v>
      </c>
      <c r="C11" s="30">
        <v>28309.45</v>
      </c>
      <c r="D11" s="45" t="s">
        <v>138</v>
      </c>
      <c r="E11" s="20">
        <v>42773</v>
      </c>
      <c r="F11" s="32">
        <v>28409.45</v>
      </c>
      <c r="G11" s="22"/>
      <c r="H11" s="34">
        <v>42773</v>
      </c>
      <c r="I11" s="35">
        <v>100</v>
      </c>
      <c r="J11" s="42" t="s">
        <v>182</v>
      </c>
      <c r="K11" s="37" t="s">
        <v>139</v>
      </c>
      <c r="L11" s="32">
        <v>9834</v>
      </c>
      <c r="M11" s="39">
        <v>0</v>
      </c>
      <c r="N11" s="35">
        <v>100</v>
      </c>
      <c r="O11" s="22"/>
      <c r="P11" s="22"/>
      <c r="Q11" s="22"/>
    </row>
    <row r="12" spans="1:19" x14ac:dyDescent="0.25">
      <c r="A12" s="16"/>
      <c r="B12" s="17">
        <v>42774</v>
      </c>
      <c r="C12" s="30">
        <v>41464.019999999997</v>
      </c>
      <c r="D12" s="19" t="s">
        <v>140</v>
      </c>
      <c r="E12" s="20">
        <v>42774</v>
      </c>
      <c r="F12" s="32">
        <v>38496.6</v>
      </c>
      <c r="G12" s="22"/>
      <c r="H12" s="34">
        <v>42774</v>
      </c>
      <c r="I12" s="35">
        <v>470</v>
      </c>
      <c r="J12" s="42" t="s">
        <v>195</v>
      </c>
      <c r="K12" s="37" t="s">
        <v>141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x14ac:dyDescent="0.25">
      <c r="A13" s="16"/>
      <c r="B13" s="17">
        <v>42775</v>
      </c>
      <c r="C13" s="30">
        <v>41989.57</v>
      </c>
      <c r="D13" s="45" t="s">
        <v>142</v>
      </c>
      <c r="E13" s="20">
        <v>42775</v>
      </c>
      <c r="F13" s="32">
        <v>34572.230000000003</v>
      </c>
      <c r="G13" s="22"/>
      <c r="H13" s="34">
        <v>42775</v>
      </c>
      <c r="I13" s="35">
        <v>0</v>
      </c>
      <c r="J13" s="42"/>
      <c r="K13" s="37" t="s">
        <v>27</v>
      </c>
      <c r="L13" s="32">
        <v>0</v>
      </c>
      <c r="M13" s="39">
        <v>0</v>
      </c>
      <c r="N13" s="35">
        <v>0</v>
      </c>
      <c r="O13" s="22"/>
      <c r="P13" s="22"/>
      <c r="Q13" s="22"/>
    </row>
    <row r="14" spans="1:19" x14ac:dyDescent="0.25">
      <c r="A14" s="16"/>
      <c r="B14" s="17">
        <v>42776</v>
      </c>
      <c r="C14" s="30">
        <v>51841.1</v>
      </c>
      <c r="D14" s="19" t="s">
        <v>143</v>
      </c>
      <c r="E14" s="20">
        <v>42776</v>
      </c>
      <c r="F14" s="32">
        <v>52673.1</v>
      </c>
      <c r="G14" s="22"/>
      <c r="H14" s="34">
        <v>42776</v>
      </c>
      <c r="I14" s="35">
        <v>817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x14ac:dyDescent="0.25">
      <c r="A15" s="16"/>
      <c r="B15" s="17">
        <v>42777</v>
      </c>
      <c r="C15" s="30">
        <v>80385.320000000007</v>
      </c>
      <c r="D15" s="19" t="s">
        <v>144</v>
      </c>
      <c r="E15" s="20">
        <v>42777</v>
      </c>
      <c r="F15" s="32">
        <v>62046.91</v>
      </c>
      <c r="G15" s="22"/>
      <c r="H15" s="34">
        <v>42777</v>
      </c>
      <c r="I15" s="35">
        <v>450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5.75" x14ac:dyDescent="0.25">
      <c r="A16" s="16"/>
      <c r="B16" s="17">
        <v>42778</v>
      </c>
      <c r="C16" s="30">
        <v>40973.35</v>
      </c>
      <c r="D16" s="19" t="s">
        <v>145</v>
      </c>
      <c r="E16" s="20">
        <v>42778</v>
      </c>
      <c r="F16" s="32">
        <v>51266.49</v>
      </c>
      <c r="G16" s="22"/>
      <c r="H16" s="34">
        <v>42778</v>
      </c>
      <c r="I16" s="35">
        <v>450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x14ac:dyDescent="0.25">
      <c r="A17" s="16"/>
      <c r="B17" s="17">
        <v>42779</v>
      </c>
      <c r="C17" s="30">
        <v>34633.31</v>
      </c>
      <c r="D17" s="19" t="s">
        <v>176</v>
      </c>
      <c r="E17" s="20">
        <v>42779</v>
      </c>
      <c r="F17" s="32">
        <v>34733.31</v>
      </c>
      <c r="G17" s="22"/>
      <c r="H17" s="34">
        <v>42779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x14ac:dyDescent="0.25">
      <c r="A18" s="16"/>
      <c r="B18" s="17">
        <v>42780</v>
      </c>
      <c r="C18" s="30">
        <v>31316.1</v>
      </c>
      <c r="D18" s="19" t="s">
        <v>177</v>
      </c>
      <c r="E18" s="20">
        <v>42780</v>
      </c>
      <c r="F18" s="32">
        <v>32311.01</v>
      </c>
      <c r="G18" s="22"/>
      <c r="H18" s="34">
        <v>42780</v>
      </c>
      <c r="I18" s="35">
        <v>995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x14ac:dyDescent="0.25">
      <c r="A19" s="16"/>
      <c r="B19" s="17">
        <v>42781</v>
      </c>
      <c r="C19" s="30">
        <v>44728.19</v>
      </c>
      <c r="D19" s="19" t="s">
        <v>177</v>
      </c>
      <c r="E19" s="20">
        <v>42781</v>
      </c>
      <c r="F19" s="32">
        <v>44829.19</v>
      </c>
      <c r="G19" s="22"/>
      <c r="H19" s="34">
        <v>42781</v>
      </c>
      <c r="I19" s="35">
        <v>100</v>
      </c>
      <c r="J19" s="42"/>
      <c r="K19" s="53">
        <v>42771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x14ac:dyDescent="0.25">
      <c r="A20" s="16"/>
      <c r="B20" s="17">
        <v>42782</v>
      </c>
      <c r="C20" s="30">
        <v>34374.35</v>
      </c>
      <c r="D20" s="31" t="s">
        <v>177</v>
      </c>
      <c r="E20" s="20">
        <v>42782</v>
      </c>
      <c r="F20" s="32">
        <v>34474.31</v>
      </c>
      <c r="G20" s="22"/>
      <c r="H20" s="34">
        <v>42782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x14ac:dyDescent="0.25">
      <c r="A21" s="16"/>
      <c r="B21" s="17">
        <v>42783</v>
      </c>
      <c r="C21" s="30">
        <v>57061.25</v>
      </c>
      <c r="D21" s="19" t="s">
        <v>178</v>
      </c>
      <c r="E21" s="20">
        <v>42783</v>
      </c>
      <c r="F21" s="32">
        <v>57189.25</v>
      </c>
      <c r="G21" s="22"/>
      <c r="H21" s="34">
        <v>42783</v>
      </c>
      <c r="I21" s="55">
        <v>128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x14ac:dyDescent="0.25">
      <c r="A22" s="16"/>
      <c r="B22" s="17">
        <v>42784</v>
      </c>
      <c r="C22" s="30">
        <v>71500.240000000005</v>
      </c>
      <c r="D22" s="19" t="s">
        <v>180</v>
      </c>
      <c r="E22" s="20">
        <v>42784</v>
      </c>
      <c r="F22" s="32">
        <v>71600.240000000005</v>
      </c>
      <c r="G22" s="22"/>
      <c r="H22" s="34">
        <v>42784</v>
      </c>
      <c r="I22" s="55">
        <v>100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x14ac:dyDescent="0.25">
      <c r="A23" s="16"/>
      <c r="B23" s="17">
        <v>42785</v>
      </c>
      <c r="C23" s="30">
        <v>45235.99</v>
      </c>
      <c r="D23" s="60" t="s">
        <v>183</v>
      </c>
      <c r="E23" s="20">
        <v>42785</v>
      </c>
      <c r="F23" s="32">
        <v>55919.99</v>
      </c>
      <c r="G23" s="22"/>
      <c r="H23" s="34">
        <v>42785</v>
      </c>
      <c r="I23" s="55">
        <v>400</v>
      </c>
      <c r="J23" s="36"/>
      <c r="K23" s="61">
        <v>42745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x14ac:dyDescent="0.25">
      <c r="A24" s="16"/>
      <c r="B24" s="17">
        <v>42786</v>
      </c>
      <c r="C24" s="30">
        <v>39575.269999999997</v>
      </c>
      <c r="D24" s="19" t="s">
        <v>185</v>
      </c>
      <c r="E24" s="20">
        <v>42786</v>
      </c>
      <c r="F24" s="32">
        <v>39829.269999999997</v>
      </c>
      <c r="G24" s="22"/>
      <c r="H24" s="34">
        <v>42786</v>
      </c>
      <c r="I24" s="55">
        <v>254</v>
      </c>
      <c r="J24" s="42"/>
      <c r="K24" s="214" t="s">
        <v>146</v>
      </c>
      <c r="L24" s="197">
        <v>16616</v>
      </c>
      <c r="M24" s="39">
        <v>0</v>
      </c>
      <c r="N24" s="35">
        <v>100</v>
      </c>
      <c r="O24" s="22"/>
      <c r="P24" s="22"/>
      <c r="Q24" s="22"/>
    </row>
    <row r="25" spans="1:18" x14ac:dyDescent="0.25">
      <c r="A25" s="16"/>
      <c r="B25" s="17">
        <v>42787</v>
      </c>
      <c r="C25" s="30">
        <v>24748.04</v>
      </c>
      <c r="D25" s="60" t="s">
        <v>186</v>
      </c>
      <c r="E25" s="20">
        <v>42787</v>
      </c>
      <c r="F25" s="32">
        <v>24998.04</v>
      </c>
      <c r="G25" s="22"/>
      <c r="H25" s="34">
        <v>42787</v>
      </c>
      <c r="I25" s="55">
        <v>250</v>
      </c>
      <c r="J25" s="36"/>
      <c r="K25" s="198">
        <v>42770</v>
      </c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x14ac:dyDescent="0.25">
      <c r="A26" s="16"/>
      <c r="B26" s="17">
        <v>42788</v>
      </c>
      <c r="C26" s="30">
        <v>24211.13</v>
      </c>
      <c r="D26" s="19" t="s">
        <v>188</v>
      </c>
      <c r="E26" s="20">
        <v>42788</v>
      </c>
      <c r="F26" s="32">
        <v>24311.13</v>
      </c>
      <c r="G26" s="22"/>
      <c r="H26" s="34">
        <v>42788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x14ac:dyDescent="0.25">
      <c r="A27" s="16"/>
      <c r="B27" s="17">
        <v>42789</v>
      </c>
      <c r="C27" s="30">
        <v>25115.8</v>
      </c>
      <c r="D27" s="19" t="s">
        <v>191</v>
      </c>
      <c r="E27" s="20">
        <v>42789</v>
      </c>
      <c r="F27" s="32">
        <v>25245.4</v>
      </c>
      <c r="G27" s="22"/>
      <c r="H27" s="34">
        <v>42789</v>
      </c>
      <c r="I27" s="55">
        <v>129.6</v>
      </c>
      <c r="J27" s="36"/>
      <c r="K27" s="199" t="s">
        <v>147</v>
      </c>
      <c r="L27" s="51">
        <v>3500</v>
      </c>
      <c r="M27" s="39">
        <v>0</v>
      </c>
      <c r="N27" s="35">
        <v>0</v>
      </c>
      <c r="O27" s="22"/>
      <c r="P27" s="22"/>
      <c r="Q27" s="22"/>
    </row>
    <row r="28" spans="1:18" x14ac:dyDescent="0.25">
      <c r="A28" s="16"/>
      <c r="B28" s="17">
        <v>42790</v>
      </c>
      <c r="C28" s="30">
        <v>72848.789999999994</v>
      </c>
      <c r="D28" s="19" t="s">
        <v>190</v>
      </c>
      <c r="E28" s="20">
        <v>42790</v>
      </c>
      <c r="F28" s="32">
        <v>72976.789999999994</v>
      </c>
      <c r="G28" s="22"/>
      <c r="H28" s="34">
        <v>42790</v>
      </c>
      <c r="I28" s="55">
        <v>128</v>
      </c>
      <c r="J28" s="36"/>
      <c r="K28" s="64" t="s">
        <v>148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x14ac:dyDescent="0.25">
      <c r="A29" s="16"/>
      <c r="B29" s="17">
        <v>42791</v>
      </c>
      <c r="C29" s="30">
        <v>71467.789999999994</v>
      </c>
      <c r="D29" s="19" t="s">
        <v>194</v>
      </c>
      <c r="E29" s="20">
        <v>42791</v>
      </c>
      <c r="F29" s="32">
        <v>74567.789999999994</v>
      </c>
      <c r="G29" s="22"/>
      <c r="H29" s="34">
        <v>42791</v>
      </c>
      <c r="I29" s="55">
        <v>100</v>
      </c>
      <c r="J29" s="36"/>
      <c r="K29" s="64" t="s">
        <v>184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42792</v>
      </c>
      <c r="C30" s="30">
        <v>30909.439999999999</v>
      </c>
      <c r="D30" s="19" t="s">
        <v>196</v>
      </c>
      <c r="E30" s="20">
        <v>42792</v>
      </c>
      <c r="F30" s="32">
        <v>38359.440000000002</v>
      </c>
      <c r="G30" s="22"/>
      <c r="H30" s="34">
        <v>42792</v>
      </c>
      <c r="I30" s="55">
        <v>400</v>
      </c>
      <c r="J30" s="63"/>
      <c r="K30" s="64" t="s">
        <v>193</v>
      </c>
      <c r="L30" s="65">
        <v>3000</v>
      </c>
      <c r="M30" s="39">
        <v>0</v>
      </c>
      <c r="N30" s="35">
        <v>100</v>
      </c>
      <c r="O30" s="22"/>
      <c r="P30" s="22"/>
      <c r="Q30" s="22"/>
    </row>
    <row r="31" spans="1:18" x14ac:dyDescent="0.25">
      <c r="A31" s="16"/>
      <c r="B31" s="17">
        <v>42793</v>
      </c>
      <c r="C31" s="30">
        <v>34140.03</v>
      </c>
      <c r="D31" s="19" t="s">
        <v>197</v>
      </c>
      <c r="E31" s="20">
        <v>42793</v>
      </c>
      <c r="F31" s="32">
        <v>34590.080000000002</v>
      </c>
      <c r="G31" s="22"/>
      <c r="H31" s="34">
        <v>42793</v>
      </c>
      <c r="I31" s="55">
        <v>450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42794</v>
      </c>
      <c r="C32" s="30">
        <v>17837.93</v>
      </c>
      <c r="D32" s="19" t="s">
        <v>198</v>
      </c>
      <c r="E32" s="20">
        <v>42794</v>
      </c>
      <c r="F32" s="32">
        <v>18082.93</v>
      </c>
      <c r="G32" s="22"/>
      <c r="H32" s="34">
        <v>42794</v>
      </c>
      <c r="I32" s="55">
        <v>245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x14ac:dyDescent="0.25">
      <c r="A33" s="16"/>
      <c r="B33" s="17"/>
      <c r="C33" s="30"/>
      <c r="D33" s="45"/>
      <c r="E33" s="20"/>
      <c r="F33" s="32"/>
      <c r="G33" s="22"/>
      <c r="H33" s="34"/>
      <c r="I33" s="55"/>
      <c r="J33" s="36"/>
      <c r="K33" s="69"/>
      <c r="L33" s="345">
        <v>0</v>
      </c>
      <c r="M33" s="39">
        <v>0</v>
      </c>
      <c r="N33" s="35">
        <v>0</v>
      </c>
      <c r="O33" s="22"/>
      <c r="P33" s="22"/>
      <c r="Q33" s="22"/>
    </row>
    <row r="34" spans="1:17" x14ac:dyDescent="0.25">
      <c r="A34" s="16"/>
      <c r="B34" s="17"/>
      <c r="C34" s="30"/>
      <c r="D34" s="19"/>
      <c r="E34" s="20"/>
      <c r="F34" s="32"/>
      <c r="G34" s="22"/>
      <c r="H34" s="34"/>
      <c r="I34" s="55"/>
      <c r="J34" s="36"/>
      <c r="K34" s="69"/>
      <c r="L34" s="346"/>
      <c r="M34" s="39">
        <v>0</v>
      </c>
      <c r="N34" s="35">
        <v>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34"/>
      <c r="I35" s="55"/>
      <c r="J35" s="36"/>
      <c r="K35" s="347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47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1183105.6000000001</v>
      </c>
      <c r="E38" s="192" t="s">
        <v>60</v>
      </c>
      <c r="F38" s="94">
        <f>SUM(F5:F37)</f>
        <v>1207027.3400000001</v>
      </c>
      <c r="H38" s="6" t="s">
        <v>60</v>
      </c>
      <c r="I38" s="4">
        <f>SUM(I5:I37)</f>
        <v>7327.6</v>
      </c>
      <c r="J38" s="4"/>
      <c r="K38" s="95" t="s">
        <v>60</v>
      </c>
      <c r="L38" s="96">
        <f>SUM(L5:L37)</f>
        <v>101528.85</v>
      </c>
    </row>
    <row r="40" spans="1:17" ht="15.75" x14ac:dyDescent="0.25">
      <c r="A40" s="97"/>
      <c r="B40" s="98"/>
      <c r="C40" s="36"/>
      <c r="D40" s="99"/>
      <c r="E40" s="100"/>
      <c r="F40" s="77"/>
      <c r="H40" s="336" t="s">
        <v>61</v>
      </c>
      <c r="I40" s="337"/>
      <c r="J40" s="191"/>
      <c r="K40" s="338">
        <f>I38+L38</f>
        <v>108856.45000000001</v>
      </c>
      <c r="L40" s="339"/>
    </row>
    <row r="41" spans="1:17" ht="15.75" x14ac:dyDescent="0.25">
      <c r="B41" s="102"/>
      <c r="C41" s="77"/>
      <c r="D41" s="323" t="s">
        <v>62</v>
      </c>
      <c r="E41" s="323"/>
      <c r="F41" s="103">
        <f>F38-K40</f>
        <v>1098170.8900000001</v>
      </c>
      <c r="I41" s="104"/>
      <c r="J41" s="104"/>
    </row>
    <row r="42" spans="1:17" ht="15.75" x14ac:dyDescent="0.25">
      <c r="D42" s="324" t="s">
        <v>63</v>
      </c>
      <c r="E42" s="324"/>
      <c r="F42" s="103">
        <v>-1170718.6000000001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-72547.709999999963</v>
      </c>
      <c r="I44" s="325" t="s">
        <v>66</v>
      </c>
      <c r="J44" s="326"/>
      <c r="K44" s="329">
        <f>F48+L46</f>
        <v>200580.19000000003</v>
      </c>
      <c r="L44" s="330"/>
    </row>
    <row r="45" spans="1:17" ht="15.75" thickBot="1" x14ac:dyDescent="0.3">
      <c r="D45" s="108" t="s">
        <v>67</v>
      </c>
      <c r="E45" s="97" t="s">
        <v>68</v>
      </c>
      <c r="F45" s="4">
        <v>43326.16</v>
      </c>
      <c r="I45" s="327"/>
      <c r="J45" s="328"/>
      <c r="K45" s="331"/>
      <c r="L45" s="332"/>
    </row>
    <row r="46" spans="1:17" ht="17.25" thickTop="1" thickBot="1" x14ac:dyDescent="0.3">
      <c r="C46" s="94"/>
      <c r="D46" s="333" t="s">
        <v>69</v>
      </c>
      <c r="E46" s="333"/>
      <c r="F46" s="109">
        <v>229801.74</v>
      </c>
      <c r="I46" s="334"/>
      <c r="J46" s="334"/>
      <c r="K46" s="335"/>
      <c r="L46" s="110"/>
    </row>
    <row r="47" spans="1:17" ht="19.5" thickBot="1" x14ac:dyDescent="0.35">
      <c r="C47" s="94"/>
      <c r="D47" s="192"/>
      <c r="E47" s="192"/>
      <c r="F47" s="111"/>
      <c r="H47" s="112"/>
      <c r="I47" s="193" t="s">
        <v>275</v>
      </c>
      <c r="J47" s="193"/>
      <c r="K47" s="317">
        <f>-C4</f>
        <v>-263182.99</v>
      </c>
      <c r="L47" s="317"/>
      <c r="M47" s="114"/>
    </row>
    <row r="48" spans="1:17" ht="17.25" thickTop="1" thickBot="1" x14ac:dyDescent="0.3">
      <c r="E48" s="115" t="s">
        <v>71</v>
      </c>
      <c r="F48" s="116">
        <f>F44+F45+F46</f>
        <v>200580.19000000003</v>
      </c>
    </row>
    <row r="49" spans="2:14" ht="19.5" thickBot="1" x14ac:dyDescent="0.35">
      <c r="B49"/>
      <c r="C49"/>
      <c r="D49" s="318"/>
      <c r="E49" s="318"/>
      <c r="F49" s="77"/>
      <c r="I49" s="319" t="s">
        <v>274</v>
      </c>
      <c r="J49" s="320"/>
      <c r="K49" s="321">
        <f>K44+K47</f>
        <v>-62602.799999999959</v>
      </c>
      <c r="L49" s="32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35433070866141736" header="0.31496062992125984" footer="0.31496062992125984"/>
  <pageSetup scale="7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76"/>
  <sheetViews>
    <sheetView topLeftCell="A22" workbookViewId="0">
      <selection activeCell="E25" sqref="E25"/>
    </sheetView>
  </sheetViews>
  <sheetFormatPr baseColWidth="10" defaultRowHeight="15" x14ac:dyDescent="0.25"/>
  <cols>
    <col min="1" max="1" width="13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" customWidth="1"/>
    <col min="15" max="15" width="20.140625" bestFit="1" customWidth="1"/>
    <col min="16" max="16" width="12.7109375" bestFit="1" customWidth="1"/>
    <col min="19" max="19" width="13.85546875" bestFit="1" customWidth="1"/>
    <col min="21" max="21" width="15.140625" customWidth="1"/>
    <col min="23" max="23" width="12.710937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149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42780</v>
      </c>
      <c r="P1" s="158"/>
      <c r="T1" t="s">
        <v>64</v>
      </c>
      <c r="U1" s="154" t="s">
        <v>105</v>
      </c>
      <c r="V1" s="155"/>
      <c r="W1" s="156"/>
      <c r="X1" s="182">
        <v>42797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42767</v>
      </c>
      <c r="B3" s="126" t="s">
        <v>150</v>
      </c>
      <c r="C3" s="36">
        <v>4549.8999999999996</v>
      </c>
      <c r="D3" s="127">
        <v>42780</v>
      </c>
      <c r="E3" s="36">
        <v>4549.8999999999996</v>
      </c>
      <c r="F3" s="128">
        <f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S3" s="151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42767</v>
      </c>
      <c r="B4" s="126" t="s">
        <v>151</v>
      </c>
      <c r="C4" s="130">
        <v>1064</v>
      </c>
      <c r="D4" s="127">
        <v>42780</v>
      </c>
      <c r="E4" s="130">
        <v>1064</v>
      </c>
      <c r="F4" s="128">
        <f t="shared" ref="F4:F37" si="0">C4-E4</f>
        <v>0</v>
      </c>
      <c r="G4" s="37"/>
      <c r="J4" s="164"/>
      <c r="K4" s="126" t="s">
        <v>89</v>
      </c>
      <c r="L4" s="130">
        <v>29580.36</v>
      </c>
      <c r="M4" s="165" t="s">
        <v>111</v>
      </c>
      <c r="N4" s="166" t="s">
        <v>113</v>
      </c>
      <c r="O4" s="167">
        <v>27424</v>
      </c>
      <c r="P4" s="168">
        <v>42766</v>
      </c>
      <c r="S4" s="151">
        <v>32848.92</v>
      </c>
      <c r="T4" s="126" t="s">
        <v>154</v>
      </c>
      <c r="U4" s="130">
        <v>32848.92</v>
      </c>
      <c r="V4" s="165"/>
      <c r="W4" s="166" t="s">
        <v>113</v>
      </c>
      <c r="X4" s="167">
        <v>25116</v>
      </c>
      <c r="Y4" s="168">
        <v>42791</v>
      </c>
    </row>
    <row r="5" spans="1:25" ht="15.75" x14ac:dyDescent="0.25">
      <c r="A5" s="129">
        <v>42767</v>
      </c>
      <c r="B5" s="132" t="s">
        <v>152</v>
      </c>
      <c r="C5" s="36">
        <v>6749.6</v>
      </c>
      <c r="D5" s="133">
        <v>42780</v>
      </c>
      <c r="E5" s="36">
        <v>6749.6</v>
      </c>
      <c r="F5" s="128">
        <f t="shared" si="0"/>
        <v>0</v>
      </c>
      <c r="G5" s="201"/>
      <c r="J5" s="164"/>
      <c r="K5" s="126" t="s">
        <v>91</v>
      </c>
      <c r="L5" s="130">
        <v>42260.1</v>
      </c>
      <c r="M5" s="165"/>
      <c r="N5" s="166" t="s">
        <v>113</v>
      </c>
      <c r="O5" s="167">
        <v>31992.5</v>
      </c>
      <c r="P5" s="168">
        <v>42763</v>
      </c>
      <c r="S5" s="151">
        <f>25116+21600.11+4676.92+46091.76+4542.48</f>
        <v>102027.27</v>
      </c>
      <c r="T5" s="126" t="s">
        <v>164</v>
      </c>
      <c r="U5" s="130">
        <v>101376.79</v>
      </c>
      <c r="V5" s="165" t="s">
        <v>111</v>
      </c>
      <c r="W5" s="166" t="s">
        <v>113</v>
      </c>
      <c r="X5" s="167">
        <v>46092</v>
      </c>
      <c r="Y5" s="168">
        <v>42791</v>
      </c>
    </row>
    <row r="6" spans="1:25" ht="15.75" x14ac:dyDescent="0.25">
      <c r="A6" s="134">
        <v>42768</v>
      </c>
      <c r="B6" s="126" t="s">
        <v>153</v>
      </c>
      <c r="C6" s="36">
        <v>20426.2</v>
      </c>
      <c r="D6" s="127">
        <v>42780</v>
      </c>
      <c r="E6" s="36">
        <v>20426.2</v>
      </c>
      <c r="F6" s="128">
        <f t="shared" si="0"/>
        <v>0</v>
      </c>
      <c r="G6" s="176"/>
      <c r="J6" s="140"/>
      <c r="K6" s="126" t="s">
        <v>92</v>
      </c>
      <c r="L6" s="130">
        <v>48906.53</v>
      </c>
      <c r="M6" s="165"/>
      <c r="N6" s="166" t="s">
        <v>113</v>
      </c>
      <c r="O6" s="167">
        <v>28870.5</v>
      </c>
      <c r="P6" s="168">
        <v>42767</v>
      </c>
      <c r="S6" s="151">
        <f>34076.39+30909.44+20954.87</f>
        <v>85940.7</v>
      </c>
      <c r="T6" s="126" t="s">
        <v>170</v>
      </c>
      <c r="U6" s="130">
        <v>85940.7</v>
      </c>
      <c r="V6" s="165"/>
      <c r="W6" s="166" t="s">
        <v>113</v>
      </c>
      <c r="X6" s="167">
        <v>21600</v>
      </c>
      <c r="Y6" s="168">
        <v>42786</v>
      </c>
    </row>
    <row r="7" spans="1:25" ht="15.75" x14ac:dyDescent="0.25">
      <c r="A7" s="129">
        <v>42770</v>
      </c>
      <c r="B7" s="126" t="s">
        <v>154</v>
      </c>
      <c r="C7" s="130">
        <v>32848.92</v>
      </c>
      <c r="D7" s="219">
        <v>42797</v>
      </c>
      <c r="E7" s="220">
        <v>32848.92</v>
      </c>
      <c r="F7" s="128">
        <f t="shared" si="0"/>
        <v>0</v>
      </c>
      <c r="G7" s="176"/>
      <c r="J7" s="140"/>
      <c r="K7" s="126" t="s">
        <v>93</v>
      </c>
      <c r="L7" s="130">
        <v>38425.1</v>
      </c>
      <c r="M7" s="165"/>
      <c r="N7" s="166" t="s">
        <v>113</v>
      </c>
      <c r="O7" s="167">
        <v>27608</v>
      </c>
      <c r="P7" s="168">
        <v>42768</v>
      </c>
      <c r="S7" s="151">
        <v>11484.6</v>
      </c>
      <c r="T7" s="126" t="s">
        <v>168</v>
      </c>
      <c r="U7" s="130">
        <v>11484.6</v>
      </c>
      <c r="V7" s="165"/>
      <c r="W7" s="166" t="s">
        <v>113</v>
      </c>
      <c r="X7" s="167">
        <v>4677</v>
      </c>
      <c r="Y7" s="168">
        <v>42788</v>
      </c>
    </row>
    <row r="8" spans="1:25" ht="15.75" x14ac:dyDescent="0.25">
      <c r="A8" s="129">
        <v>42771</v>
      </c>
      <c r="B8" s="126" t="s">
        <v>155</v>
      </c>
      <c r="C8" s="130">
        <v>35977.449999999997</v>
      </c>
      <c r="D8" s="127">
        <v>42780</v>
      </c>
      <c r="E8" s="130">
        <v>35977.449999999997</v>
      </c>
      <c r="F8" s="128">
        <f t="shared" si="0"/>
        <v>0</v>
      </c>
      <c r="G8" s="176"/>
      <c r="J8" s="140"/>
      <c r="K8" s="126" t="s">
        <v>94</v>
      </c>
      <c r="L8" s="130">
        <v>23513.279999999999</v>
      </c>
      <c r="M8" s="165"/>
      <c r="N8" s="166" t="s">
        <v>113</v>
      </c>
      <c r="O8" s="167">
        <v>40478</v>
      </c>
      <c r="P8" s="168">
        <v>42769</v>
      </c>
      <c r="S8" s="151">
        <f>1279.72+17837.93</f>
        <v>19117.650000000001</v>
      </c>
      <c r="T8" s="126" t="s">
        <v>169</v>
      </c>
      <c r="U8" s="130">
        <v>19767</v>
      </c>
      <c r="V8" s="165" t="s">
        <v>202</v>
      </c>
      <c r="W8" s="166" t="s">
        <v>113</v>
      </c>
      <c r="X8" s="167">
        <v>71467</v>
      </c>
      <c r="Y8" s="168">
        <v>42793</v>
      </c>
    </row>
    <row r="9" spans="1:25" ht="15.75" x14ac:dyDescent="0.25">
      <c r="A9" s="129">
        <v>42770</v>
      </c>
      <c r="B9" s="126" t="s">
        <v>156</v>
      </c>
      <c r="C9" s="130">
        <v>86104.04</v>
      </c>
      <c r="D9" s="133">
        <v>42780</v>
      </c>
      <c r="E9" s="130">
        <v>86104.04</v>
      </c>
      <c r="F9" s="128">
        <f t="shared" si="0"/>
        <v>0</v>
      </c>
      <c r="G9" s="176"/>
      <c r="J9" s="140"/>
      <c r="K9" s="126" t="s">
        <v>95</v>
      </c>
      <c r="L9" s="130">
        <v>151174.9</v>
      </c>
      <c r="M9" s="165"/>
      <c r="N9" s="166" t="s">
        <v>113</v>
      </c>
      <c r="O9" s="167">
        <v>43831.5</v>
      </c>
      <c r="P9" s="168">
        <v>42773</v>
      </c>
      <c r="S9" s="151"/>
      <c r="T9" s="126"/>
      <c r="U9" s="130"/>
      <c r="V9" s="165"/>
      <c r="W9" s="166" t="s">
        <v>113</v>
      </c>
      <c r="X9" s="167">
        <v>30909</v>
      </c>
      <c r="Y9" s="168">
        <v>42793</v>
      </c>
    </row>
    <row r="10" spans="1:25" ht="15.75" x14ac:dyDescent="0.25">
      <c r="A10" s="129">
        <v>42772</v>
      </c>
      <c r="B10" s="126" t="s">
        <v>157</v>
      </c>
      <c r="C10" s="130">
        <v>38879.040000000001</v>
      </c>
      <c r="D10" s="127">
        <v>42780</v>
      </c>
      <c r="E10" s="130">
        <v>38879.040000000001</v>
      </c>
      <c r="F10" s="128">
        <f t="shared" si="0"/>
        <v>0</v>
      </c>
      <c r="G10" s="37"/>
      <c r="J10" s="140"/>
      <c r="K10" s="126" t="s">
        <v>96</v>
      </c>
      <c r="L10" s="130">
        <v>62978.38</v>
      </c>
      <c r="M10" s="165"/>
      <c r="N10" s="166" t="s">
        <v>113</v>
      </c>
      <c r="O10" s="167">
        <v>57352</v>
      </c>
      <c r="P10" s="168">
        <v>42773</v>
      </c>
      <c r="S10" s="151"/>
      <c r="T10" s="126"/>
      <c r="U10" s="130"/>
      <c r="V10" s="165"/>
      <c r="W10" s="166" t="s">
        <v>113</v>
      </c>
      <c r="X10" s="167">
        <v>33656</v>
      </c>
      <c r="Y10" s="168">
        <v>42794</v>
      </c>
    </row>
    <row r="11" spans="1:25" ht="15.75" x14ac:dyDescent="0.25">
      <c r="A11" s="129">
        <v>42773</v>
      </c>
      <c r="B11" s="126" t="s">
        <v>158</v>
      </c>
      <c r="C11" s="130">
        <v>40570.559999999998</v>
      </c>
      <c r="D11" s="213" t="s">
        <v>175</v>
      </c>
      <c r="E11" s="130">
        <f>16934.62+23635.94</f>
        <v>40570.559999999998</v>
      </c>
      <c r="F11" s="128">
        <f t="shared" si="0"/>
        <v>0</v>
      </c>
      <c r="J11" s="140"/>
      <c r="K11" s="126" t="s">
        <v>150</v>
      </c>
      <c r="L11" s="36">
        <v>4549.8999999999996</v>
      </c>
      <c r="M11" s="165"/>
      <c r="N11" s="166" t="s">
        <v>113</v>
      </c>
      <c r="O11" s="167">
        <v>40985.5</v>
      </c>
      <c r="P11" s="168">
        <v>42773</v>
      </c>
      <c r="S11" s="151"/>
      <c r="T11" s="126"/>
      <c r="U11" s="130"/>
      <c r="V11" s="165"/>
      <c r="W11" s="166" t="s">
        <v>113</v>
      </c>
      <c r="X11" s="167">
        <v>63</v>
      </c>
      <c r="Y11" s="168">
        <v>42797</v>
      </c>
    </row>
    <row r="12" spans="1:25" ht="15.75" x14ac:dyDescent="0.25">
      <c r="A12" s="129">
        <v>42774</v>
      </c>
      <c r="B12" s="126" t="s">
        <v>159</v>
      </c>
      <c r="C12" s="130">
        <v>131945.18</v>
      </c>
      <c r="D12" s="127">
        <v>42791</v>
      </c>
      <c r="E12" s="130">
        <v>131945.18</v>
      </c>
      <c r="F12" s="128">
        <f t="shared" si="0"/>
        <v>0</v>
      </c>
      <c r="J12" s="140"/>
      <c r="K12" s="126" t="s">
        <v>151</v>
      </c>
      <c r="L12" s="130">
        <v>1064</v>
      </c>
      <c r="M12" s="183"/>
      <c r="N12" s="184" t="s">
        <v>113</v>
      </c>
      <c r="O12" s="185">
        <v>27325</v>
      </c>
      <c r="P12" s="186">
        <v>42773</v>
      </c>
      <c r="S12" s="151"/>
      <c r="T12" s="126"/>
      <c r="U12" s="130"/>
      <c r="V12" s="183"/>
      <c r="W12" s="184" t="s">
        <v>113</v>
      </c>
      <c r="X12" s="185">
        <v>17838</v>
      </c>
      <c r="Y12" s="186">
        <v>42797</v>
      </c>
    </row>
    <row r="13" spans="1:25" ht="15.75" x14ac:dyDescent="0.25">
      <c r="A13" s="129">
        <v>42775</v>
      </c>
      <c r="B13" s="126" t="s">
        <v>160</v>
      </c>
      <c r="C13" s="130">
        <v>19194.599999999999</v>
      </c>
      <c r="D13" s="127">
        <v>42791</v>
      </c>
      <c r="E13" s="130">
        <v>19194.599999999999</v>
      </c>
      <c r="F13" s="128">
        <f t="shared" si="0"/>
        <v>0</v>
      </c>
      <c r="K13" s="132" t="s">
        <v>152</v>
      </c>
      <c r="L13" s="36">
        <v>6749.6</v>
      </c>
      <c r="M13" s="187"/>
      <c r="N13" s="184" t="s">
        <v>113</v>
      </c>
      <c r="O13" s="188">
        <v>27232</v>
      </c>
      <c r="P13" s="186">
        <v>42774</v>
      </c>
      <c r="S13" s="151"/>
      <c r="T13" s="126"/>
      <c r="U13" s="130"/>
      <c r="V13" s="187"/>
      <c r="W13" s="184" t="s">
        <v>113</v>
      </c>
      <c r="X13" s="188"/>
      <c r="Y13" s="186"/>
    </row>
    <row r="14" spans="1:25" ht="15.75" x14ac:dyDescent="0.25">
      <c r="A14" s="129">
        <v>42777</v>
      </c>
      <c r="B14" s="126" t="s">
        <v>161</v>
      </c>
      <c r="C14" s="130">
        <v>141072.01999999999</v>
      </c>
      <c r="D14" s="127">
        <v>42791</v>
      </c>
      <c r="E14" s="130">
        <v>141072.01999999999</v>
      </c>
      <c r="F14" s="128">
        <f t="shared" si="0"/>
        <v>0</v>
      </c>
      <c r="K14" s="126" t="s">
        <v>153</v>
      </c>
      <c r="L14" s="36">
        <v>20426.2</v>
      </c>
      <c r="M14" s="187"/>
      <c r="N14" s="184" t="s">
        <v>113</v>
      </c>
      <c r="O14" s="188">
        <v>41464</v>
      </c>
      <c r="P14" s="186">
        <v>42775</v>
      </c>
      <c r="S14" s="151"/>
      <c r="T14" s="126"/>
      <c r="U14" s="130"/>
      <c r="V14" s="187"/>
      <c r="W14" s="184" t="s">
        <v>113</v>
      </c>
      <c r="X14" s="188"/>
      <c r="Y14" s="186"/>
    </row>
    <row r="15" spans="1:25" ht="16.5" thickBot="1" x14ac:dyDescent="0.3">
      <c r="A15" s="129">
        <v>42780</v>
      </c>
      <c r="B15" s="126" t="s">
        <v>162</v>
      </c>
      <c r="C15" s="130">
        <v>25712.65</v>
      </c>
      <c r="D15" s="127">
        <v>42791</v>
      </c>
      <c r="E15" s="130">
        <v>25712.65</v>
      </c>
      <c r="F15" s="128">
        <f t="shared" si="0"/>
        <v>0</v>
      </c>
      <c r="J15" s="140"/>
      <c r="K15" s="126" t="s">
        <v>155</v>
      </c>
      <c r="L15" s="130">
        <v>35977.449999999997</v>
      </c>
      <c r="M15" s="165"/>
      <c r="N15" s="184" t="s">
        <v>113</v>
      </c>
      <c r="O15" s="189">
        <v>26724.5</v>
      </c>
      <c r="P15" s="186">
        <v>42776</v>
      </c>
      <c r="S15" s="151"/>
      <c r="T15" s="207"/>
      <c r="U15" s="207"/>
      <c r="V15" s="207"/>
      <c r="W15" s="207"/>
      <c r="X15" s="210">
        <v>0</v>
      </c>
      <c r="Y15" s="186"/>
    </row>
    <row r="16" spans="1:25" ht="17.25" thickTop="1" thickBot="1" x14ac:dyDescent="0.3">
      <c r="A16" s="129">
        <v>42781</v>
      </c>
      <c r="B16" s="126" t="s">
        <v>163</v>
      </c>
      <c r="C16" s="130">
        <v>16306.1</v>
      </c>
      <c r="D16" s="127">
        <v>42791</v>
      </c>
      <c r="E16" s="130">
        <v>16306.1</v>
      </c>
      <c r="F16" s="128">
        <f t="shared" si="0"/>
        <v>0</v>
      </c>
      <c r="K16" s="126" t="s">
        <v>156</v>
      </c>
      <c r="L16" s="130">
        <v>86104.04</v>
      </c>
      <c r="M16" s="187"/>
      <c r="N16" s="184" t="s">
        <v>113</v>
      </c>
      <c r="O16" s="188">
        <v>14636</v>
      </c>
      <c r="P16" s="186">
        <v>42773</v>
      </c>
      <c r="S16" s="177">
        <f>SUM(S4:S14)</f>
        <v>251419.14</v>
      </c>
      <c r="T16" s="177"/>
      <c r="U16" s="177">
        <f>SUM(U4:U14)</f>
        <v>251418.00999999998</v>
      </c>
      <c r="V16" s="178"/>
      <c r="W16" s="179"/>
      <c r="X16" s="204">
        <f>SUM(X4:X15)</f>
        <v>251418</v>
      </c>
      <c r="Y16" s="181"/>
    </row>
    <row r="17" spans="1:16" ht="15.75" x14ac:dyDescent="0.25">
      <c r="A17" s="129">
        <v>42782</v>
      </c>
      <c r="B17" s="126" t="s">
        <v>164</v>
      </c>
      <c r="C17" s="130">
        <v>146610.29999999999</v>
      </c>
      <c r="D17" s="138" t="s">
        <v>203</v>
      </c>
      <c r="E17" s="137">
        <f>45233.51+101376.79</f>
        <v>146610.29999999999</v>
      </c>
      <c r="F17" s="128">
        <f t="shared" si="0"/>
        <v>0</v>
      </c>
      <c r="K17" s="126" t="s">
        <v>157</v>
      </c>
      <c r="L17" s="130">
        <v>38879.040000000001</v>
      </c>
      <c r="M17" s="187"/>
      <c r="N17" s="184" t="s">
        <v>113</v>
      </c>
      <c r="O17" s="188">
        <v>51841</v>
      </c>
      <c r="P17" s="186">
        <v>42779</v>
      </c>
    </row>
    <row r="18" spans="1:16" ht="15.75" x14ac:dyDescent="0.25">
      <c r="A18" s="129">
        <v>42784</v>
      </c>
      <c r="B18" s="126" t="s">
        <v>170</v>
      </c>
      <c r="C18" s="130">
        <v>85940.7</v>
      </c>
      <c r="D18" s="138">
        <v>42797</v>
      </c>
      <c r="E18" s="137">
        <v>85940.7</v>
      </c>
      <c r="F18" s="128">
        <f t="shared" si="0"/>
        <v>0</v>
      </c>
      <c r="J18" s="153"/>
      <c r="K18" s="205" t="s">
        <v>158</v>
      </c>
      <c r="L18" s="36">
        <v>16934.62</v>
      </c>
      <c r="M18" s="211" t="s">
        <v>125</v>
      </c>
      <c r="N18" s="206" t="s">
        <v>113</v>
      </c>
      <c r="O18" s="190">
        <v>64894.5</v>
      </c>
      <c r="P18" s="186">
        <v>42779</v>
      </c>
    </row>
    <row r="19" spans="1:16" ht="15.75" x14ac:dyDescent="0.25">
      <c r="A19" s="129">
        <v>42785</v>
      </c>
      <c r="B19" s="126" t="s">
        <v>168</v>
      </c>
      <c r="C19" s="130">
        <v>11484.6</v>
      </c>
      <c r="D19" s="138">
        <v>42797</v>
      </c>
      <c r="E19" s="137">
        <v>11484.6</v>
      </c>
      <c r="F19" s="128">
        <f t="shared" si="0"/>
        <v>0</v>
      </c>
      <c r="J19" s="177">
        <f>SUM(J4:J18)</f>
        <v>0</v>
      </c>
      <c r="K19" s="187"/>
      <c r="L19" s="187"/>
      <c r="M19" s="187"/>
      <c r="N19" s="187"/>
      <c r="O19" s="188">
        <v>14191</v>
      </c>
      <c r="P19" s="186">
        <v>42775</v>
      </c>
    </row>
    <row r="20" spans="1:16" ht="15.75" x14ac:dyDescent="0.25">
      <c r="A20" s="129">
        <v>42786</v>
      </c>
      <c r="B20" s="126" t="s">
        <v>169</v>
      </c>
      <c r="C20" s="130">
        <v>96159</v>
      </c>
      <c r="D20" s="136" t="s">
        <v>220</v>
      </c>
      <c r="E20" s="137">
        <f>19767+76392</f>
        <v>96159</v>
      </c>
      <c r="F20" s="128">
        <f t="shared" si="0"/>
        <v>0</v>
      </c>
      <c r="K20" s="187"/>
      <c r="L20" s="187"/>
      <c r="M20" s="187"/>
      <c r="N20" s="187"/>
      <c r="O20" s="188">
        <v>40973.5</v>
      </c>
      <c r="P20" s="186">
        <v>42778</v>
      </c>
    </row>
    <row r="21" spans="1:16" ht="16.5" thickBot="1" x14ac:dyDescent="0.3">
      <c r="A21" s="129">
        <v>42787</v>
      </c>
      <c r="B21" s="126" t="s">
        <v>172</v>
      </c>
      <c r="C21" s="130">
        <v>22916.6</v>
      </c>
      <c r="D21" s="138">
        <v>42807</v>
      </c>
      <c r="E21" s="137">
        <v>22916.6</v>
      </c>
      <c r="F21" s="128">
        <f t="shared" si="0"/>
        <v>0</v>
      </c>
      <c r="K21" s="207"/>
      <c r="L21" s="207"/>
      <c r="M21" s="207"/>
      <c r="N21" s="207"/>
      <c r="O21" s="210">
        <v>0</v>
      </c>
      <c r="P21" s="186"/>
    </row>
    <row r="22" spans="1:16" ht="17.25" thickTop="1" thickBot="1" x14ac:dyDescent="0.3">
      <c r="A22" s="134">
        <v>42790</v>
      </c>
      <c r="B22" s="126" t="s">
        <v>173</v>
      </c>
      <c r="C22" s="130">
        <v>80829.320000000007</v>
      </c>
      <c r="D22" s="138">
        <v>42807</v>
      </c>
      <c r="E22" s="137">
        <v>80829.320000000007</v>
      </c>
      <c r="F22" s="128">
        <f t="shared" si="0"/>
        <v>0</v>
      </c>
      <c r="G22" s="149"/>
      <c r="K22" s="177"/>
      <c r="L22" s="177">
        <f>SUM(L4:L18)</f>
        <v>607523.50000000012</v>
      </c>
      <c r="M22" s="178"/>
      <c r="N22" s="179"/>
      <c r="O22" s="204">
        <f>SUM(O4:O21)</f>
        <v>607823.5</v>
      </c>
      <c r="P22" s="181"/>
    </row>
    <row r="23" spans="1:16" x14ac:dyDescent="0.25">
      <c r="A23" s="134">
        <v>42791</v>
      </c>
      <c r="B23" s="126" t="s">
        <v>174</v>
      </c>
      <c r="C23" s="130">
        <v>102225.48</v>
      </c>
      <c r="D23" s="138">
        <v>42807</v>
      </c>
      <c r="E23" s="137">
        <v>102225.48</v>
      </c>
      <c r="F23" s="128">
        <f t="shared" si="0"/>
        <v>0</v>
      </c>
      <c r="G23" s="149"/>
    </row>
    <row r="24" spans="1:16" x14ac:dyDescent="0.25">
      <c r="A24" s="134">
        <v>42792</v>
      </c>
      <c r="B24" s="126" t="s">
        <v>189</v>
      </c>
      <c r="C24" s="130">
        <v>14086.5</v>
      </c>
      <c r="D24" s="138">
        <v>42807</v>
      </c>
      <c r="E24" s="137">
        <v>14086.5</v>
      </c>
      <c r="F24" s="128">
        <f t="shared" si="0"/>
        <v>0</v>
      </c>
      <c r="G24" s="202"/>
    </row>
    <row r="25" spans="1:16" x14ac:dyDescent="0.25">
      <c r="A25" s="129"/>
      <c r="B25" s="126"/>
      <c r="C25" s="130"/>
      <c r="D25" s="127"/>
      <c r="F25" s="128">
        <f t="shared" si="0"/>
        <v>0</v>
      </c>
    </row>
    <row r="26" spans="1:16" ht="15.75" thickBot="1" x14ac:dyDescent="0.3">
      <c r="A26" s="129"/>
      <c r="B26" s="126"/>
      <c r="C26" s="130"/>
      <c r="D26" s="127"/>
      <c r="F26" s="128">
        <f t="shared" si="0"/>
        <v>0</v>
      </c>
    </row>
    <row r="27" spans="1:16" ht="19.5" thickBot="1" x14ac:dyDescent="0.35">
      <c r="A27" s="129"/>
      <c r="B27" s="126"/>
      <c r="C27" s="130"/>
      <c r="D27" s="127"/>
      <c r="F27" s="128">
        <f t="shared" si="0"/>
        <v>0</v>
      </c>
      <c r="K27" t="s">
        <v>64</v>
      </c>
      <c r="L27" s="154" t="s">
        <v>105</v>
      </c>
      <c r="M27" s="155"/>
      <c r="N27" s="156"/>
      <c r="O27" s="212">
        <v>42791</v>
      </c>
      <c r="P27" s="158"/>
    </row>
    <row r="28" spans="1:16" ht="15.75" x14ac:dyDescent="0.25">
      <c r="A28" s="129"/>
      <c r="B28" s="126"/>
      <c r="C28" s="130"/>
      <c r="D28" s="127"/>
      <c r="F28" s="128">
        <f t="shared" si="0"/>
        <v>0</v>
      </c>
      <c r="K28" s="159"/>
      <c r="L28" s="160"/>
      <c r="M28" s="159"/>
      <c r="N28" s="161"/>
      <c r="O28" s="160"/>
      <c r="P28" s="162"/>
    </row>
    <row r="29" spans="1:16" ht="15.75" x14ac:dyDescent="0.25">
      <c r="A29" s="129"/>
      <c r="B29" s="126"/>
      <c r="C29" s="130"/>
      <c r="D29" s="127"/>
      <c r="F29" s="128">
        <f t="shared" si="0"/>
        <v>0</v>
      </c>
      <c r="J29" s="151"/>
      <c r="K29" s="163" t="s">
        <v>106</v>
      </c>
      <c r="L29" s="160" t="s">
        <v>107</v>
      </c>
      <c r="M29" s="159"/>
      <c r="N29" s="161" t="s">
        <v>108</v>
      </c>
      <c r="O29" s="160" t="s">
        <v>109</v>
      </c>
      <c r="P29" s="162"/>
    </row>
    <row r="30" spans="1:16" ht="15.75" x14ac:dyDescent="0.25">
      <c r="A30" s="129"/>
      <c r="B30" s="126"/>
      <c r="C30" s="130"/>
      <c r="D30" s="127"/>
      <c r="F30" s="128">
        <f t="shared" si="0"/>
        <v>0</v>
      </c>
      <c r="J30" s="151"/>
      <c r="K30" s="126"/>
      <c r="L30" s="130"/>
      <c r="M30" s="165"/>
      <c r="N30" s="166" t="s">
        <v>113</v>
      </c>
      <c r="O30" s="167">
        <v>34038</v>
      </c>
      <c r="P30" s="168">
        <v>42780</v>
      </c>
    </row>
    <row r="31" spans="1:16" ht="15.75" x14ac:dyDescent="0.25">
      <c r="A31" s="129"/>
      <c r="B31" s="126"/>
      <c r="C31" s="130"/>
      <c r="D31" s="127"/>
      <c r="F31" s="128">
        <f t="shared" si="0"/>
        <v>0</v>
      </c>
      <c r="J31" s="151">
        <v>24285.21</v>
      </c>
      <c r="K31" s="126" t="s">
        <v>158</v>
      </c>
      <c r="L31" s="130">
        <v>23635.94</v>
      </c>
      <c r="M31" s="165" t="s">
        <v>171</v>
      </c>
      <c r="N31" s="166" t="s">
        <v>113</v>
      </c>
      <c r="O31" s="167">
        <v>31316</v>
      </c>
      <c r="P31" s="168">
        <v>42781</v>
      </c>
    </row>
    <row r="32" spans="1:16" ht="15.75" x14ac:dyDescent="0.25">
      <c r="A32" s="129"/>
      <c r="B32" s="126"/>
      <c r="C32" s="130"/>
      <c r="D32" s="127"/>
      <c r="F32" s="128">
        <f t="shared" si="0"/>
        <v>0</v>
      </c>
      <c r="J32" s="151">
        <f>9753.1+31316.16+44728+34374.35+11773.54</f>
        <v>131945.15000000002</v>
      </c>
      <c r="K32" s="126" t="s">
        <v>159</v>
      </c>
      <c r="L32" s="130">
        <v>131945.18</v>
      </c>
      <c r="M32" s="165"/>
      <c r="N32" s="166" t="s">
        <v>113</v>
      </c>
      <c r="O32" s="167">
        <v>44728</v>
      </c>
      <c r="P32" s="168">
        <v>42782</v>
      </c>
    </row>
    <row r="33" spans="1:16" ht="15.75" x14ac:dyDescent="0.25">
      <c r="A33" s="129"/>
      <c r="B33" s="126"/>
      <c r="C33" s="130"/>
      <c r="D33" s="127"/>
      <c r="F33" s="128">
        <f t="shared" si="0"/>
        <v>0</v>
      </c>
      <c r="J33" s="151">
        <v>19194.599999999999</v>
      </c>
      <c r="K33" s="126" t="s">
        <v>160</v>
      </c>
      <c r="L33" s="130">
        <v>19194.599999999999</v>
      </c>
      <c r="M33" s="165"/>
      <c r="N33" s="166" t="s">
        <v>113</v>
      </c>
      <c r="O33" s="167">
        <v>34374.5</v>
      </c>
      <c r="P33" s="168">
        <v>42783</v>
      </c>
    </row>
    <row r="34" spans="1:16" ht="15.75" x14ac:dyDescent="0.25">
      <c r="A34" s="129"/>
      <c r="B34" s="126"/>
      <c r="C34" s="130"/>
      <c r="D34" s="127"/>
      <c r="F34" s="128">
        <f t="shared" si="0"/>
        <v>0</v>
      </c>
      <c r="J34" s="151">
        <f>25203.11+70100.24+45235.99+532.86</f>
        <v>141072.19999999998</v>
      </c>
      <c r="K34" s="126" t="s">
        <v>161</v>
      </c>
      <c r="L34" s="130">
        <v>141072.01999999999</v>
      </c>
      <c r="M34" s="165"/>
      <c r="N34" s="166" t="s">
        <v>113</v>
      </c>
      <c r="O34" s="167">
        <v>56171.5</v>
      </c>
      <c r="P34" s="168">
        <v>42786</v>
      </c>
    </row>
    <row r="35" spans="1:16" ht="15.75" x14ac:dyDescent="0.25">
      <c r="A35" s="129"/>
      <c r="B35" s="126"/>
      <c r="C35" s="130"/>
      <c r="D35" s="127"/>
      <c r="F35" s="128">
        <f t="shared" si="0"/>
        <v>0</v>
      </c>
      <c r="J35" s="151">
        <f>6714+18999.25</f>
        <v>25713.25</v>
      </c>
      <c r="K35" s="126" t="s">
        <v>162</v>
      </c>
      <c r="L35" s="130">
        <v>25712.65</v>
      </c>
      <c r="M35" s="165"/>
      <c r="N35" s="166" t="s">
        <v>113</v>
      </c>
      <c r="O35" s="167">
        <v>70100</v>
      </c>
      <c r="P35" s="168">
        <v>42786</v>
      </c>
    </row>
    <row r="36" spans="1:16" ht="15.75" x14ac:dyDescent="0.25">
      <c r="A36" s="129"/>
      <c r="B36" s="126"/>
      <c r="C36" s="130"/>
      <c r="D36" s="127"/>
      <c r="F36" s="128">
        <f t="shared" si="0"/>
        <v>0</v>
      </c>
      <c r="J36" s="151">
        <f>13329.16+2976.94</f>
        <v>16306.1</v>
      </c>
      <c r="K36" s="126" t="s">
        <v>163</v>
      </c>
      <c r="L36" s="130">
        <v>16306.1</v>
      </c>
      <c r="M36" s="165"/>
      <c r="N36" s="166" t="s">
        <v>113</v>
      </c>
      <c r="O36" s="167">
        <v>45236</v>
      </c>
      <c r="P36" s="168">
        <v>42786</v>
      </c>
    </row>
    <row r="37" spans="1:16" ht="16.5" thickBot="1" x14ac:dyDescent="0.3">
      <c r="A37" s="142"/>
      <c r="B37" s="143"/>
      <c r="C37" s="144"/>
      <c r="D37" s="145"/>
      <c r="E37" s="146"/>
      <c r="F37" s="147">
        <f t="shared" si="0"/>
        <v>0</v>
      </c>
      <c r="J37" s="151">
        <f>22988.13+21595.1</f>
        <v>44583.229999999996</v>
      </c>
      <c r="K37" s="126" t="s">
        <v>164</v>
      </c>
      <c r="L37" s="130">
        <v>45233.51</v>
      </c>
      <c r="M37" s="165"/>
      <c r="N37" s="166" t="s">
        <v>113</v>
      </c>
      <c r="O37" s="167">
        <v>32862</v>
      </c>
      <c r="P37" s="168">
        <v>42787</v>
      </c>
    </row>
    <row r="38" spans="1:16" ht="16.5" thickTop="1" x14ac:dyDescent="0.25">
      <c r="B38" s="44"/>
      <c r="C38" s="130">
        <f>SUM(C3:C37)</f>
        <v>1161652.7599999998</v>
      </c>
      <c r="D38" s="148"/>
      <c r="E38" s="140">
        <f>SUM(E3:E37)</f>
        <v>1161652.7599999998</v>
      </c>
      <c r="F38" s="130">
        <f>SUM(F3:F37)</f>
        <v>0</v>
      </c>
      <c r="J38" s="151"/>
      <c r="K38" s="126"/>
      <c r="L38" s="130"/>
      <c r="M38" s="183"/>
      <c r="N38" s="184" t="s">
        <v>113</v>
      </c>
      <c r="O38" s="185">
        <v>6714</v>
      </c>
      <c r="P38" s="186">
        <v>42780</v>
      </c>
    </row>
    <row r="39" spans="1:16" ht="15.75" x14ac:dyDescent="0.25">
      <c r="A39"/>
      <c r="B39" s="16"/>
      <c r="C39" s="151"/>
      <c r="D39"/>
      <c r="E39"/>
      <c r="F39"/>
      <c r="G39"/>
      <c r="J39" s="151"/>
      <c r="K39" s="126"/>
      <c r="L39" s="130"/>
      <c r="M39" s="187"/>
      <c r="N39" s="184" t="s">
        <v>113</v>
      </c>
      <c r="O39" s="188">
        <v>22988</v>
      </c>
      <c r="P39" s="186">
        <v>42790</v>
      </c>
    </row>
    <row r="40" spans="1:16" ht="15.75" x14ac:dyDescent="0.25">
      <c r="A40"/>
      <c r="B40" s="16"/>
      <c r="C40" s="151"/>
      <c r="D40"/>
      <c r="E40"/>
      <c r="F40"/>
      <c r="G40"/>
      <c r="J40" s="151"/>
      <c r="K40" s="126"/>
      <c r="L40" s="130"/>
      <c r="M40" s="187"/>
      <c r="N40" s="184" t="s">
        <v>113</v>
      </c>
      <c r="O40" s="188">
        <v>24572</v>
      </c>
      <c r="P40" s="186">
        <v>42788</v>
      </c>
    </row>
    <row r="41" spans="1:16" ht="16.5" thickBot="1" x14ac:dyDescent="0.3">
      <c r="A41"/>
      <c r="B41" s="149"/>
      <c r="D41" s="149"/>
      <c r="J41" s="151"/>
      <c r="K41" s="207"/>
      <c r="L41" s="207"/>
      <c r="M41" s="207"/>
      <c r="N41" s="207"/>
      <c r="O41" s="210">
        <v>0</v>
      </c>
      <c r="P41" s="186"/>
    </row>
    <row r="42" spans="1:16" ht="17.25" thickTop="1" thickBot="1" x14ac:dyDescent="0.3">
      <c r="A42"/>
      <c r="B42" s="149"/>
      <c r="D42" s="149"/>
      <c r="J42" s="177">
        <f>SUM(J30:J40)</f>
        <v>403099.74</v>
      </c>
      <c r="K42" s="177"/>
      <c r="L42" s="177">
        <f>SUM(L30:L40)</f>
        <v>403100</v>
      </c>
      <c r="M42" s="178"/>
      <c r="N42" s="179"/>
      <c r="O42" s="204">
        <f>SUM(O30:O41)</f>
        <v>403100</v>
      </c>
      <c r="P42" s="181"/>
    </row>
    <row r="43" spans="1:16" x14ac:dyDescent="0.25">
      <c r="A43"/>
      <c r="B43" s="149"/>
      <c r="D43" s="149"/>
    </row>
    <row r="44" spans="1:16" x14ac:dyDescent="0.25">
      <c r="A44"/>
      <c r="B44" s="149"/>
      <c r="D44" s="149"/>
    </row>
    <row r="45" spans="1:16" x14ac:dyDescent="0.25">
      <c r="A45"/>
      <c r="B45" s="149"/>
      <c r="D45" s="149"/>
    </row>
    <row r="46" spans="1:16" x14ac:dyDescent="0.25">
      <c r="A46"/>
      <c r="B46" s="149"/>
      <c r="D46" s="149"/>
    </row>
    <row r="47" spans="1:16" x14ac:dyDescent="0.25">
      <c r="A47"/>
      <c r="B47" s="149">
        <v>42767</v>
      </c>
      <c r="C47" s="140">
        <v>0</v>
      </c>
      <c r="D47" s="149"/>
    </row>
    <row r="48" spans="1:16" x14ac:dyDescent="0.25">
      <c r="A48"/>
      <c r="B48" s="149">
        <v>42768</v>
      </c>
      <c r="C48" s="140">
        <v>0</v>
      </c>
      <c r="D48" s="149"/>
    </row>
    <row r="49" spans="1:7" x14ac:dyDescent="0.25">
      <c r="A49"/>
      <c r="B49" s="149">
        <v>42769</v>
      </c>
      <c r="C49" s="140">
        <v>0</v>
      </c>
      <c r="D49" s="149"/>
    </row>
    <row r="50" spans="1:7" x14ac:dyDescent="0.25">
      <c r="A50"/>
      <c r="B50" s="149">
        <v>42770</v>
      </c>
      <c r="C50" s="140">
        <v>860</v>
      </c>
      <c r="D50" s="149" t="s">
        <v>97</v>
      </c>
    </row>
    <row r="51" spans="1:7" x14ac:dyDescent="0.25">
      <c r="A51"/>
      <c r="B51" s="149">
        <v>42771</v>
      </c>
      <c r="C51" s="140">
        <v>0</v>
      </c>
      <c r="D51" s="149"/>
      <c r="F51"/>
      <c r="G51"/>
    </row>
    <row r="52" spans="1:7" x14ac:dyDescent="0.25">
      <c r="A52"/>
      <c r="B52" s="149">
        <v>42772</v>
      </c>
      <c r="C52" s="140">
        <v>0</v>
      </c>
      <c r="D52" s="149"/>
      <c r="F52"/>
      <c r="G52"/>
    </row>
    <row r="53" spans="1:7" x14ac:dyDescent="0.25">
      <c r="A53"/>
      <c r="B53" s="149">
        <v>42773</v>
      </c>
      <c r="C53" s="140">
        <v>1077</v>
      </c>
      <c r="D53" s="149" t="s">
        <v>165</v>
      </c>
      <c r="F53"/>
      <c r="G53"/>
    </row>
    <row r="54" spans="1:7" x14ac:dyDescent="0.25">
      <c r="A54"/>
      <c r="B54" s="149">
        <v>42774</v>
      </c>
      <c r="C54" s="140">
        <v>0</v>
      </c>
      <c r="D54" s="149"/>
      <c r="F54"/>
      <c r="G54"/>
    </row>
    <row r="55" spans="1:7" x14ac:dyDescent="0.25">
      <c r="A55"/>
      <c r="B55" s="149">
        <v>42775</v>
      </c>
      <c r="C55" s="140">
        <v>629</v>
      </c>
      <c r="D55" s="149" t="s">
        <v>97</v>
      </c>
      <c r="F55"/>
      <c r="G55"/>
    </row>
    <row r="56" spans="1:7" x14ac:dyDescent="0.25">
      <c r="A56"/>
      <c r="B56" s="149">
        <v>42776</v>
      </c>
      <c r="C56" s="140">
        <v>15</v>
      </c>
      <c r="D56" s="149" t="s">
        <v>166</v>
      </c>
      <c r="F56"/>
      <c r="G56"/>
    </row>
    <row r="57" spans="1:7" x14ac:dyDescent="0.25">
      <c r="A57"/>
      <c r="B57" s="149">
        <v>42777</v>
      </c>
      <c r="C57" s="140">
        <v>1300</v>
      </c>
      <c r="D57" s="149" t="s">
        <v>167</v>
      </c>
      <c r="F57"/>
      <c r="G57"/>
    </row>
    <row r="58" spans="1:7" x14ac:dyDescent="0.25">
      <c r="A58"/>
      <c r="B58" s="149">
        <v>42778</v>
      </c>
      <c r="C58" s="140">
        <v>0</v>
      </c>
      <c r="D58" s="149"/>
      <c r="F58"/>
      <c r="G58"/>
    </row>
    <row r="59" spans="1:7" x14ac:dyDescent="0.25">
      <c r="A59"/>
      <c r="B59" s="149">
        <v>42779</v>
      </c>
      <c r="C59" s="140">
        <v>595</v>
      </c>
      <c r="D59" s="149" t="s">
        <v>97</v>
      </c>
      <c r="F59"/>
      <c r="G59"/>
    </row>
    <row r="60" spans="1:7" x14ac:dyDescent="0.25">
      <c r="A60"/>
      <c r="B60" s="149">
        <v>42780</v>
      </c>
      <c r="C60" s="164">
        <v>0</v>
      </c>
      <c r="D60" s="149"/>
      <c r="E60"/>
      <c r="F60"/>
      <c r="G60"/>
    </row>
    <row r="61" spans="1:7" x14ac:dyDescent="0.25">
      <c r="A61"/>
      <c r="B61" s="149">
        <v>42781</v>
      </c>
      <c r="C61" s="164">
        <v>0</v>
      </c>
      <c r="D61"/>
      <c r="E61"/>
      <c r="F61"/>
      <c r="G61"/>
    </row>
    <row r="62" spans="1:7" x14ac:dyDescent="0.25">
      <c r="A62"/>
      <c r="B62" s="149">
        <v>42782</v>
      </c>
      <c r="C62" s="164">
        <v>0</v>
      </c>
      <c r="D62"/>
      <c r="E62"/>
      <c r="F62"/>
      <c r="G62"/>
    </row>
    <row r="63" spans="1:7" x14ac:dyDescent="0.25">
      <c r="A63"/>
      <c r="B63" s="149">
        <v>42783</v>
      </c>
      <c r="C63" s="164">
        <v>890</v>
      </c>
      <c r="D63" t="s">
        <v>179</v>
      </c>
      <c r="E63"/>
      <c r="F63"/>
      <c r="G63"/>
    </row>
    <row r="64" spans="1:7" x14ac:dyDescent="0.25">
      <c r="A64"/>
      <c r="B64" s="149">
        <v>42784</v>
      </c>
      <c r="C64" s="164">
        <v>1400</v>
      </c>
      <c r="D64" t="s">
        <v>181</v>
      </c>
      <c r="E64"/>
      <c r="F64"/>
      <c r="G64"/>
    </row>
    <row r="65" spans="1:7" x14ac:dyDescent="0.25">
      <c r="A65"/>
      <c r="B65" s="149">
        <v>42785</v>
      </c>
      <c r="C65" s="164">
        <v>0</v>
      </c>
      <c r="D65"/>
      <c r="E65"/>
      <c r="F65"/>
      <c r="G65"/>
    </row>
    <row r="66" spans="1:7" x14ac:dyDescent="0.25">
      <c r="B66" s="149">
        <v>42786</v>
      </c>
      <c r="C66" s="164">
        <v>0</v>
      </c>
      <c r="D66"/>
      <c r="E66"/>
    </row>
    <row r="67" spans="1:7" x14ac:dyDescent="0.25">
      <c r="B67" s="149">
        <v>42787</v>
      </c>
      <c r="C67" s="164">
        <v>176</v>
      </c>
      <c r="D67" t="s">
        <v>104</v>
      </c>
      <c r="E67"/>
    </row>
    <row r="68" spans="1:7" x14ac:dyDescent="0.25">
      <c r="B68" s="149">
        <v>42788</v>
      </c>
      <c r="C68" s="164">
        <v>1223</v>
      </c>
      <c r="D68" t="s">
        <v>187</v>
      </c>
      <c r="E68"/>
    </row>
    <row r="69" spans="1:7" x14ac:dyDescent="0.25">
      <c r="B69" s="149">
        <v>42789</v>
      </c>
      <c r="C69" s="164">
        <v>0</v>
      </c>
      <c r="D69"/>
      <c r="E69"/>
    </row>
    <row r="70" spans="1:7" x14ac:dyDescent="0.25">
      <c r="B70" s="149">
        <v>42790</v>
      </c>
      <c r="C70" s="164">
        <v>480</v>
      </c>
      <c r="D70" t="s">
        <v>192</v>
      </c>
      <c r="E70"/>
    </row>
    <row r="71" spans="1:7" x14ac:dyDescent="0.25">
      <c r="B71" s="149">
        <v>42791</v>
      </c>
      <c r="C71" s="164">
        <v>0</v>
      </c>
      <c r="D71"/>
      <c r="E71"/>
    </row>
    <row r="72" spans="1:7" x14ac:dyDescent="0.25">
      <c r="B72" s="149">
        <v>42792</v>
      </c>
      <c r="C72" s="164">
        <v>0</v>
      </c>
      <c r="D72"/>
      <c r="E72"/>
    </row>
    <row r="73" spans="1:7" x14ac:dyDescent="0.25">
      <c r="B73" s="149">
        <v>42793</v>
      </c>
      <c r="C73" s="164">
        <v>420.84</v>
      </c>
      <c r="D73" t="s">
        <v>104</v>
      </c>
      <c r="E73"/>
    </row>
    <row r="74" spans="1:7" x14ac:dyDescent="0.25">
      <c r="B74" s="149">
        <v>42794</v>
      </c>
      <c r="C74" s="164">
        <v>0</v>
      </c>
      <c r="D74"/>
      <c r="E74"/>
    </row>
    <row r="75" spans="1:7" x14ac:dyDescent="0.25">
      <c r="B75" s="149"/>
      <c r="C75" s="140">
        <v>0</v>
      </c>
    </row>
    <row r="76" spans="1:7" ht="18.75" x14ac:dyDescent="0.3">
      <c r="C76" s="215">
        <f>SUM(C47:C75)</f>
        <v>9065.84</v>
      </c>
    </row>
  </sheetData>
  <sortState ref="A15:C20">
    <sortCondition ref="B15:B20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57"/>
  <sheetViews>
    <sheetView topLeftCell="A3" workbookViewId="0">
      <selection activeCell="J13" sqref="J1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40" t="s">
        <v>263</v>
      </c>
      <c r="D1" s="340"/>
      <c r="E1" s="340"/>
      <c r="F1" s="340"/>
      <c r="G1" s="340"/>
      <c r="H1" s="340"/>
      <c r="I1" s="340"/>
      <c r="J1" s="340"/>
      <c r="K1" s="340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229801.74</v>
      </c>
      <c r="D4" s="13"/>
      <c r="E4" s="341" t="s">
        <v>4</v>
      </c>
      <c r="F4" s="342"/>
      <c r="I4" s="343" t="s">
        <v>5</v>
      </c>
      <c r="J4" s="344"/>
      <c r="K4" s="344"/>
      <c r="L4" s="344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42795</v>
      </c>
      <c r="C5" s="30">
        <v>32737.53</v>
      </c>
      <c r="D5" s="19" t="s">
        <v>201</v>
      </c>
      <c r="E5" s="20">
        <v>42795</v>
      </c>
      <c r="F5" s="32">
        <v>22645.89</v>
      </c>
      <c r="G5" s="22"/>
      <c r="H5" s="23">
        <v>42795</v>
      </c>
      <c r="I5" s="194">
        <v>695.68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42796</v>
      </c>
      <c r="C6" s="30">
        <v>33336</v>
      </c>
      <c r="D6" s="31" t="s">
        <v>212</v>
      </c>
      <c r="E6" s="20">
        <v>42796</v>
      </c>
      <c r="F6" s="32">
        <v>33436.269999999997</v>
      </c>
      <c r="G6" s="33"/>
      <c r="H6" s="23">
        <v>42796</v>
      </c>
      <c r="I6" s="35">
        <v>100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42797</v>
      </c>
      <c r="C7" s="30">
        <v>32434.3</v>
      </c>
      <c r="D7" s="19" t="s">
        <v>213</v>
      </c>
      <c r="E7" s="20">
        <v>42797</v>
      </c>
      <c r="F7" s="32">
        <v>31411.1</v>
      </c>
      <c r="G7" s="22"/>
      <c r="H7" s="23">
        <v>42797</v>
      </c>
      <c r="I7" s="35">
        <v>184</v>
      </c>
      <c r="J7" s="36"/>
      <c r="K7" s="40" t="s">
        <v>131</v>
      </c>
      <c r="L7" s="38">
        <v>0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42798</v>
      </c>
      <c r="C8" s="30">
        <v>59236.89</v>
      </c>
      <c r="D8" s="19" t="s">
        <v>214</v>
      </c>
      <c r="E8" s="20">
        <v>42798</v>
      </c>
      <c r="F8" s="32">
        <v>59336.89</v>
      </c>
      <c r="G8" s="22"/>
      <c r="H8" s="23">
        <v>42798</v>
      </c>
      <c r="I8" s="35">
        <v>100</v>
      </c>
      <c r="J8" s="36"/>
      <c r="K8" s="37" t="s">
        <v>14</v>
      </c>
      <c r="L8" s="41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42799</v>
      </c>
      <c r="C9" s="30">
        <v>25221.41</v>
      </c>
      <c r="D9" s="19" t="s">
        <v>216</v>
      </c>
      <c r="E9" s="20">
        <v>42799</v>
      </c>
      <c r="F9" s="32">
        <v>31606.58</v>
      </c>
      <c r="G9" s="22"/>
      <c r="H9" s="23">
        <v>42799</v>
      </c>
      <c r="I9" s="35">
        <v>530</v>
      </c>
      <c r="J9" s="42" t="s">
        <v>257</v>
      </c>
      <c r="K9" s="37" t="s">
        <v>282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42800</v>
      </c>
      <c r="C10" s="30">
        <v>28437.82</v>
      </c>
      <c r="D10" s="31" t="s">
        <v>216</v>
      </c>
      <c r="E10" s="20">
        <v>42800</v>
      </c>
      <c r="F10" s="32">
        <v>28837.82</v>
      </c>
      <c r="G10" s="22"/>
      <c r="H10" s="23">
        <v>42800</v>
      </c>
      <c r="I10" s="35">
        <v>400</v>
      </c>
      <c r="J10" s="42" t="s">
        <v>256</v>
      </c>
      <c r="K10" s="37" t="s">
        <v>279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42801</v>
      </c>
      <c r="C11" s="30">
        <v>36725.29</v>
      </c>
      <c r="D11" s="45" t="s">
        <v>217</v>
      </c>
      <c r="E11" s="20">
        <v>42801</v>
      </c>
      <c r="F11" s="32">
        <v>27969.99</v>
      </c>
      <c r="G11" s="22"/>
      <c r="H11" s="23">
        <v>42801</v>
      </c>
      <c r="I11" s="35">
        <v>100</v>
      </c>
      <c r="J11" s="42" t="s">
        <v>258</v>
      </c>
      <c r="K11" s="37" t="s">
        <v>280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42802</v>
      </c>
      <c r="C12" s="30">
        <v>29085.759999999998</v>
      </c>
      <c r="D12" s="19" t="s">
        <v>219</v>
      </c>
      <c r="E12" s="20">
        <v>42802</v>
      </c>
      <c r="F12" s="32">
        <v>30055.79</v>
      </c>
      <c r="G12" s="22"/>
      <c r="H12" s="23">
        <v>42802</v>
      </c>
      <c r="I12" s="35">
        <v>100</v>
      </c>
      <c r="J12" s="42" t="s">
        <v>306</v>
      </c>
      <c r="K12" s="37" t="s">
        <v>281</v>
      </c>
      <c r="L12" s="32">
        <v>11892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42803</v>
      </c>
      <c r="C13" s="30">
        <v>27257.5</v>
      </c>
      <c r="D13" s="45" t="s">
        <v>219</v>
      </c>
      <c r="E13" s="20">
        <v>42803</v>
      </c>
      <c r="F13" s="32">
        <v>27875.42</v>
      </c>
      <c r="G13" s="22"/>
      <c r="H13" s="23">
        <v>42803</v>
      </c>
      <c r="I13" s="35">
        <v>618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42804</v>
      </c>
      <c r="C14" s="30">
        <v>37088.230000000003</v>
      </c>
      <c r="D14" s="19" t="s">
        <v>229</v>
      </c>
      <c r="E14" s="20">
        <v>42804</v>
      </c>
      <c r="F14" s="32">
        <v>37244.410000000003</v>
      </c>
      <c r="G14" s="22"/>
      <c r="H14" s="23">
        <v>42804</v>
      </c>
      <c r="I14" s="35">
        <v>156</v>
      </c>
      <c r="J14" s="42" t="s">
        <v>230</v>
      </c>
      <c r="K14" s="48" t="s">
        <v>233</v>
      </c>
      <c r="L14" s="32">
        <v>2500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42805</v>
      </c>
      <c r="C15" s="30">
        <v>69100.86</v>
      </c>
      <c r="D15" s="19" t="s">
        <v>231</v>
      </c>
      <c r="E15" s="20">
        <v>42805</v>
      </c>
      <c r="F15" s="32">
        <v>66893.94</v>
      </c>
      <c r="G15" s="22"/>
      <c r="H15" s="23">
        <v>42805</v>
      </c>
      <c r="I15" s="35">
        <v>100</v>
      </c>
      <c r="J15" s="42"/>
      <c r="K15" s="49" t="s">
        <v>31</v>
      </c>
      <c r="L15" s="32">
        <v>21564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42806</v>
      </c>
      <c r="C16" s="30">
        <v>14159.5</v>
      </c>
      <c r="D16" s="19" t="s">
        <v>232</v>
      </c>
      <c r="E16" s="20">
        <v>42806</v>
      </c>
      <c r="F16" s="32">
        <v>37851.25</v>
      </c>
      <c r="G16" s="22"/>
      <c r="H16" s="23">
        <v>42806</v>
      </c>
      <c r="I16" s="35">
        <v>400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42807</v>
      </c>
      <c r="C17" s="30">
        <v>32499.35</v>
      </c>
      <c r="D17" s="19" t="s">
        <v>234</v>
      </c>
      <c r="E17" s="20">
        <v>42807</v>
      </c>
      <c r="F17" s="32">
        <v>32599.35</v>
      </c>
      <c r="G17" s="22"/>
      <c r="H17" s="23">
        <v>42807</v>
      </c>
      <c r="I17" s="35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42808</v>
      </c>
      <c r="C18" s="30">
        <v>30486.18</v>
      </c>
      <c r="D18" s="19" t="s">
        <v>235</v>
      </c>
      <c r="E18" s="20">
        <v>42808</v>
      </c>
      <c r="F18" s="32">
        <v>30715.78</v>
      </c>
      <c r="G18" s="22"/>
      <c r="H18" s="23">
        <v>42808</v>
      </c>
      <c r="I18" s="35">
        <v>229.6</v>
      </c>
      <c r="J18" s="42"/>
      <c r="K18" s="53" t="s">
        <v>35</v>
      </c>
      <c r="L18" s="32">
        <v>400</v>
      </c>
      <c r="M18" s="39">
        <v>0</v>
      </c>
      <c r="N18" s="35">
        <v>100</v>
      </c>
      <c r="O18" s="44"/>
      <c r="P18" s="22"/>
      <c r="Q18" s="22"/>
    </row>
    <row r="19" spans="1:18" ht="15.75" thickBot="1" x14ac:dyDescent="0.3">
      <c r="A19" s="16"/>
      <c r="B19" s="17">
        <v>42809</v>
      </c>
      <c r="C19" s="30">
        <v>31973.41</v>
      </c>
      <c r="D19" s="19" t="s">
        <v>236</v>
      </c>
      <c r="E19" s="20">
        <v>42809</v>
      </c>
      <c r="F19" s="32">
        <v>32073.41</v>
      </c>
      <c r="G19" s="22"/>
      <c r="H19" s="23">
        <v>42809</v>
      </c>
      <c r="I19" s="35">
        <v>100</v>
      </c>
      <c r="J19" s="42"/>
      <c r="K19" s="53" t="s">
        <v>200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42810</v>
      </c>
      <c r="C20" s="30">
        <v>24582</v>
      </c>
      <c r="D20" s="31" t="s">
        <v>237</v>
      </c>
      <c r="E20" s="20">
        <v>42810</v>
      </c>
      <c r="F20" s="32">
        <v>24681.759999999998</v>
      </c>
      <c r="G20" s="22"/>
      <c r="H20" s="23">
        <v>42810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42811</v>
      </c>
      <c r="C21" s="30">
        <v>40436.559999999998</v>
      </c>
      <c r="D21" s="19" t="s">
        <v>238</v>
      </c>
      <c r="E21" s="20">
        <v>42811</v>
      </c>
      <c r="F21" s="32">
        <v>40592.559999999998</v>
      </c>
      <c r="G21" s="22"/>
      <c r="H21" s="23">
        <v>42811</v>
      </c>
      <c r="I21" s="55">
        <v>156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42812</v>
      </c>
      <c r="C22" s="30">
        <v>61790.16</v>
      </c>
      <c r="D22" s="19" t="s">
        <v>239</v>
      </c>
      <c r="E22" s="20">
        <v>42812</v>
      </c>
      <c r="F22" s="32">
        <v>62100.160000000003</v>
      </c>
      <c r="G22" s="22"/>
      <c r="H22" s="23">
        <v>42812</v>
      </c>
      <c r="I22" s="55">
        <v>310</v>
      </c>
      <c r="J22" s="58"/>
      <c r="K22" s="59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42813</v>
      </c>
      <c r="C23" s="30">
        <v>25925.967000000001</v>
      </c>
      <c r="D23" s="60" t="s">
        <v>242</v>
      </c>
      <c r="E23" s="20">
        <v>42813</v>
      </c>
      <c r="F23" s="32">
        <v>37532.93</v>
      </c>
      <c r="G23" s="22"/>
      <c r="H23" s="23">
        <v>42813</v>
      </c>
      <c r="I23" s="55">
        <v>1056.96</v>
      </c>
      <c r="J23" s="36"/>
      <c r="K23" s="61" t="s">
        <v>218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42814</v>
      </c>
      <c r="C24" s="30">
        <v>27612.71</v>
      </c>
      <c r="D24" s="19" t="s">
        <v>242</v>
      </c>
      <c r="E24" s="20">
        <v>42814</v>
      </c>
      <c r="F24" s="32">
        <v>27712.71</v>
      </c>
      <c r="G24" s="22"/>
      <c r="H24" s="23">
        <v>42814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42815</v>
      </c>
      <c r="C25" s="30">
        <v>42208.160000000003</v>
      </c>
      <c r="D25" s="60" t="s">
        <v>243</v>
      </c>
      <c r="E25" s="20">
        <v>42815</v>
      </c>
      <c r="F25" s="32">
        <v>42346.16</v>
      </c>
      <c r="G25" s="22"/>
      <c r="H25" s="23">
        <v>42815</v>
      </c>
      <c r="I25" s="55">
        <v>138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42816</v>
      </c>
      <c r="C26" s="30">
        <v>26160.48</v>
      </c>
      <c r="D26" s="19" t="s">
        <v>248</v>
      </c>
      <c r="E26" s="20">
        <v>42816</v>
      </c>
      <c r="F26" s="32">
        <v>26260.48</v>
      </c>
      <c r="G26" s="22"/>
      <c r="H26" s="23">
        <v>42816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42817</v>
      </c>
      <c r="C27" s="30">
        <v>18510</v>
      </c>
      <c r="D27" s="19" t="s">
        <v>248</v>
      </c>
      <c r="E27" s="20">
        <v>42817</v>
      </c>
      <c r="F27" s="32">
        <v>18609.75</v>
      </c>
      <c r="G27" s="22"/>
      <c r="H27" s="23">
        <v>42817</v>
      </c>
      <c r="I27" s="55">
        <v>100</v>
      </c>
      <c r="J27" s="36"/>
      <c r="K27" s="199" t="s">
        <v>215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42818</v>
      </c>
      <c r="C28" s="30">
        <v>46566.91</v>
      </c>
      <c r="D28" s="19" t="s">
        <v>248</v>
      </c>
      <c r="E28" s="20">
        <v>42818</v>
      </c>
      <c r="F28" s="32">
        <v>46750.91</v>
      </c>
      <c r="G28" s="22"/>
      <c r="H28" s="23">
        <v>42818</v>
      </c>
      <c r="I28" s="55">
        <v>184</v>
      </c>
      <c r="J28" s="36"/>
      <c r="K28" s="64" t="s">
        <v>241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42819</v>
      </c>
      <c r="C29" s="30">
        <v>61425.52</v>
      </c>
      <c r="D29" s="19" t="s">
        <v>254</v>
      </c>
      <c r="E29" s="20">
        <v>42819</v>
      </c>
      <c r="F29" s="32">
        <v>61645.52</v>
      </c>
      <c r="G29" s="22"/>
      <c r="H29" s="23">
        <v>42819</v>
      </c>
      <c r="I29" s="55">
        <v>220</v>
      </c>
      <c r="J29" s="36"/>
      <c r="K29" s="64" t="s">
        <v>240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42820</v>
      </c>
      <c r="C30" s="30">
        <v>39035.1</v>
      </c>
      <c r="D30" s="19" t="s">
        <v>259</v>
      </c>
      <c r="E30" s="20">
        <v>42820</v>
      </c>
      <c r="F30" s="32">
        <v>51473.51</v>
      </c>
      <c r="G30" s="22"/>
      <c r="H30" s="23">
        <v>42820</v>
      </c>
      <c r="I30" s="55">
        <v>1396.71</v>
      </c>
      <c r="J30" s="63"/>
      <c r="K30" s="64" t="s">
        <v>255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42821</v>
      </c>
      <c r="C31" s="30">
        <v>27026.79</v>
      </c>
      <c r="D31" s="19" t="s">
        <v>260</v>
      </c>
      <c r="E31" s="20">
        <v>42821</v>
      </c>
      <c r="F31" s="32">
        <v>27126.79</v>
      </c>
      <c r="G31" s="22"/>
      <c r="H31" s="23">
        <v>42821</v>
      </c>
      <c r="I31" s="55">
        <v>100</v>
      </c>
      <c r="J31" s="42"/>
      <c r="K31" s="66"/>
      <c r="L31" s="67">
        <v>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42822</v>
      </c>
      <c r="C32" s="30">
        <v>26992.73</v>
      </c>
      <c r="D32" s="19" t="s">
        <v>260</v>
      </c>
      <c r="E32" s="20">
        <v>42822</v>
      </c>
      <c r="F32" s="32">
        <v>27127.73</v>
      </c>
      <c r="G32" s="22"/>
      <c r="H32" s="23">
        <v>42822</v>
      </c>
      <c r="I32" s="55">
        <v>135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customHeight="1" thickBot="1" x14ac:dyDescent="0.3">
      <c r="A33" s="16"/>
      <c r="B33" s="17">
        <v>42823</v>
      </c>
      <c r="C33" s="30">
        <v>30454.3</v>
      </c>
      <c r="D33" s="45" t="s">
        <v>267</v>
      </c>
      <c r="E33" s="20">
        <v>42823</v>
      </c>
      <c r="F33" s="32">
        <v>27907.54</v>
      </c>
      <c r="G33" s="22"/>
      <c r="H33" s="23">
        <v>42823</v>
      </c>
      <c r="I33" s="55">
        <v>667.56</v>
      </c>
      <c r="J33" s="36"/>
      <c r="K33" s="69"/>
      <c r="L33" s="232"/>
      <c r="M33" s="39">
        <v>0</v>
      </c>
      <c r="N33" s="35">
        <v>100</v>
      </c>
      <c r="O33" s="22"/>
      <c r="P33" s="22"/>
      <c r="Q33" s="22"/>
    </row>
    <row r="34" spans="1:17" ht="15.75" customHeight="1" thickBot="1" x14ac:dyDescent="0.3">
      <c r="A34" s="16"/>
      <c r="B34" s="17">
        <v>42824</v>
      </c>
      <c r="C34" s="30">
        <v>27602.06</v>
      </c>
      <c r="D34" s="19" t="s">
        <v>268</v>
      </c>
      <c r="E34" s="20">
        <v>42824</v>
      </c>
      <c r="F34" s="32">
        <v>28172.31</v>
      </c>
      <c r="G34" s="22"/>
      <c r="H34" s="23">
        <v>42824</v>
      </c>
      <c r="I34" s="55">
        <v>570</v>
      </c>
      <c r="J34" s="36"/>
      <c r="K34" s="69"/>
      <c r="L34" s="233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42825</v>
      </c>
      <c r="C35" s="30">
        <v>73488.895999999993</v>
      </c>
      <c r="D35" s="45" t="s">
        <v>269</v>
      </c>
      <c r="E35" s="20">
        <v>42825</v>
      </c>
      <c r="F35" s="32">
        <v>73644.86</v>
      </c>
      <c r="G35" s="22"/>
      <c r="H35" s="23">
        <v>42825</v>
      </c>
      <c r="I35" s="55">
        <v>156</v>
      </c>
      <c r="J35" s="36"/>
      <c r="K35" s="347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47"/>
      <c r="L36" s="41"/>
      <c r="M36" s="78">
        <v>0</v>
      </c>
      <c r="N36" s="79">
        <f>SUM(N5:N35)</f>
        <v>3100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1119598.3729999999</v>
      </c>
      <c r="E38" s="217" t="s">
        <v>60</v>
      </c>
      <c r="F38" s="94">
        <f>SUM(F5:F37)</f>
        <v>1154239.5700000003</v>
      </c>
      <c r="H38" s="6" t="s">
        <v>60</v>
      </c>
      <c r="I38" s="4">
        <f>SUM(I5:I37)</f>
        <v>9403.51</v>
      </c>
      <c r="J38" s="4"/>
      <c r="K38" s="95" t="s">
        <v>60</v>
      </c>
      <c r="L38" s="96">
        <f>SUM(L5:L37)</f>
        <v>114714</v>
      </c>
    </row>
    <row r="40" spans="1:17" ht="15.75" x14ac:dyDescent="0.25">
      <c r="A40" s="97"/>
      <c r="B40" s="98"/>
      <c r="C40" s="36"/>
      <c r="D40" s="99"/>
      <c r="E40" s="100"/>
      <c r="F40" s="77"/>
      <c r="H40" s="336" t="s">
        <v>61</v>
      </c>
      <c r="I40" s="337"/>
      <c r="J40" s="216"/>
      <c r="K40" s="338">
        <f>I38+L38</f>
        <v>124117.51</v>
      </c>
      <c r="L40" s="339"/>
    </row>
    <row r="41" spans="1:17" ht="15.75" x14ac:dyDescent="0.25">
      <c r="B41" s="102"/>
      <c r="C41" s="77"/>
      <c r="D41" s="323" t="s">
        <v>62</v>
      </c>
      <c r="E41" s="323"/>
      <c r="F41" s="103">
        <f>F38-K40</f>
        <v>1030122.0600000003</v>
      </c>
      <c r="I41" s="104"/>
      <c r="J41" s="104"/>
    </row>
    <row r="42" spans="1:17" ht="15.75" x14ac:dyDescent="0.25">
      <c r="D42" s="324" t="s">
        <v>63</v>
      </c>
      <c r="E42" s="324"/>
      <c r="F42" s="103">
        <v>-1136514.6499999999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-106392.58999999962</v>
      </c>
      <c r="I44" s="325" t="s">
        <v>66</v>
      </c>
      <c r="J44" s="326"/>
      <c r="K44" s="329">
        <f>F48+L46</f>
        <v>179821.11000000036</v>
      </c>
      <c r="L44" s="330"/>
    </row>
    <row r="45" spans="1:17" ht="15.75" thickBot="1" x14ac:dyDescent="0.3">
      <c r="D45" s="108" t="s">
        <v>67</v>
      </c>
      <c r="E45" s="97" t="s">
        <v>68</v>
      </c>
      <c r="F45" s="4">
        <v>30469.96</v>
      </c>
      <c r="I45" s="327"/>
      <c r="J45" s="328"/>
      <c r="K45" s="331"/>
      <c r="L45" s="332"/>
    </row>
    <row r="46" spans="1:17" ht="17.25" thickTop="1" thickBot="1" x14ac:dyDescent="0.3">
      <c r="C46" s="94"/>
      <c r="D46" s="333" t="s">
        <v>69</v>
      </c>
      <c r="E46" s="333"/>
      <c r="F46" s="109">
        <v>255743.74</v>
      </c>
      <c r="I46" s="334"/>
      <c r="J46" s="334"/>
      <c r="K46" s="335"/>
      <c r="L46" s="110"/>
    </row>
    <row r="47" spans="1:17" ht="19.5" thickBot="1" x14ac:dyDescent="0.35">
      <c r="C47" s="94"/>
      <c r="D47" s="217"/>
      <c r="E47" s="217"/>
      <c r="F47" s="111"/>
      <c r="H47" s="112"/>
      <c r="I47" s="218" t="s">
        <v>276</v>
      </c>
      <c r="J47" s="218"/>
      <c r="K47" s="317">
        <f>-C4</f>
        <v>-229801.74</v>
      </c>
      <c r="L47" s="317"/>
      <c r="M47" s="114"/>
    </row>
    <row r="48" spans="1:17" ht="17.25" thickTop="1" thickBot="1" x14ac:dyDescent="0.3">
      <c r="E48" s="115" t="s">
        <v>71</v>
      </c>
      <c r="F48" s="116">
        <f>F44+F45+F46</f>
        <v>179821.11000000036</v>
      </c>
    </row>
    <row r="49" spans="2:14" ht="19.5" thickBot="1" x14ac:dyDescent="0.35">
      <c r="B49"/>
      <c r="C49"/>
      <c r="D49" s="318"/>
      <c r="E49" s="318"/>
      <c r="F49" s="77"/>
      <c r="I49" s="319" t="s">
        <v>274</v>
      </c>
      <c r="J49" s="320"/>
      <c r="K49" s="321">
        <f>K44+K47</f>
        <v>-49980.629999999626</v>
      </c>
      <c r="L49" s="32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6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K35:K3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Y74"/>
  <sheetViews>
    <sheetView topLeftCell="A13" workbookViewId="0">
      <selection activeCell="E17" sqref="E17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4" customWidth="1"/>
    <col min="11" max="11" width="11.140625" customWidth="1"/>
    <col min="12" max="12" width="13.5703125" customWidth="1"/>
    <col min="15" max="15" width="20.140625" bestFit="1" customWidth="1"/>
    <col min="16" max="16" width="13.140625" bestFit="1" customWidth="1"/>
    <col min="19" max="19" width="13.85546875" bestFit="1" customWidth="1"/>
    <col min="21" max="21" width="15.140625" customWidth="1"/>
    <col min="24" max="24" width="20.140625" bestFit="1" customWidth="1"/>
    <col min="25" max="25" width="13.140625" bestFit="1" customWidth="1"/>
  </cols>
  <sheetData>
    <row r="1" spans="1:25" ht="19.5" thickBot="1" x14ac:dyDescent="0.35">
      <c r="B1" s="118" t="s">
        <v>199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08">
        <v>42807</v>
      </c>
      <c r="P1" s="158"/>
      <c r="T1" t="s">
        <v>64</v>
      </c>
      <c r="U1" s="154" t="s">
        <v>105</v>
      </c>
      <c r="V1" s="155"/>
      <c r="W1" s="156"/>
      <c r="X1" s="231">
        <v>42824</v>
      </c>
      <c r="Y1" s="158"/>
    </row>
    <row r="2" spans="1:25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T2" s="159"/>
      <c r="U2" s="160"/>
      <c r="V2" s="159"/>
      <c r="W2" s="161"/>
      <c r="X2" s="160"/>
      <c r="Y2" s="162"/>
    </row>
    <row r="3" spans="1:25" ht="15.75" x14ac:dyDescent="0.25">
      <c r="A3" s="125">
        <v>42795</v>
      </c>
      <c r="B3" s="126" t="s">
        <v>204</v>
      </c>
      <c r="C3" s="36">
        <v>12132.5</v>
      </c>
      <c r="D3" s="133" t="s">
        <v>244</v>
      </c>
      <c r="E3" s="36">
        <f>4594.6+7537.9</f>
        <v>12132.5</v>
      </c>
      <c r="F3" s="128">
        <f t="shared" ref="F3:F27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T3" s="163" t="s">
        <v>106</v>
      </c>
      <c r="U3" s="160" t="s">
        <v>107</v>
      </c>
      <c r="V3" s="159"/>
      <c r="W3" s="161" t="s">
        <v>108</v>
      </c>
      <c r="X3" s="160" t="s">
        <v>109</v>
      </c>
      <c r="Y3" s="162"/>
    </row>
    <row r="4" spans="1:25" ht="15.75" x14ac:dyDescent="0.25">
      <c r="A4" s="129">
        <v>42796</v>
      </c>
      <c r="B4" s="126" t="s">
        <v>205</v>
      </c>
      <c r="C4" s="130">
        <v>11609.3</v>
      </c>
      <c r="D4" s="127">
        <v>42817</v>
      </c>
      <c r="E4" s="130">
        <v>11609.3</v>
      </c>
      <c r="F4" s="128">
        <f t="shared" si="0"/>
        <v>0</v>
      </c>
      <c r="G4" s="37"/>
      <c r="J4" s="164">
        <f>20175.21+11187.32+32746+12932.82</f>
        <v>77041.350000000006</v>
      </c>
      <c r="K4" s="126" t="s">
        <v>169</v>
      </c>
      <c r="L4" s="130">
        <v>76392</v>
      </c>
      <c r="M4" s="165" t="s">
        <v>111</v>
      </c>
      <c r="N4" s="166" t="s">
        <v>113</v>
      </c>
      <c r="O4" s="167">
        <v>20175</v>
      </c>
      <c r="P4" s="168">
        <v>42797</v>
      </c>
      <c r="S4" s="164">
        <f>26160+18510+46566.91+40922</f>
        <v>132158.91</v>
      </c>
      <c r="T4" s="126" t="s">
        <v>225</v>
      </c>
      <c r="U4" s="130">
        <v>131511.19</v>
      </c>
      <c r="V4" s="165" t="s">
        <v>111</v>
      </c>
      <c r="W4" s="166" t="s">
        <v>113</v>
      </c>
      <c r="X4" s="167">
        <v>26160</v>
      </c>
      <c r="Y4" s="168">
        <v>42817</v>
      </c>
    </row>
    <row r="5" spans="1:25" ht="15.75" x14ac:dyDescent="0.25">
      <c r="A5" s="129">
        <v>42796</v>
      </c>
      <c r="B5" s="132" t="s">
        <v>206</v>
      </c>
      <c r="C5" s="36">
        <v>30505.200000000001</v>
      </c>
      <c r="D5" s="127">
        <v>42817</v>
      </c>
      <c r="E5" s="36">
        <v>30505.200000000001</v>
      </c>
      <c r="F5" s="128">
        <f t="shared" si="0"/>
        <v>0</v>
      </c>
      <c r="G5" s="201"/>
      <c r="J5" s="164">
        <f>19501.48+3415.12</f>
        <v>22916.6</v>
      </c>
      <c r="K5" s="126" t="s">
        <v>172</v>
      </c>
      <c r="L5" s="130">
        <v>22916.6</v>
      </c>
      <c r="M5" s="165"/>
      <c r="N5" s="166" t="s">
        <v>113</v>
      </c>
      <c r="O5" s="167">
        <v>11187</v>
      </c>
      <c r="P5" s="168">
        <v>42793</v>
      </c>
      <c r="S5" s="164">
        <f>19357.52+9819.36+15419.02</f>
        <v>44595.9</v>
      </c>
      <c r="T5" s="126" t="s">
        <v>226</v>
      </c>
      <c r="U5" s="130">
        <v>44595.9</v>
      </c>
      <c r="V5" s="165"/>
      <c r="W5" s="166" t="s">
        <v>113</v>
      </c>
      <c r="X5" s="167">
        <v>18510</v>
      </c>
      <c r="Y5" s="168">
        <v>42818</v>
      </c>
    </row>
    <row r="6" spans="1:25" ht="15.75" x14ac:dyDescent="0.25">
      <c r="A6" s="134">
        <v>42797</v>
      </c>
      <c r="B6" s="126" t="s">
        <v>207</v>
      </c>
      <c r="C6" s="36">
        <v>51011.92</v>
      </c>
      <c r="D6" s="127">
        <v>42817</v>
      </c>
      <c r="E6" s="36">
        <v>51011.92</v>
      </c>
      <c r="F6" s="128">
        <f t="shared" si="0"/>
        <v>0</v>
      </c>
      <c r="G6" s="176"/>
      <c r="J6" s="140">
        <f>54751.77+24377.55+1700</f>
        <v>80829.319999999992</v>
      </c>
      <c r="K6" s="126" t="s">
        <v>173</v>
      </c>
      <c r="L6" s="130">
        <v>80829.320000000007</v>
      </c>
      <c r="M6" s="165"/>
      <c r="N6" s="166" t="s">
        <v>113</v>
      </c>
      <c r="O6" s="167">
        <v>32746</v>
      </c>
      <c r="P6" s="168">
        <v>42797</v>
      </c>
      <c r="S6" s="140">
        <f>12996.72+27026.79+26992.76</f>
        <v>67016.27</v>
      </c>
      <c r="T6" s="126" t="s">
        <v>227</v>
      </c>
      <c r="U6" s="130">
        <v>67664.61</v>
      </c>
      <c r="V6" s="165" t="s">
        <v>202</v>
      </c>
      <c r="W6" s="166" t="s">
        <v>113</v>
      </c>
      <c r="X6" s="167">
        <v>46567</v>
      </c>
      <c r="Y6" s="168">
        <v>42821</v>
      </c>
    </row>
    <row r="7" spans="1:25" ht="15.75" x14ac:dyDescent="0.25">
      <c r="A7" s="129">
        <v>42797</v>
      </c>
      <c r="B7" s="126" t="s">
        <v>208</v>
      </c>
      <c r="C7" s="130">
        <v>32047.62</v>
      </c>
      <c r="D7" s="127">
        <v>42817</v>
      </c>
      <c r="E7" s="130">
        <v>32047.62</v>
      </c>
      <c r="F7" s="128">
        <f t="shared" si="0"/>
        <v>0</v>
      </c>
      <c r="G7" s="176"/>
      <c r="J7" s="140">
        <f>843.86+26737.82+36333.29+29085.76+9224.75</f>
        <v>102225.48</v>
      </c>
      <c r="K7" s="126" t="s">
        <v>174</v>
      </c>
      <c r="L7" s="130">
        <v>102225.48</v>
      </c>
      <c r="M7" s="165"/>
      <c r="N7" s="166" t="s">
        <v>113</v>
      </c>
      <c r="O7" s="167">
        <v>32434</v>
      </c>
      <c r="P7" s="168">
        <v>42801</v>
      </c>
      <c r="S7" s="140">
        <v>800</v>
      </c>
      <c r="T7" s="126" t="s">
        <v>228</v>
      </c>
      <c r="U7" s="130">
        <v>800.8</v>
      </c>
      <c r="V7" s="165"/>
      <c r="W7" s="166" t="s">
        <v>113</v>
      </c>
      <c r="X7" s="167">
        <v>60279.5</v>
      </c>
      <c r="Y7" s="168">
        <v>42821</v>
      </c>
    </row>
    <row r="8" spans="1:25" ht="15.75" x14ac:dyDescent="0.25">
      <c r="A8" s="129">
        <v>42798</v>
      </c>
      <c r="B8" s="126" t="s">
        <v>209</v>
      </c>
      <c r="C8" s="130">
        <v>20043.2</v>
      </c>
      <c r="D8" s="127">
        <v>42817</v>
      </c>
      <c r="E8" s="130">
        <v>20043.2</v>
      </c>
      <c r="F8" s="128">
        <f t="shared" si="0"/>
        <v>0</v>
      </c>
      <c r="G8" s="176"/>
      <c r="J8" s="140">
        <v>14086.5</v>
      </c>
      <c r="K8" s="126" t="s">
        <v>189</v>
      </c>
      <c r="L8" s="130">
        <v>14086.5</v>
      </c>
      <c r="M8" s="165"/>
      <c r="N8" s="166" t="s">
        <v>113</v>
      </c>
      <c r="O8" s="167">
        <v>58167</v>
      </c>
      <c r="P8" s="168">
        <v>42801</v>
      </c>
      <c r="S8" s="140"/>
      <c r="T8" s="126"/>
      <c r="U8" s="130"/>
      <c r="V8" s="165"/>
      <c r="W8" s="166" t="s">
        <v>113</v>
      </c>
      <c r="X8" s="167">
        <v>29216</v>
      </c>
      <c r="Y8" s="168">
        <v>42821</v>
      </c>
    </row>
    <row r="9" spans="1:25" ht="15.75" x14ac:dyDescent="0.25">
      <c r="A9" s="129">
        <v>42800</v>
      </c>
      <c r="B9" s="126" t="s">
        <v>210</v>
      </c>
      <c r="C9" s="130">
        <v>46218.04</v>
      </c>
      <c r="D9" s="127">
        <v>42817</v>
      </c>
      <c r="E9" s="130">
        <v>46218.04</v>
      </c>
      <c r="F9" s="128">
        <f t="shared" si="0"/>
        <v>0</v>
      </c>
      <c r="G9" s="176"/>
      <c r="J9" s="140">
        <v>3946.25</v>
      </c>
      <c r="K9" s="126" t="s">
        <v>204</v>
      </c>
      <c r="L9" s="36">
        <v>4594.6000000000004</v>
      </c>
      <c r="M9" s="165" t="s">
        <v>125</v>
      </c>
      <c r="N9" s="166" t="s">
        <v>113</v>
      </c>
      <c r="O9" s="167">
        <v>25221.5</v>
      </c>
      <c r="P9" s="168">
        <v>42801</v>
      </c>
      <c r="S9" s="140"/>
      <c r="T9" s="126"/>
      <c r="U9" s="36"/>
      <c r="V9" s="165"/>
      <c r="W9" s="166" t="s">
        <v>113</v>
      </c>
      <c r="X9" s="167">
        <v>9820</v>
      </c>
      <c r="Y9" s="168">
        <v>42817</v>
      </c>
    </row>
    <row r="10" spans="1:25" ht="15.75" x14ac:dyDescent="0.25">
      <c r="A10" s="129">
        <v>42800</v>
      </c>
      <c r="B10" s="126" t="s">
        <v>211</v>
      </c>
      <c r="C10" s="130">
        <v>1339</v>
      </c>
      <c r="D10" s="127">
        <v>42817</v>
      </c>
      <c r="E10" s="130">
        <v>1339</v>
      </c>
      <c r="F10" s="128">
        <f t="shared" si="0"/>
        <v>0</v>
      </c>
      <c r="G10" s="37"/>
      <c r="J10" s="140"/>
      <c r="K10" s="126"/>
      <c r="L10" s="130"/>
      <c r="M10" s="165"/>
      <c r="N10" s="166" t="s">
        <v>113</v>
      </c>
      <c r="O10" s="167">
        <v>28438</v>
      </c>
      <c r="P10" s="168">
        <v>42801</v>
      </c>
      <c r="S10" s="140"/>
      <c r="T10" s="126"/>
      <c r="U10" s="130"/>
      <c r="V10" s="165"/>
      <c r="W10" s="166" t="s">
        <v>113</v>
      </c>
      <c r="X10" s="167">
        <v>27027</v>
      </c>
      <c r="Y10" s="168">
        <v>42822</v>
      </c>
    </row>
    <row r="11" spans="1:25" ht="15.75" x14ac:dyDescent="0.25">
      <c r="A11" s="129">
        <v>42802</v>
      </c>
      <c r="B11" s="126" t="s">
        <v>221</v>
      </c>
      <c r="C11" s="130">
        <v>101899.98</v>
      </c>
      <c r="D11" s="127">
        <v>42817</v>
      </c>
      <c r="E11" s="130">
        <v>101899.98</v>
      </c>
      <c r="F11" s="128">
        <f t="shared" si="0"/>
        <v>0</v>
      </c>
      <c r="J11" s="140"/>
      <c r="K11" s="126"/>
      <c r="L11" s="36"/>
      <c r="M11" s="165"/>
      <c r="N11" s="166" t="s">
        <v>113</v>
      </c>
      <c r="O11" s="167">
        <v>36333</v>
      </c>
      <c r="P11" s="168">
        <v>42802</v>
      </c>
      <c r="S11" s="140"/>
      <c r="T11" s="126"/>
      <c r="U11" s="36"/>
      <c r="V11" s="165"/>
      <c r="W11" s="166" t="s">
        <v>113</v>
      </c>
      <c r="X11" s="167">
        <v>26993</v>
      </c>
      <c r="Y11" s="168">
        <v>42823</v>
      </c>
    </row>
    <row r="12" spans="1:25" ht="15.75" x14ac:dyDescent="0.25">
      <c r="A12" s="129">
        <v>42803</v>
      </c>
      <c r="B12" s="126" t="s">
        <v>222</v>
      </c>
      <c r="C12" s="130">
        <v>30677.4</v>
      </c>
      <c r="D12" s="127">
        <v>42817</v>
      </c>
      <c r="E12" s="130">
        <v>30677.4</v>
      </c>
      <c r="F12" s="128">
        <f t="shared" si="0"/>
        <v>0</v>
      </c>
      <c r="J12" s="140"/>
      <c r="K12" s="126"/>
      <c r="L12" s="130"/>
      <c r="M12" s="183"/>
      <c r="N12" s="184" t="s">
        <v>113</v>
      </c>
      <c r="O12" s="185">
        <v>29086</v>
      </c>
      <c r="P12" s="186">
        <v>42803</v>
      </c>
      <c r="S12" s="140"/>
      <c r="T12" s="126"/>
      <c r="U12" s="130"/>
      <c r="V12" s="183"/>
      <c r="W12" s="184" t="s">
        <v>113</v>
      </c>
      <c r="X12" s="185"/>
      <c r="Y12" s="186"/>
    </row>
    <row r="13" spans="1:25" ht="15.75" x14ac:dyDescent="0.25">
      <c r="A13" s="129">
        <v>42804</v>
      </c>
      <c r="B13" s="126" t="s">
        <v>223</v>
      </c>
      <c r="C13" s="130">
        <v>92913.88</v>
      </c>
      <c r="D13" s="127">
        <v>42817</v>
      </c>
      <c r="E13" s="130">
        <v>92913.88</v>
      </c>
      <c r="F13" s="128">
        <f t="shared" si="0"/>
        <v>0</v>
      </c>
      <c r="K13" s="132"/>
      <c r="L13" s="36"/>
      <c r="M13" s="187"/>
      <c r="N13" s="184" t="s">
        <v>113</v>
      </c>
      <c r="O13" s="188">
        <v>27257</v>
      </c>
      <c r="P13" s="186">
        <v>42804</v>
      </c>
      <c r="T13" s="132"/>
      <c r="U13" s="36"/>
      <c r="V13" s="187"/>
      <c r="W13" s="184" t="s">
        <v>113</v>
      </c>
      <c r="X13" s="188"/>
      <c r="Y13" s="186"/>
    </row>
    <row r="14" spans="1:25" ht="16.5" thickBot="1" x14ac:dyDescent="0.3">
      <c r="A14" s="129">
        <v>42805</v>
      </c>
      <c r="B14" s="126" t="s">
        <v>224</v>
      </c>
      <c r="C14" s="130">
        <v>3555.2</v>
      </c>
      <c r="D14" s="127">
        <v>42817</v>
      </c>
      <c r="E14" s="130">
        <v>3555.2</v>
      </c>
      <c r="F14" s="128">
        <f t="shared" si="0"/>
        <v>0</v>
      </c>
      <c r="J14" s="177">
        <f>SUM(J4:J13)</f>
        <v>301045.5</v>
      </c>
      <c r="K14" s="207"/>
      <c r="L14" s="207"/>
      <c r="M14" s="207"/>
      <c r="N14" s="207"/>
      <c r="O14" s="221">
        <v>0</v>
      </c>
      <c r="P14" s="222"/>
      <c r="S14" s="177">
        <f>SUM(S4:S13)</f>
        <v>244571.08000000002</v>
      </c>
      <c r="T14" s="207"/>
      <c r="U14" s="207"/>
      <c r="V14" s="207"/>
      <c r="W14" s="207"/>
      <c r="X14" s="221">
        <v>0</v>
      </c>
      <c r="Y14" s="222"/>
    </row>
    <row r="15" spans="1:25" ht="17.25" thickTop="1" thickBot="1" x14ac:dyDescent="0.3">
      <c r="A15" s="134">
        <v>42808</v>
      </c>
      <c r="B15" s="126" t="s">
        <v>225</v>
      </c>
      <c r="C15" s="130">
        <v>135881.9</v>
      </c>
      <c r="D15" s="127" t="s">
        <v>261</v>
      </c>
      <c r="E15" s="130">
        <f>4370.71+131511.19</f>
        <v>135881.9</v>
      </c>
      <c r="F15" s="128">
        <f t="shared" si="0"/>
        <v>0</v>
      </c>
      <c r="G15" s="149"/>
      <c r="K15" s="177"/>
      <c r="L15" s="177">
        <f>SUM(L4:L13)</f>
        <v>301044.5</v>
      </c>
      <c r="M15" s="178"/>
      <c r="N15" s="179"/>
      <c r="O15" s="204">
        <f>SUM(O4:O14)</f>
        <v>301044.5</v>
      </c>
      <c r="P15" s="181"/>
      <c r="T15" s="177"/>
      <c r="U15" s="177">
        <f>SUM(U4:U13)</f>
        <v>244572.5</v>
      </c>
      <c r="V15" s="178"/>
      <c r="W15" s="179"/>
      <c r="X15" s="204">
        <f>SUM(X4:X14)</f>
        <v>244572.5</v>
      </c>
      <c r="Y15" s="181"/>
    </row>
    <row r="16" spans="1:25" x14ac:dyDescent="0.25">
      <c r="A16" s="134">
        <v>42810</v>
      </c>
      <c r="B16" s="126" t="s">
        <v>226</v>
      </c>
      <c r="C16" s="130">
        <v>44595.9</v>
      </c>
      <c r="D16" s="127">
        <v>42824</v>
      </c>
      <c r="E16" s="130">
        <v>44595.9</v>
      </c>
      <c r="F16" s="128">
        <f t="shared" si="0"/>
        <v>0</v>
      </c>
      <c r="G16" s="149"/>
    </row>
    <row r="17" spans="1:16" x14ac:dyDescent="0.25">
      <c r="A17" s="134">
        <v>42813</v>
      </c>
      <c r="B17" s="126" t="s">
        <v>227</v>
      </c>
      <c r="C17" s="130">
        <v>106205.4</v>
      </c>
      <c r="D17" s="136" t="s">
        <v>296</v>
      </c>
      <c r="E17" s="137">
        <f>67664.61+38540.79</f>
        <v>106205.4</v>
      </c>
      <c r="F17" s="128">
        <f t="shared" si="0"/>
        <v>0</v>
      </c>
      <c r="G17" s="202"/>
    </row>
    <row r="18" spans="1:16" x14ac:dyDescent="0.25">
      <c r="A18" s="134">
        <v>42813</v>
      </c>
      <c r="B18" s="126" t="s">
        <v>228</v>
      </c>
      <c r="C18" s="130">
        <v>800.8</v>
      </c>
      <c r="D18" s="127">
        <v>42824</v>
      </c>
      <c r="E18" s="130">
        <v>800.8</v>
      </c>
      <c r="F18" s="128">
        <f t="shared" si="0"/>
        <v>0</v>
      </c>
    </row>
    <row r="19" spans="1:16" ht="15.75" thickBot="1" x14ac:dyDescent="0.3">
      <c r="A19" s="134">
        <v>42816</v>
      </c>
      <c r="B19" s="126" t="s">
        <v>245</v>
      </c>
      <c r="C19" s="130">
        <v>129251.8</v>
      </c>
      <c r="D19" s="138">
        <v>42838</v>
      </c>
      <c r="E19" s="137">
        <v>129251.8</v>
      </c>
      <c r="F19" s="128">
        <f t="shared" si="0"/>
        <v>0</v>
      </c>
    </row>
    <row r="20" spans="1:16" ht="19.5" thickBot="1" x14ac:dyDescent="0.35">
      <c r="A20" s="134">
        <v>42818</v>
      </c>
      <c r="B20" s="126" t="s">
        <v>246</v>
      </c>
      <c r="C20" s="130">
        <v>17182.400000000001</v>
      </c>
      <c r="D20" s="138">
        <v>42838</v>
      </c>
      <c r="E20" s="137">
        <v>17182.400000000001</v>
      </c>
      <c r="F20" s="128">
        <f t="shared" si="0"/>
        <v>0</v>
      </c>
      <c r="K20" t="s">
        <v>64</v>
      </c>
      <c r="L20" s="154" t="s">
        <v>105</v>
      </c>
      <c r="M20" s="155"/>
      <c r="N20" s="156"/>
      <c r="O20" s="223">
        <v>42817</v>
      </c>
      <c r="P20" s="158"/>
    </row>
    <row r="21" spans="1:16" ht="15.75" x14ac:dyDescent="0.25">
      <c r="A21" s="134">
        <v>42819</v>
      </c>
      <c r="B21" s="126" t="s">
        <v>249</v>
      </c>
      <c r="C21" s="130">
        <v>30839.119999999999</v>
      </c>
      <c r="D21" s="138">
        <v>42838</v>
      </c>
      <c r="E21" s="137">
        <v>30839.119999999999</v>
      </c>
      <c r="F21" s="128">
        <f t="shared" si="0"/>
        <v>0</v>
      </c>
      <c r="K21" s="159"/>
      <c r="L21" s="160"/>
      <c r="M21" s="159"/>
      <c r="N21" s="161"/>
      <c r="O21" s="160"/>
      <c r="P21" s="162"/>
    </row>
    <row r="22" spans="1:16" ht="15.75" x14ac:dyDescent="0.25">
      <c r="A22" s="134">
        <v>42821</v>
      </c>
      <c r="B22" s="126" t="s">
        <v>250</v>
      </c>
      <c r="C22" s="130">
        <v>87604.800000000003</v>
      </c>
      <c r="D22" s="138">
        <v>42838</v>
      </c>
      <c r="E22" s="137">
        <v>87604.800000000003</v>
      </c>
      <c r="F22" s="128">
        <f t="shared" si="0"/>
        <v>0</v>
      </c>
      <c r="K22" s="163" t="s">
        <v>106</v>
      </c>
      <c r="L22" s="160" t="s">
        <v>107</v>
      </c>
      <c r="M22" s="159"/>
      <c r="N22" s="161" t="s">
        <v>108</v>
      </c>
      <c r="O22" s="160" t="s">
        <v>109</v>
      </c>
      <c r="P22" s="162"/>
    </row>
    <row r="23" spans="1:16" ht="15.75" x14ac:dyDescent="0.25">
      <c r="A23" s="134">
        <v>42822</v>
      </c>
      <c r="B23" s="126" t="s">
        <v>251</v>
      </c>
      <c r="C23" s="130">
        <v>31892</v>
      </c>
      <c r="D23" s="138">
        <v>42838</v>
      </c>
      <c r="E23" s="137">
        <v>31892</v>
      </c>
      <c r="F23" s="128">
        <f t="shared" si="0"/>
        <v>0</v>
      </c>
      <c r="J23" s="164">
        <v>8186.25</v>
      </c>
      <c r="K23" s="126" t="s">
        <v>204</v>
      </c>
      <c r="L23" s="36">
        <v>7537.9</v>
      </c>
      <c r="M23" s="165" t="s">
        <v>111</v>
      </c>
      <c r="N23" s="166" t="s">
        <v>113</v>
      </c>
      <c r="O23" s="167">
        <v>36297</v>
      </c>
      <c r="P23" s="168">
        <v>42807</v>
      </c>
    </row>
    <row r="24" spans="1:16" ht="15.75" x14ac:dyDescent="0.25">
      <c r="A24" s="129">
        <v>42824</v>
      </c>
      <c r="B24" s="126" t="s">
        <v>252</v>
      </c>
      <c r="C24" s="130">
        <v>95225.69</v>
      </c>
      <c r="D24" s="138">
        <v>42838</v>
      </c>
      <c r="E24" s="137">
        <v>95225.69</v>
      </c>
      <c r="F24" s="128">
        <f t="shared" si="0"/>
        <v>0</v>
      </c>
      <c r="J24" s="164">
        <v>11609.3</v>
      </c>
      <c r="K24" s="126" t="s">
        <v>205</v>
      </c>
      <c r="L24" s="130">
        <v>11609.3</v>
      </c>
      <c r="M24" s="165"/>
      <c r="N24" s="166" t="s">
        <v>113</v>
      </c>
      <c r="O24" s="167">
        <v>3080</v>
      </c>
      <c r="P24" s="168">
        <v>42803</v>
      </c>
    </row>
    <row r="25" spans="1:16" ht="15.75" x14ac:dyDescent="0.25">
      <c r="A25" s="129">
        <v>42824</v>
      </c>
      <c r="B25" s="126" t="s">
        <v>253</v>
      </c>
      <c r="C25" s="130">
        <v>8247.4</v>
      </c>
      <c r="D25" s="138">
        <v>42838</v>
      </c>
      <c r="E25" s="137">
        <v>8247.4</v>
      </c>
      <c r="F25" s="128">
        <f t="shared" si="0"/>
        <v>0</v>
      </c>
      <c r="J25" s="140">
        <f>16501.68+3080.32+7595.68+3327.52</f>
        <v>30505.200000000001</v>
      </c>
      <c r="K25" s="132" t="s">
        <v>206</v>
      </c>
      <c r="L25" s="36">
        <v>30505.200000000001</v>
      </c>
      <c r="M25" s="165"/>
      <c r="N25" s="166" t="s">
        <v>113</v>
      </c>
      <c r="O25" s="167">
        <v>7596</v>
      </c>
      <c r="P25" s="168">
        <v>42801</v>
      </c>
    </row>
    <row r="26" spans="1:16" ht="15.75" x14ac:dyDescent="0.25">
      <c r="A26" s="129">
        <v>42825</v>
      </c>
      <c r="B26" s="126" t="s">
        <v>262</v>
      </c>
      <c r="C26" s="130">
        <v>4087.2</v>
      </c>
      <c r="D26" s="138">
        <v>42838</v>
      </c>
      <c r="E26" s="137">
        <v>4087.2</v>
      </c>
      <c r="F26" s="128">
        <f t="shared" si="0"/>
        <v>0</v>
      </c>
      <c r="J26" s="140">
        <f>23049.72+14159.52+13802.68</f>
        <v>51011.920000000006</v>
      </c>
      <c r="K26" s="126" t="s">
        <v>207</v>
      </c>
      <c r="L26" s="36">
        <v>51011.92</v>
      </c>
      <c r="M26" s="165"/>
      <c r="N26" s="166" t="s">
        <v>113</v>
      </c>
      <c r="O26" s="167">
        <v>7477</v>
      </c>
      <c r="P26" s="168">
        <v>42800</v>
      </c>
    </row>
    <row r="27" spans="1:16" ht="15.75" x14ac:dyDescent="0.25">
      <c r="A27" s="129"/>
      <c r="B27" s="126"/>
      <c r="C27" s="130"/>
      <c r="D27" s="127"/>
      <c r="E27" s="130"/>
      <c r="F27" s="128">
        <f t="shared" si="0"/>
        <v>0</v>
      </c>
      <c r="J27" s="140">
        <f>7476.85+24570.77</f>
        <v>32047.620000000003</v>
      </c>
      <c r="K27" s="126" t="s">
        <v>208</v>
      </c>
      <c r="L27" s="130">
        <v>32047.62</v>
      </c>
      <c r="M27" s="165"/>
      <c r="N27" s="166" t="s">
        <v>113</v>
      </c>
      <c r="O27" s="167">
        <v>50948.35</v>
      </c>
      <c r="P27" s="168">
        <v>42807</v>
      </c>
    </row>
    <row r="28" spans="1:16" ht="15.75" x14ac:dyDescent="0.25">
      <c r="A28" s="129"/>
      <c r="B28" s="126"/>
      <c r="C28" s="130"/>
      <c r="D28" s="127"/>
      <c r="F28" s="128">
        <f t="shared" ref="F28:F30" si="1">C28-E28</f>
        <v>0</v>
      </c>
      <c r="J28" s="140">
        <f>18696.67+1346.53</f>
        <v>20043.199999999997</v>
      </c>
      <c r="K28" s="126" t="s">
        <v>209</v>
      </c>
      <c r="L28" s="130">
        <v>20043.2</v>
      </c>
      <c r="M28" s="165"/>
      <c r="N28" s="166" t="s">
        <v>113</v>
      </c>
      <c r="O28" s="167">
        <v>14159.5</v>
      </c>
      <c r="P28" s="168">
        <v>42807</v>
      </c>
    </row>
    <row r="29" spans="1:16" ht="15.75" x14ac:dyDescent="0.25">
      <c r="A29" s="129"/>
      <c r="B29" s="126"/>
      <c r="C29" s="130"/>
      <c r="D29" s="127"/>
      <c r="F29" s="128">
        <f t="shared" si="1"/>
        <v>0</v>
      </c>
      <c r="J29" s="140">
        <f>24032.45+3768.2+18417.39</f>
        <v>46218.04</v>
      </c>
      <c r="K29" s="126" t="s">
        <v>210</v>
      </c>
      <c r="L29" s="130">
        <v>46218.04</v>
      </c>
      <c r="M29" s="165"/>
      <c r="N29" s="166" t="s">
        <v>113</v>
      </c>
      <c r="O29" s="167">
        <v>32500</v>
      </c>
      <c r="P29" s="168">
        <v>42808</v>
      </c>
    </row>
    <row r="30" spans="1:16" ht="16.5" thickBot="1" x14ac:dyDescent="0.3">
      <c r="A30" s="142"/>
      <c r="B30" s="143"/>
      <c r="C30" s="144"/>
      <c r="D30" s="145"/>
      <c r="E30" s="146"/>
      <c r="F30" s="147">
        <f t="shared" si="1"/>
        <v>0</v>
      </c>
      <c r="J30" s="140">
        <v>1339</v>
      </c>
      <c r="K30" s="126" t="s">
        <v>211</v>
      </c>
      <c r="L30" s="130">
        <v>1339</v>
      </c>
      <c r="M30" s="165"/>
      <c r="N30" s="166" t="s">
        <v>113</v>
      </c>
      <c r="O30" s="167">
        <v>26717.5</v>
      </c>
      <c r="P30" s="168">
        <v>42809</v>
      </c>
    </row>
    <row r="31" spans="1:16" ht="16.5" thickTop="1" x14ac:dyDescent="0.25">
      <c r="B31" s="44"/>
      <c r="C31" s="130">
        <f>SUM(C3:C30)</f>
        <v>1125767.6500000001</v>
      </c>
      <c r="D31" s="148"/>
      <c r="E31" s="140">
        <f>SUM(E3:E30)</f>
        <v>1125767.6500000001</v>
      </c>
      <c r="F31" s="130">
        <f>SUM(F3:F30)</f>
        <v>0</v>
      </c>
      <c r="J31" s="140">
        <f>12674.02+24582+39291.56+25352.346</f>
        <v>101899.92600000001</v>
      </c>
      <c r="K31" s="126" t="s">
        <v>221</v>
      </c>
      <c r="L31" s="130">
        <v>101899.98</v>
      </c>
      <c r="M31" s="183"/>
      <c r="N31" s="184" t="s">
        <v>113</v>
      </c>
      <c r="O31" s="185">
        <v>3768</v>
      </c>
      <c r="P31" s="186">
        <v>42807</v>
      </c>
    </row>
    <row r="32" spans="1:16" ht="15.75" x14ac:dyDescent="0.25">
      <c r="A32"/>
      <c r="B32" s="16"/>
      <c r="C32" s="151"/>
      <c r="D32"/>
      <c r="E32"/>
      <c r="F32"/>
      <c r="G32"/>
      <c r="J32" s="151">
        <v>30677.4</v>
      </c>
      <c r="K32" s="126" t="s">
        <v>222</v>
      </c>
      <c r="L32" s="130">
        <v>30677.4</v>
      </c>
      <c r="M32" s="224"/>
      <c r="N32" s="184" t="s">
        <v>113</v>
      </c>
      <c r="O32" s="225">
        <v>31091</v>
      </c>
      <c r="P32" s="186">
        <v>42810</v>
      </c>
    </row>
    <row r="33" spans="1:16" ht="15.75" x14ac:dyDescent="0.25">
      <c r="A33"/>
      <c r="B33" s="16"/>
      <c r="C33" s="151"/>
      <c r="D33"/>
      <c r="E33"/>
      <c r="F33"/>
      <c r="G33"/>
      <c r="J33" s="151">
        <f>5240.3+25925.97+27612.71+7972.87+26162.03</f>
        <v>92913.87999999999</v>
      </c>
      <c r="K33" s="126" t="s">
        <v>223</v>
      </c>
      <c r="L33" s="130">
        <v>92913.88</v>
      </c>
      <c r="M33" s="187"/>
      <c r="N33" s="184" t="s">
        <v>113</v>
      </c>
      <c r="O33" s="226">
        <v>24582</v>
      </c>
      <c r="P33" s="186">
        <v>42811</v>
      </c>
    </row>
    <row r="34" spans="1:16" ht="15.75" x14ac:dyDescent="0.25">
      <c r="A34"/>
      <c r="B34" s="149"/>
      <c r="D34" s="149"/>
      <c r="J34" s="151">
        <v>3555.32</v>
      </c>
      <c r="K34" s="126" t="s">
        <v>224</v>
      </c>
      <c r="L34" s="130">
        <v>3555.2</v>
      </c>
      <c r="M34" s="187"/>
      <c r="N34" s="184" t="s">
        <v>113</v>
      </c>
      <c r="O34" s="226">
        <v>39291.5</v>
      </c>
      <c r="P34" s="186">
        <v>42815</v>
      </c>
    </row>
    <row r="35" spans="1:16" ht="15.75" x14ac:dyDescent="0.25">
      <c r="A35"/>
      <c r="B35" s="149"/>
      <c r="D35" s="149"/>
      <c r="J35" s="151">
        <f>3723.06</f>
        <v>3723.06</v>
      </c>
      <c r="K35" s="126" t="s">
        <v>225</v>
      </c>
      <c r="L35" s="130">
        <v>4370.71</v>
      </c>
      <c r="M35" s="227" t="s">
        <v>202</v>
      </c>
      <c r="N35" s="184" t="s">
        <v>113</v>
      </c>
      <c r="O35" s="226">
        <v>61269.5</v>
      </c>
      <c r="P35" s="186">
        <v>42815</v>
      </c>
    </row>
    <row r="36" spans="1:16" ht="15.75" x14ac:dyDescent="0.25">
      <c r="A36"/>
      <c r="B36" s="149"/>
      <c r="D36" s="149"/>
      <c r="J36" s="151"/>
      <c r="K36" s="187"/>
      <c r="L36" s="187"/>
      <c r="M36" s="187"/>
      <c r="N36" s="184" t="s">
        <v>113</v>
      </c>
      <c r="O36" s="226">
        <v>25926</v>
      </c>
      <c r="P36" s="186">
        <v>42815</v>
      </c>
    </row>
    <row r="37" spans="1:16" ht="15.75" x14ac:dyDescent="0.25">
      <c r="A37"/>
      <c r="B37" s="149"/>
      <c r="D37" s="149"/>
      <c r="J37" s="151"/>
      <c r="K37" s="187"/>
      <c r="L37" s="187"/>
      <c r="M37" s="187"/>
      <c r="N37" s="184" t="s">
        <v>113</v>
      </c>
      <c r="O37" s="226">
        <v>27613</v>
      </c>
      <c r="P37" s="186">
        <v>42815</v>
      </c>
    </row>
    <row r="38" spans="1:16" ht="15.75" x14ac:dyDescent="0.25">
      <c r="A38"/>
      <c r="B38" s="149"/>
      <c r="D38" s="149"/>
      <c r="J38" s="151"/>
      <c r="K38" s="187"/>
      <c r="L38" s="187"/>
      <c r="M38" s="187"/>
      <c r="N38" s="184" t="s">
        <v>113</v>
      </c>
      <c r="O38" s="226">
        <v>33440</v>
      </c>
      <c r="P38" s="186">
        <v>42816</v>
      </c>
    </row>
    <row r="39" spans="1:16" ht="15.75" x14ac:dyDescent="0.25">
      <c r="A39"/>
      <c r="B39" s="149"/>
      <c r="D39" s="149"/>
      <c r="J39" s="151"/>
      <c r="K39" s="187"/>
      <c r="L39" s="187"/>
      <c r="M39" s="187"/>
      <c r="N39" s="184">
        <v>3461809</v>
      </c>
      <c r="O39" s="226">
        <v>7973</v>
      </c>
      <c r="P39" s="186">
        <v>42812</v>
      </c>
    </row>
    <row r="40" spans="1:16" ht="16.5" thickBot="1" x14ac:dyDescent="0.3">
      <c r="A40"/>
      <c r="B40" s="149"/>
      <c r="D40" s="149"/>
      <c r="J40" s="177">
        <f>SUM(J23:J39)</f>
        <v>433730.11600000004</v>
      </c>
      <c r="K40" s="207"/>
      <c r="L40" s="207"/>
      <c r="M40" s="207"/>
      <c r="N40" s="184" t="s">
        <v>113</v>
      </c>
      <c r="O40" s="221">
        <v>0</v>
      </c>
      <c r="P40" s="222"/>
    </row>
    <row r="41" spans="1:16" ht="17.25" thickTop="1" thickBot="1" x14ac:dyDescent="0.3">
      <c r="A41"/>
      <c r="B41" s="149"/>
      <c r="D41" s="149"/>
      <c r="K41" s="177"/>
      <c r="L41" s="177">
        <f>SUM(L23:L39)</f>
        <v>433729.35000000009</v>
      </c>
      <c r="M41" s="178"/>
      <c r="N41" s="179"/>
      <c r="O41" s="204">
        <f>SUM(O23:O40)</f>
        <v>433729.35</v>
      </c>
      <c r="P41" s="181"/>
    </row>
    <row r="42" spans="1:16" x14ac:dyDescent="0.25">
      <c r="A42"/>
      <c r="B42" s="149"/>
      <c r="D42" s="149"/>
      <c r="F42"/>
      <c r="G42"/>
    </row>
    <row r="43" spans="1:16" x14ac:dyDescent="0.25">
      <c r="A43"/>
      <c r="B43" s="149">
        <v>42795</v>
      </c>
      <c r="C43" s="140">
        <v>1375</v>
      </c>
      <c r="D43" s="149" t="s">
        <v>270</v>
      </c>
      <c r="F43"/>
      <c r="G43"/>
    </row>
    <row r="44" spans="1:16" x14ac:dyDescent="0.25">
      <c r="A44"/>
      <c r="B44" s="149">
        <v>42796</v>
      </c>
      <c r="C44" s="140">
        <v>590</v>
      </c>
      <c r="D44" s="149" t="s">
        <v>99</v>
      </c>
      <c r="F44"/>
      <c r="G44"/>
    </row>
    <row r="45" spans="1:16" x14ac:dyDescent="0.25">
      <c r="A45"/>
      <c r="B45" s="149">
        <v>42797</v>
      </c>
      <c r="C45" s="140">
        <v>0</v>
      </c>
      <c r="D45" s="149"/>
      <c r="F45"/>
      <c r="G45"/>
    </row>
    <row r="46" spans="1:16" x14ac:dyDescent="0.25">
      <c r="A46"/>
      <c r="B46" s="149">
        <v>42798</v>
      </c>
      <c r="C46" s="140">
        <v>1070</v>
      </c>
      <c r="D46" s="149" t="s">
        <v>271</v>
      </c>
      <c r="F46"/>
      <c r="G46"/>
    </row>
    <row r="47" spans="1:16" x14ac:dyDescent="0.25">
      <c r="A47"/>
      <c r="B47" s="149">
        <v>42799</v>
      </c>
      <c r="C47" s="140">
        <v>0</v>
      </c>
      <c r="D47" s="149"/>
      <c r="F47"/>
      <c r="G47"/>
    </row>
    <row r="48" spans="1:16" x14ac:dyDescent="0.25">
      <c r="A48"/>
      <c r="B48" s="149">
        <v>42800</v>
      </c>
      <c r="C48" s="140">
        <v>0</v>
      </c>
      <c r="D48" s="149"/>
      <c r="F48"/>
      <c r="G48"/>
    </row>
    <row r="49" spans="1:7" x14ac:dyDescent="0.25">
      <c r="A49"/>
      <c r="B49" s="149">
        <v>42801</v>
      </c>
      <c r="C49" s="140">
        <v>392</v>
      </c>
      <c r="D49" s="149" t="s">
        <v>104</v>
      </c>
      <c r="F49"/>
      <c r="G49"/>
    </row>
    <row r="50" spans="1:7" x14ac:dyDescent="0.25">
      <c r="A50"/>
      <c r="B50" s="149">
        <v>42802</v>
      </c>
      <c r="C50" s="140">
        <v>0</v>
      </c>
      <c r="D50" s="149"/>
      <c r="F50"/>
      <c r="G50"/>
    </row>
    <row r="51" spans="1:7" x14ac:dyDescent="0.25">
      <c r="A51"/>
      <c r="B51" s="149">
        <v>42803</v>
      </c>
      <c r="C51" s="140">
        <v>791</v>
      </c>
      <c r="D51" s="149" t="s">
        <v>99</v>
      </c>
      <c r="E51"/>
      <c r="F51"/>
      <c r="G51"/>
    </row>
    <row r="52" spans="1:7" x14ac:dyDescent="0.25">
      <c r="A52"/>
      <c r="B52" s="149">
        <v>42804</v>
      </c>
      <c r="C52" s="140">
        <v>0</v>
      </c>
      <c r="D52"/>
      <c r="E52"/>
      <c r="F52"/>
      <c r="G52"/>
    </row>
    <row r="53" spans="1:7" x14ac:dyDescent="0.25">
      <c r="A53"/>
      <c r="B53" s="149">
        <v>42805</v>
      </c>
      <c r="C53" s="140">
        <v>0</v>
      </c>
      <c r="D53"/>
      <c r="E53"/>
      <c r="F53"/>
      <c r="G53"/>
    </row>
    <row r="54" spans="1:7" x14ac:dyDescent="0.25">
      <c r="A54"/>
      <c r="B54" s="149">
        <v>42806</v>
      </c>
      <c r="C54" s="140">
        <v>0</v>
      </c>
      <c r="D54"/>
      <c r="E54"/>
      <c r="F54"/>
      <c r="G54"/>
    </row>
    <row r="55" spans="1:7" x14ac:dyDescent="0.25">
      <c r="A55"/>
      <c r="B55" s="149">
        <v>42807</v>
      </c>
      <c r="C55" s="140">
        <v>0</v>
      </c>
      <c r="D55"/>
      <c r="E55"/>
      <c r="F55"/>
      <c r="G55"/>
    </row>
    <row r="56" spans="1:7" x14ac:dyDescent="0.25">
      <c r="A56"/>
      <c r="B56" s="149">
        <v>42808</v>
      </c>
      <c r="C56" s="140">
        <v>0</v>
      </c>
      <c r="D56"/>
      <c r="E56"/>
      <c r="F56"/>
      <c r="G56"/>
    </row>
    <row r="57" spans="1:7" x14ac:dyDescent="0.25">
      <c r="B57" s="149">
        <v>42809</v>
      </c>
      <c r="C57" s="140">
        <v>882</v>
      </c>
      <c r="D57" t="s">
        <v>99</v>
      </c>
      <c r="E57"/>
    </row>
    <row r="58" spans="1:7" x14ac:dyDescent="0.25">
      <c r="B58" s="149">
        <v>42810</v>
      </c>
      <c r="C58" s="140">
        <v>0</v>
      </c>
      <c r="D58"/>
      <c r="E58"/>
    </row>
    <row r="59" spans="1:7" x14ac:dyDescent="0.25">
      <c r="B59" s="149">
        <v>42811</v>
      </c>
      <c r="C59" s="140">
        <v>1145</v>
      </c>
      <c r="D59" t="s">
        <v>100</v>
      </c>
      <c r="E59"/>
    </row>
    <row r="60" spans="1:7" x14ac:dyDescent="0.25">
      <c r="B60" s="149">
        <v>42812</v>
      </c>
      <c r="C60" s="140">
        <v>520</v>
      </c>
      <c r="D60" t="s">
        <v>272</v>
      </c>
      <c r="E60"/>
    </row>
    <row r="61" spans="1:7" x14ac:dyDescent="0.25">
      <c r="B61" s="149">
        <v>42813</v>
      </c>
      <c r="C61" s="140">
        <v>0</v>
      </c>
      <c r="D61"/>
      <c r="E61"/>
    </row>
    <row r="62" spans="1:7" x14ac:dyDescent="0.25">
      <c r="B62" s="149">
        <v>42814</v>
      </c>
      <c r="C62" s="140">
        <v>0</v>
      </c>
      <c r="D62"/>
      <c r="E62"/>
    </row>
    <row r="63" spans="1:7" x14ac:dyDescent="0.25">
      <c r="B63" s="149">
        <v>42815</v>
      </c>
      <c r="C63" s="140">
        <v>795</v>
      </c>
      <c r="D63" t="s">
        <v>99</v>
      </c>
      <c r="E63"/>
    </row>
    <row r="64" spans="1:7" x14ac:dyDescent="0.25">
      <c r="B64" s="149">
        <v>42816</v>
      </c>
      <c r="C64" s="140">
        <v>0</v>
      </c>
      <c r="D64"/>
      <c r="E64"/>
    </row>
    <row r="65" spans="2:5" x14ac:dyDescent="0.25">
      <c r="B65" s="149">
        <v>42817</v>
      </c>
      <c r="C65" s="164">
        <v>0</v>
      </c>
      <c r="D65"/>
      <c r="E65"/>
    </row>
    <row r="66" spans="2:5" x14ac:dyDescent="0.25">
      <c r="B66" s="149">
        <v>42818</v>
      </c>
      <c r="C66" s="140">
        <v>0</v>
      </c>
    </row>
    <row r="67" spans="2:5" x14ac:dyDescent="0.25">
      <c r="B67" s="149">
        <v>42819</v>
      </c>
      <c r="C67" s="140">
        <v>1146</v>
      </c>
      <c r="D67" s="22" t="s">
        <v>273</v>
      </c>
    </row>
    <row r="68" spans="2:5" x14ac:dyDescent="0.25">
      <c r="B68" s="149">
        <v>42820</v>
      </c>
      <c r="C68" s="140">
        <v>0</v>
      </c>
      <c r="D68" s="22" t="s">
        <v>64</v>
      </c>
    </row>
    <row r="69" spans="2:5" x14ac:dyDescent="0.25">
      <c r="B69" s="149">
        <v>42821</v>
      </c>
      <c r="C69" s="140">
        <v>0</v>
      </c>
    </row>
    <row r="70" spans="2:5" x14ac:dyDescent="0.25">
      <c r="B70" s="149">
        <v>42822</v>
      </c>
      <c r="C70" s="140">
        <v>0</v>
      </c>
    </row>
    <row r="71" spans="2:5" x14ac:dyDescent="0.25">
      <c r="B71" s="149">
        <v>42823</v>
      </c>
      <c r="C71" s="140">
        <v>1139</v>
      </c>
      <c r="D71" s="22" t="s">
        <v>100</v>
      </c>
    </row>
    <row r="72" spans="2:5" x14ac:dyDescent="0.25">
      <c r="B72" s="149">
        <v>42824</v>
      </c>
      <c r="C72" s="140">
        <v>0</v>
      </c>
    </row>
    <row r="73" spans="2:5" x14ac:dyDescent="0.25">
      <c r="B73" s="149">
        <v>42825</v>
      </c>
      <c r="C73" s="140">
        <v>902</v>
      </c>
      <c r="D73" s="22" t="s">
        <v>99</v>
      </c>
    </row>
    <row r="74" spans="2:5" ht="18.75" x14ac:dyDescent="0.3">
      <c r="C74" s="215">
        <f>SUM(C43:C73)</f>
        <v>10747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S57"/>
  <sheetViews>
    <sheetView topLeftCell="A22" workbookViewId="0">
      <selection activeCell="I50" sqref="I50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40" t="s">
        <v>264</v>
      </c>
      <c r="D1" s="340"/>
      <c r="E1" s="340"/>
      <c r="F1" s="340"/>
      <c r="G1" s="340"/>
      <c r="H1" s="340"/>
      <c r="I1" s="340"/>
      <c r="J1" s="340"/>
      <c r="K1" s="340"/>
      <c r="L1" s="2" t="s">
        <v>1</v>
      </c>
    </row>
    <row r="2" spans="1:19" ht="15.75" thickBot="1" x14ac:dyDescent="0.3">
      <c r="C2" s="151" t="s">
        <v>127</v>
      </c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255743.74</v>
      </c>
      <c r="D4" s="13"/>
      <c r="E4" s="341" t="s">
        <v>4</v>
      </c>
      <c r="F4" s="342"/>
      <c r="I4" s="343" t="s">
        <v>5</v>
      </c>
      <c r="J4" s="344"/>
      <c r="K4" s="344"/>
      <c r="L4" s="344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42826</v>
      </c>
      <c r="C5" s="30">
        <v>37246.19</v>
      </c>
      <c r="D5" s="238" t="s">
        <v>277</v>
      </c>
      <c r="E5" s="20">
        <v>42826</v>
      </c>
      <c r="F5" s="32">
        <v>50718.19</v>
      </c>
      <c r="G5" s="22"/>
      <c r="H5" s="23">
        <v>42826</v>
      </c>
      <c r="I5" s="261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42827</v>
      </c>
      <c r="C6" s="30">
        <v>36201.269999999997</v>
      </c>
      <c r="D6" s="239" t="s">
        <v>297</v>
      </c>
      <c r="E6" s="20">
        <v>42827</v>
      </c>
      <c r="F6" s="32">
        <v>42075.85</v>
      </c>
      <c r="G6" s="33"/>
      <c r="H6" s="23">
        <v>42827</v>
      </c>
      <c r="I6" s="260">
        <v>400</v>
      </c>
      <c r="J6" s="36"/>
      <c r="K6" s="37" t="s">
        <v>9</v>
      </c>
      <c r="L6" s="38">
        <v>538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42828</v>
      </c>
      <c r="C7" s="30">
        <v>22423.5</v>
      </c>
      <c r="D7" s="238" t="s">
        <v>298</v>
      </c>
      <c r="E7" s="20">
        <v>42828</v>
      </c>
      <c r="F7" s="32">
        <v>22012.45</v>
      </c>
      <c r="G7" s="22"/>
      <c r="H7" s="23">
        <v>42828</v>
      </c>
      <c r="I7" s="260">
        <v>100</v>
      </c>
      <c r="J7" s="36"/>
      <c r="K7" s="40" t="s">
        <v>131</v>
      </c>
      <c r="L7" s="38">
        <v>13172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42829</v>
      </c>
      <c r="C8" s="30">
        <v>19216</v>
      </c>
      <c r="D8" s="238" t="s">
        <v>299</v>
      </c>
      <c r="E8" s="20">
        <v>42829</v>
      </c>
      <c r="F8" s="32">
        <v>20061.03</v>
      </c>
      <c r="G8" s="22"/>
      <c r="H8" s="23">
        <v>42829</v>
      </c>
      <c r="I8" s="260">
        <v>844.95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42830</v>
      </c>
      <c r="C9" s="30">
        <v>48061.89</v>
      </c>
      <c r="D9" s="238" t="s">
        <v>300</v>
      </c>
      <c r="E9" s="20">
        <v>42830</v>
      </c>
      <c r="F9" s="32">
        <v>34435.54</v>
      </c>
      <c r="G9" s="22"/>
      <c r="H9" s="23">
        <v>42830</v>
      </c>
      <c r="I9" s="260">
        <v>100</v>
      </c>
      <c r="J9" s="42" t="s">
        <v>307</v>
      </c>
      <c r="K9" s="37" t="s">
        <v>283</v>
      </c>
      <c r="L9" s="32">
        <v>11400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42831</v>
      </c>
      <c r="C10" s="30">
        <v>27877</v>
      </c>
      <c r="D10" s="239" t="s">
        <v>301</v>
      </c>
      <c r="E10" s="20">
        <v>42831</v>
      </c>
      <c r="F10" s="32">
        <v>27976.73</v>
      </c>
      <c r="G10" s="22"/>
      <c r="H10" s="23">
        <v>42831</v>
      </c>
      <c r="I10" s="260">
        <v>100</v>
      </c>
      <c r="J10" s="42" t="s">
        <v>308</v>
      </c>
      <c r="K10" s="37" t="s">
        <v>284</v>
      </c>
      <c r="L10" s="32">
        <v>11400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42832</v>
      </c>
      <c r="C11" s="30">
        <v>34059.370000000003</v>
      </c>
      <c r="D11" s="240" t="s">
        <v>302</v>
      </c>
      <c r="E11" s="20">
        <v>42832</v>
      </c>
      <c r="F11" s="32">
        <v>34781.370000000003</v>
      </c>
      <c r="G11" s="22"/>
      <c r="H11" s="23">
        <v>42832</v>
      </c>
      <c r="I11" s="260">
        <v>184</v>
      </c>
      <c r="J11" s="42" t="s">
        <v>327</v>
      </c>
      <c r="K11" s="37" t="s">
        <v>285</v>
      </c>
      <c r="L11" s="32">
        <v>11400</v>
      </c>
      <c r="M11" s="39">
        <v>0</v>
      </c>
      <c r="N11" s="35">
        <v>100</v>
      </c>
      <c r="O11" s="22"/>
      <c r="P11" s="22"/>
      <c r="Q11" s="22"/>
    </row>
    <row r="12" spans="1:19" ht="15.75" thickBot="1" x14ac:dyDescent="0.3">
      <c r="A12" s="16"/>
      <c r="B12" s="17">
        <v>42833</v>
      </c>
      <c r="C12" s="30">
        <v>50608.5</v>
      </c>
      <c r="D12" s="238" t="s">
        <v>303</v>
      </c>
      <c r="E12" s="20">
        <v>42833</v>
      </c>
      <c r="F12" s="32">
        <v>50708.5</v>
      </c>
      <c r="G12" s="22"/>
      <c r="H12" s="23">
        <v>42833</v>
      </c>
      <c r="I12" s="260">
        <v>100</v>
      </c>
      <c r="J12" s="42" t="s">
        <v>335</v>
      </c>
      <c r="K12" s="37" t="s">
        <v>286</v>
      </c>
      <c r="L12" s="32">
        <v>11400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42834</v>
      </c>
      <c r="C13" s="30">
        <v>40122.92</v>
      </c>
      <c r="D13" s="240" t="s">
        <v>309</v>
      </c>
      <c r="E13" s="20">
        <v>42834</v>
      </c>
      <c r="F13" s="32">
        <v>43480.78</v>
      </c>
      <c r="G13" s="22"/>
      <c r="H13" s="23">
        <v>42834</v>
      </c>
      <c r="I13" s="260">
        <v>400</v>
      </c>
      <c r="J13" s="42" t="s">
        <v>362</v>
      </c>
      <c r="K13" s="37" t="s">
        <v>27</v>
      </c>
      <c r="L13" s="32">
        <v>11400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42835</v>
      </c>
      <c r="C14" s="30">
        <v>24963.69</v>
      </c>
      <c r="D14" s="238" t="s">
        <v>310</v>
      </c>
      <c r="E14" s="20">
        <v>42835</v>
      </c>
      <c r="F14" s="32">
        <v>23488.07</v>
      </c>
      <c r="G14" s="22"/>
      <c r="H14" s="23">
        <v>42835</v>
      </c>
      <c r="I14" s="260">
        <v>100</v>
      </c>
      <c r="J14" s="42"/>
      <c r="K14" s="48" t="s">
        <v>29</v>
      </c>
      <c r="L14" s="32">
        <v>0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42836</v>
      </c>
      <c r="C15" s="30">
        <v>31416.87</v>
      </c>
      <c r="D15" s="238" t="s">
        <v>311</v>
      </c>
      <c r="E15" s="20">
        <v>42836</v>
      </c>
      <c r="F15" s="32">
        <v>32968.19</v>
      </c>
      <c r="G15" s="22"/>
      <c r="H15" s="23">
        <v>42836</v>
      </c>
      <c r="I15" s="260">
        <v>681.22</v>
      </c>
      <c r="J15" s="42"/>
      <c r="K15" s="49" t="s">
        <v>31</v>
      </c>
      <c r="L15" s="32">
        <v>0</v>
      </c>
      <c r="M15" s="39">
        <v>0</v>
      </c>
      <c r="N15" s="35">
        <v>100</v>
      </c>
      <c r="O15" s="22"/>
      <c r="P15" s="22"/>
      <c r="Q15" s="22"/>
    </row>
    <row r="16" spans="1:19" ht="16.5" thickBot="1" x14ac:dyDescent="0.3">
      <c r="A16" s="16"/>
      <c r="B16" s="17">
        <v>42837</v>
      </c>
      <c r="C16" s="30">
        <v>33777.269999999997</v>
      </c>
      <c r="D16" s="238" t="s">
        <v>321</v>
      </c>
      <c r="E16" s="20">
        <v>42837</v>
      </c>
      <c r="F16" s="32">
        <v>33997.33</v>
      </c>
      <c r="G16" s="22"/>
      <c r="H16" s="23">
        <v>42837</v>
      </c>
      <c r="I16" s="260">
        <v>220.06</v>
      </c>
      <c r="J16" s="42"/>
      <c r="K16" s="50"/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42838</v>
      </c>
      <c r="C17" s="30">
        <v>67150.62</v>
      </c>
      <c r="D17" s="238" t="s">
        <v>322</v>
      </c>
      <c r="E17" s="20">
        <v>42838</v>
      </c>
      <c r="F17" s="32">
        <v>67250.62</v>
      </c>
      <c r="G17" s="22"/>
      <c r="H17" s="23">
        <v>42838</v>
      </c>
      <c r="I17" s="260">
        <v>100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42839</v>
      </c>
      <c r="C18" s="18">
        <v>0</v>
      </c>
      <c r="D18" s="238"/>
      <c r="E18" s="20">
        <v>42839</v>
      </c>
      <c r="F18" s="21">
        <v>0</v>
      </c>
      <c r="G18" s="22"/>
      <c r="H18" s="23">
        <v>42839</v>
      </c>
      <c r="I18" s="237">
        <v>0</v>
      </c>
      <c r="J18" s="42"/>
      <c r="K18" s="53" t="s">
        <v>35</v>
      </c>
      <c r="L18" s="262">
        <v>400</v>
      </c>
      <c r="M18" s="39">
        <v>0</v>
      </c>
      <c r="N18" s="237">
        <v>0</v>
      </c>
      <c r="O18" s="44"/>
      <c r="P18" s="22"/>
      <c r="Q18" s="22"/>
    </row>
    <row r="19" spans="1:18" ht="15.75" thickBot="1" x14ac:dyDescent="0.3">
      <c r="A19" s="16"/>
      <c r="B19" s="17">
        <v>42840</v>
      </c>
      <c r="C19" s="30">
        <v>90111.63</v>
      </c>
      <c r="D19" s="238" t="s">
        <v>323</v>
      </c>
      <c r="E19" s="20">
        <v>42840</v>
      </c>
      <c r="F19" s="32">
        <v>90681.63</v>
      </c>
      <c r="G19" s="22"/>
      <c r="H19" s="23">
        <v>42840</v>
      </c>
      <c r="I19" s="260">
        <v>570</v>
      </c>
      <c r="J19" s="42"/>
      <c r="K19" s="53">
        <v>42826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42841</v>
      </c>
      <c r="C20" s="30">
        <v>41909.51</v>
      </c>
      <c r="D20" s="239" t="s">
        <v>324</v>
      </c>
      <c r="E20" s="20">
        <v>42841</v>
      </c>
      <c r="F20" s="32">
        <v>52859.51</v>
      </c>
      <c r="G20" s="22"/>
      <c r="H20" s="23">
        <v>42841</v>
      </c>
      <c r="I20" s="264" t="s">
        <v>64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42842</v>
      </c>
      <c r="C21" s="30">
        <v>42208.47</v>
      </c>
      <c r="D21" s="238" t="s">
        <v>328</v>
      </c>
      <c r="E21" s="20">
        <v>42842</v>
      </c>
      <c r="F21" s="32">
        <v>42308.47</v>
      </c>
      <c r="G21" s="22"/>
      <c r="H21" s="23">
        <v>42842</v>
      </c>
      <c r="I21" s="264">
        <v>100</v>
      </c>
      <c r="J21" s="42"/>
      <c r="K21" s="57" t="s">
        <v>40</v>
      </c>
      <c r="L21" s="51">
        <v>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42843</v>
      </c>
      <c r="C22" s="30">
        <v>45340.23</v>
      </c>
      <c r="D22" s="238" t="s">
        <v>329</v>
      </c>
      <c r="E22" s="20">
        <v>42843</v>
      </c>
      <c r="F22" s="32">
        <v>45524.23</v>
      </c>
      <c r="G22" s="22"/>
      <c r="H22" s="23">
        <v>42843</v>
      </c>
      <c r="I22" s="264">
        <v>184</v>
      </c>
      <c r="J22" s="58"/>
      <c r="K22" s="59" t="s">
        <v>42</v>
      </c>
      <c r="L22" s="197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42844</v>
      </c>
      <c r="C23" s="30">
        <v>45470.53</v>
      </c>
      <c r="D23" s="241" t="s">
        <v>330</v>
      </c>
      <c r="E23" s="20">
        <v>42844</v>
      </c>
      <c r="F23" s="32">
        <v>46197.01</v>
      </c>
      <c r="G23" s="22"/>
      <c r="H23" s="23">
        <v>42844</v>
      </c>
      <c r="I23" s="264">
        <v>726.48</v>
      </c>
      <c r="J23" s="36"/>
      <c r="K23" s="61">
        <v>42836</v>
      </c>
      <c r="L23" s="51">
        <v>0</v>
      </c>
      <c r="M23" s="39">
        <v>0</v>
      </c>
      <c r="N23" s="35">
        <v>100</v>
      </c>
      <c r="O23" s="22"/>
      <c r="P23" s="22"/>
      <c r="Q23" s="22"/>
    </row>
    <row r="24" spans="1:18" ht="15.75" thickBot="1" x14ac:dyDescent="0.3">
      <c r="A24" s="16"/>
      <c r="B24" s="17">
        <v>42845</v>
      </c>
      <c r="C24" s="30">
        <v>34334</v>
      </c>
      <c r="D24" s="238" t="s">
        <v>331</v>
      </c>
      <c r="E24" s="20">
        <v>42845</v>
      </c>
      <c r="F24" s="32">
        <v>34433.69</v>
      </c>
      <c r="G24" s="22"/>
      <c r="H24" s="23">
        <v>42845</v>
      </c>
      <c r="I24" s="264">
        <v>100</v>
      </c>
      <c r="J24" s="42"/>
      <c r="K24" s="263"/>
      <c r="L24" s="51">
        <v>0</v>
      </c>
      <c r="M24" s="39">
        <v>0</v>
      </c>
      <c r="N24" s="35">
        <v>100</v>
      </c>
      <c r="O24" s="22"/>
      <c r="P24" s="22"/>
      <c r="Q24" s="22"/>
    </row>
    <row r="25" spans="1:18" ht="15.75" thickBot="1" x14ac:dyDescent="0.3">
      <c r="A25" s="16"/>
      <c r="B25" s="17">
        <v>42846</v>
      </c>
      <c r="C25" s="30">
        <v>80303.100000000006</v>
      </c>
      <c r="D25" s="241" t="s">
        <v>332</v>
      </c>
      <c r="E25" s="20">
        <v>42846</v>
      </c>
      <c r="F25" s="32">
        <v>80403.100000000006</v>
      </c>
      <c r="G25" s="22"/>
      <c r="H25" s="23">
        <v>42846</v>
      </c>
      <c r="I25" s="264">
        <v>100</v>
      </c>
      <c r="J25" s="36"/>
      <c r="K25" s="61"/>
      <c r="L25" s="51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42847</v>
      </c>
      <c r="C26" s="30">
        <v>67867.37</v>
      </c>
      <c r="D26" s="238" t="s">
        <v>333</v>
      </c>
      <c r="E26" s="20">
        <v>42847</v>
      </c>
      <c r="F26" s="32">
        <v>67967.37</v>
      </c>
      <c r="G26" s="22"/>
      <c r="H26" s="23">
        <v>42847</v>
      </c>
      <c r="I26" s="264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42848</v>
      </c>
      <c r="C27" s="30">
        <v>41565.97</v>
      </c>
      <c r="D27" s="238" t="s">
        <v>336</v>
      </c>
      <c r="E27" s="20">
        <v>42848</v>
      </c>
      <c r="F27" s="32">
        <v>51527.4</v>
      </c>
      <c r="G27" s="22"/>
      <c r="H27" s="23">
        <v>42848</v>
      </c>
      <c r="I27" s="264">
        <v>400</v>
      </c>
      <c r="J27" s="36"/>
      <c r="K27" s="64" t="s">
        <v>287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42849</v>
      </c>
      <c r="C28" s="30">
        <v>29762.21</v>
      </c>
      <c r="D28" s="238" t="s">
        <v>337</v>
      </c>
      <c r="E28" s="20">
        <v>42849</v>
      </c>
      <c r="F28" s="32">
        <v>29862.21</v>
      </c>
      <c r="G28" s="22"/>
      <c r="H28" s="23">
        <v>42849</v>
      </c>
      <c r="I28" s="264">
        <v>100</v>
      </c>
      <c r="J28" s="36"/>
      <c r="K28" s="64" t="s">
        <v>325</v>
      </c>
      <c r="L28" s="51">
        <v>4000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42850</v>
      </c>
      <c r="C29" s="30">
        <v>29062.85</v>
      </c>
      <c r="D29" s="238" t="s">
        <v>341</v>
      </c>
      <c r="E29" s="20">
        <v>42850</v>
      </c>
      <c r="F29" s="32">
        <v>29190.85</v>
      </c>
      <c r="G29" s="22"/>
      <c r="H29" s="23">
        <v>42850</v>
      </c>
      <c r="I29" s="264">
        <v>128</v>
      </c>
      <c r="J29" s="36"/>
      <c r="K29" s="64" t="s">
        <v>326</v>
      </c>
      <c r="L29" s="51">
        <v>3500</v>
      </c>
      <c r="M29" s="39">
        <v>0</v>
      </c>
      <c r="N29" s="35">
        <v>100</v>
      </c>
      <c r="O29" s="22"/>
      <c r="P29" s="22"/>
      <c r="Q29" s="22"/>
    </row>
    <row r="30" spans="1:18" ht="15.75" thickBot="1" x14ac:dyDescent="0.3">
      <c r="A30" s="16"/>
      <c r="B30" s="17">
        <v>42851</v>
      </c>
      <c r="C30" s="30">
        <v>39911.480000000003</v>
      </c>
      <c r="D30" s="238" t="s">
        <v>342</v>
      </c>
      <c r="E30" s="20">
        <v>42851</v>
      </c>
      <c r="F30" s="32">
        <v>40786.36</v>
      </c>
      <c r="G30" s="22"/>
      <c r="H30" s="23">
        <v>42851</v>
      </c>
      <c r="I30" s="264">
        <v>874.88</v>
      </c>
      <c r="J30" s="63"/>
      <c r="K30" s="64" t="s">
        <v>334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42852</v>
      </c>
      <c r="C31" s="30">
        <v>30337.62</v>
      </c>
      <c r="D31" s="238" t="s">
        <v>343</v>
      </c>
      <c r="E31" s="20">
        <v>42852</v>
      </c>
      <c r="F31" s="32">
        <v>30557.47</v>
      </c>
      <c r="G31" s="22"/>
      <c r="H31" s="23">
        <v>42852</v>
      </c>
      <c r="I31" s="264">
        <v>220</v>
      </c>
      <c r="J31" s="42"/>
      <c r="K31" s="66" t="s">
        <v>363</v>
      </c>
      <c r="L31" s="67">
        <v>3500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42853</v>
      </c>
      <c r="C32" s="30">
        <v>59350.96</v>
      </c>
      <c r="D32" s="238" t="s">
        <v>360</v>
      </c>
      <c r="E32" s="20">
        <v>42853</v>
      </c>
      <c r="F32" s="32">
        <v>59450.96</v>
      </c>
      <c r="G32" s="22"/>
      <c r="H32" s="23">
        <v>42853</v>
      </c>
      <c r="I32" s="264">
        <v>100</v>
      </c>
      <c r="J32" s="36"/>
      <c r="K32" s="64"/>
      <c r="L32" s="68"/>
      <c r="M32" s="39">
        <v>0</v>
      </c>
      <c r="N32" s="35">
        <v>100</v>
      </c>
      <c r="O32" s="22"/>
      <c r="P32" s="22"/>
      <c r="Q32" s="22"/>
    </row>
    <row r="33" spans="1:17" ht="15.75" thickBot="1" x14ac:dyDescent="0.3">
      <c r="A33" s="16"/>
      <c r="B33" s="17">
        <v>42854</v>
      </c>
      <c r="C33" s="30">
        <v>69411.58</v>
      </c>
      <c r="D33" s="240" t="s">
        <v>361</v>
      </c>
      <c r="E33" s="20">
        <v>42854</v>
      </c>
      <c r="F33" s="32">
        <v>69737.649999999994</v>
      </c>
      <c r="G33" s="22"/>
      <c r="H33" s="23">
        <v>42854</v>
      </c>
      <c r="I33" s="264">
        <v>326.06</v>
      </c>
      <c r="J33" s="36"/>
      <c r="K33" s="69"/>
      <c r="L33" s="345">
        <v>0</v>
      </c>
      <c r="M33" s="39">
        <v>0</v>
      </c>
      <c r="N33" s="35">
        <v>100</v>
      </c>
      <c r="O33" s="22"/>
      <c r="P33" s="22"/>
      <c r="Q33" s="22"/>
    </row>
    <row r="34" spans="1:17" ht="15.75" thickBot="1" x14ac:dyDescent="0.3">
      <c r="A34" s="16"/>
      <c r="B34" s="17">
        <v>42855</v>
      </c>
      <c r="C34" s="30">
        <v>32671.55</v>
      </c>
      <c r="D34" s="238"/>
      <c r="E34" s="20">
        <v>42855</v>
      </c>
      <c r="F34" s="32">
        <v>43991.55</v>
      </c>
      <c r="G34" s="22"/>
      <c r="H34" s="23">
        <v>42855</v>
      </c>
      <c r="I34" s="264">
        <v>770</v>
      </c>
      <c r="J34" s="36"/>
      <c r="K34" s="69"/>
      <c r="L34" s="346"/>
      <c r="M34" s="39">
        <v>0</v>
      </c>
      <c r="N34" s="35">
        <v>100</v>
      </c>
      <c r="O34" s="22"/>
    </row>
    <row r="35" spans="1:17" ht="15.75" thickBot="1" x14ac:dyDescent="0.3">
      <c r="A35" s="16"/>
      <c r="B35" s="17"/>
      <c r="C35" s="30"/>
      <c r="D35" s="45"/>
      <c r="E35" s="20"/>
      <c r="F35" s="32"/>
      <c r="G35" s="22"/>
      <c r="H35" s="23"/>
      <c r="I35" s="55"/>
      <c r="J35" s="36"/>
      <c r="K35" s="347"/>
      <c r="L35" s="38">
        <v>0</v>
      </c>
      <c r="M35" s="39">
        <v>0</v>
      </c>
      <c r="N35" s="70"/>
    </row>
    <row r="36" spans="1:17" ht="15.75" thickBot="1" x14ac:dyDescent="0.3">
      <c r="A36" s="71"/>
      <c r="B36" s="72"/>
      <c r="C36" s="73">
        <v>0</v>
      </c>
      <c r="D36" s="13"/>
      <c r="E36" s="74"/>
      <c r="F36" s="32">
        <v>0</v>
      </c>
      <c r="G36" s="22"/>
      <c r="H36" s="75"/>
      <c r="I36" s="76">
        <v>0</v>
      </c>
      <c r="J36" s="77"/>
      <c r="K36" s="347"/>
      <c r="L36" s="41"/>
      <c r="M36" s="78">
        <v>0</v>
      </c>
      <c r="N36" s="79">
        <f>SUM(N5:N35)</f>
        <v>2900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1252744.1500000001</v>
      </c>
      <c r="E38" s="229" t="s">
        <v>60</v>
      </c>
      <c r="F38" s="94">
        <f>SUM(F5:F37)</f>
        <v>1299434.1099999999</v>
      </c>
      <c r="H38" s="6" t="s">
        <v>60</v>
      </c>
      <c r="I38" s="4">
        <f>SUM(I5:I37)</f>
        <v>8229.65</v>
      </c>
      <c r="J38" s="4"/>
      <c r="K38" s="95" t="s">
        <v>60</v>
      </c>
      <c r="L38" s="96">
        <f>SUM(L5:L37)</f>
        <v>118730</v>
      </c>
    </row>
    <row r="40" spans="1:17" ht="15.75" x14ac:dyDescent="0.25">
      <c r="A40" s="97"/>
      <c r="B40" s="98"/>
      <c r="C40" s="36"/>
      <c r="D40" s="99"/>
      <c r="E40" s="100"/>
      <c r="F40" s="77"/>
      <c r="H40" s="336" t="s">
        <v>61</v>
      </c>
      <c r="I40" s="337"/>
      <c r="J40" s="228"/>
      <c r="K40" s="338">
        <f>I38+L38</f>
        <v>126959.65</v>
      </c>
      <c r="L40" s="339"/>
    </row>
    <row r="41" spans="1:17" ht="15.75" x14ac:dyDescent="0.25">
      <c r="B41" s="102"/>
      <c r="C41" s="77"/>
      <c r="D41" s="323" t="s">
        <v>62</v>
      </c>
      <c r="E41" s="323"/>
      <c r="F41" s="103">
        <f>F38-K40</f>
        <v>1172474.46</v>
      </c>
      <c r="I41" s="104"/>
      <c r="J41" s="104"/>
    </row>
    <row r="42" spans="1:17" ht="15.75" x14ac:dyDescent="0.25">
      <c r="D42" s="324" t="s">
        <v>63</v>
      </c>
      <c r="E42" s="324"/>
      <c r="F42" s="103">
        <v>-1192915.8600000001</v>
      </c>
      <c r="I42" s="104"/>
      <c r="J42" s="104" t="s">
        <v>64</v>
      </c>
    </row>
    <row r="43" spans="1:17" ht="15.75" thickBot="1" x14ac:dyDescent="0.3">
      <c r="D43" s="105"/>
      <c r="E43" s="106"/>
      <c r="F43" s="107"/>
    </row>
    <row r="44" spans="1:17" ht="15.75" thickTop="1" x14ac:dyDescent="0.25">
      <c r="C44" s="3" t="s">
        <v>64</v>
      </c>
      <c r="E44" s="97" t="s">
        <v>65</v>
      </c>
      <c r="F44" s="4">
        <f>SUM(F41:F43)</f>
        <v>-20441.40000000014</v>
      </c>
      <c r="I44" s="325" t="s">
        <v>66</v>
      </c>
      <c r="J44" s="326"/>
      <c r="K44" s="329">
        <f>F48+L46</f>
        <v>199961.28999999986</v>
      </c>
      <c r="L44" s="330"/>
    </row>
    <row r="45" spans="1:17" ht="15.75" thickBot="1" x14ac:dyDescent="0.3">
      <c r="D45" s="108" t="s">
        <v>67</v>
      </c>
      <c r="E45" s="97" t="s">
        <v>68</v>
      </c>
      <c r="F45" s="4">
        <v>29463.1</v>
      </c>
      <c r="I45" s="327"/>
      <c r="J45" s="328"/>
      <c r="K45" s="331"/>
      <c r="L45" s="332"/>
    </row>
    <row r="46" spans="1:17" ht="17.25" thickTop="1" thickBot="1" x14ac:dyDescent="0.3">
      <c r="C46" s="94"/>
      <c r="D46" s="333" t="s">
        <v>69</v>
      </c>
      <c r="E46" s="333"/>
      <c r="F46" s="109">
        <v>190939.59</v>
      </c>
      <c r="I46" s="334"/>
      <c r="J46" s="334"/>
      <c r="K46" s="335"/>
      <c r="L46" s="110"/>
    </row>
    <row r="47" spans="1:17" ht="19.5" thickBot="1" x14ac:dyDescent="0.35">
      <c r="C47" s="94"/>
      <c r="D47" s="229"/>
      <c r="E47" s="229"/>
      <c r="F47" s="111"/>
      <c r="H47" s="112"/>
      <c r="I47" s="230" t="s">
        <v>275</v>
      </c>
      <c r="J47" s="230"/>
      <c r="K47" s="317">
        <f>-C4</f>
        <v>-255743.74</v>
      </c>
      <c r="L47" s="317"/>
      <c r="M47" s="114"/>
    </row>
    <row r="48" spans="1:17" ht="17.25" thickTop="1" thickBot="1" x14ac:dyDescent="0.3">
      <c r="E48" s="115" t="s">
        <v>71</v>
      </c>
      <c r="F48" s="116">
        <f>F44+F45+F46</f>
        <v>199961.28999999986</v>
      </c>
    </row>
    <row r="49" spans="2:14" ht="19.5" thickBot="1" x14ac:dyDescent="0.35">
      <c r="B49"/>
      <c r="C49"/>
      <c r="D49" s="318"/>
      <c r="E49" s="318"/>
      <c r="F49" s="77"/>
      <c r="I49" s="319" t="s">
        <v>274</v>
      </c>
      <c r="J49" s="320"/>
      <c r="K49" s="321">
        <f>K44+K47</f>
        <v>-55782.450000000128</v>
      </c>
      <c r="L49" s="32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67"/>
  <sheetViews>
    <sheetView topLeftCell="A13" workbookViewId="0">
      <selection activeCell="E26" sqref="E26"/>
    </sheetView>
  </sheetViews>
  <sheetFormatPr baseColWidth="10" defaultRowHeight="15" x14ac:dyDescent="0.25"/>
  <cols>
    <col min="1" max="1" width="13.42578125" style="44" bestFit="1" customWidth="1"/>
    <col min="2" max="2" width="12.85546875" style="22" bestFit="1" customWidth="1"/>
    <col min="3" max="3" width="15.85546875" style="140" bestFit="1" customWidth="1"/>
    <col min="4" max="4" width="12.42578125" style="22" bestFit="1" customWidth="1"/>
    <col min="5" max="5" width="15.140625" style="140" bestFit="1" customWidth="1"/>
    <col min="6" max="6" width="18.5703125" style="140" bestFit="1" customWidth="1"/>
    <col min="7" max="7" width="11.42578125" style="22"/>
    <col min="10" max="10" width="13.85546875" bestFit="1" customWidth="1"/>
    <col min="12" max="12" width="14.42578125" customWidth="1"/>
    <col min="15" max="15" width="20.140625" bestFit="1" customWidth="1"/>
    <col min="16" max="16" width="13.140625" bestFit="1" customWidth="1"/>
    <col min="20" max="20" width="13.85546875" bestFit="1" customWidth="1"/>
    <col min="22" max="22" width="14.7109375" customWidth="1"/>
    <col min="25" max="25" width="20.140625" bestFit="1" customWidth="1"/>
    <col min="26" max="26" width="12.7109375" bestFit="1" customWidth="1"/>
  </cols>
  <sheetData>
    <row r="1" spans="1:26" ht="19.5" thickBot="1" x14ac:dyDescent="0.35">
      <c r="B1" s="118" t="s">
        <v>265</v>
      </c>
      <c r="C1" s="119"/>
      <c r="D1" s="120"/>
      <c r="E1" s="119"/>
      <c r="F1" s="121"/>
      <c r="G1" s="200"/>
      <c r="K1" t="s">
        <v>64</v>
      </c>
      <c r="L1" s="154" t="s">
        <v>105</v>
      </c>
      <c r="M1" s="155"/>
      <c r="N1" s="156"/>
      <c r="O1" s="234">
        <v>42838</v>
      </c>
      <c r="P1" s="158"/>
      <c r="U1" t="s">
        <v>64</v>
      </c>
      <c r="V1" s="154" t="s">
        <v>105</v>
      </c>
      <c r="W1" s="155"/>
      <c r="X1" s="156"/>
      <c r="Y1" s="242">
        <v>42854</v>
      </c>
      <c r="Z1" s="158"/>
    </row>
    <row r="2" spans="1:26" ht="16.5" thickBot="1" x14ac:dyDescent="0.3">
      <c r="A2" s="122"/>
      <c r="B2" s="123"/>
      <c r="C2" s="124"/>
      <c r="D2" s="123"/>
      <c r="E2" s="124"/>
      <c r="F2" s="124"/>
      <c r="K2" s="159"/>
      <c r="L2" s="160"/>
      <c r="M2" s="159"/>
      <c r="N2" s="161"/>
      <c r="O2" s="160"/>
      <c r="P2" s="162"/>
      <c r="U2" s="159"/>
      <c r="V2" s="160"/>
      <c r="W2" s="159"/>
      <c r="X2" s="161"/>
      <c r="Y2" s="160"/>
      <c r="Z2" s="162"/>
    </row>
    <row r="3" spans="1:26" ht="15.75" x14ac:dyDescent="0.25">
      <c r="A3" s="125">
        <v>42826</v>
      </c>
      <c r="B3" s="126" t="s">
        <v>295</v>
      </c>
      <c r="C3" s="36">
        <v>82596.3</v>
      </c>
      <c r="D3" s="133" t="s">
        <v>338</v>
      </c>
      <c r="E3" s="36">
        <f>55014.6+27581.7</f>
        <v>82596.3</v>
      </c>
      <c r="F3" s="128">
        <f t="shared" ref="F3:F25" si="0">C3-E3</f>
        <v>0</v>
      </c>
      <c r="K3" s="163" t="s">
        <v>106</v>
      </c>
      <c r="L3" s="160" t="s">
        <v>107</v>
      </c>
      <c r="M3" s="159"/>
      <c r="N3" s="161" t="s">
        <v>108</v>
      </c>
      <c r="O3" s="160" t="s">
        <v>109</v>
      </c>
      <c r="P3" s="162"/>
      <c r="U3" s="163" t="s">
        <v>106</v>
      </c>
      <c r="V3" s="160" t="s">
        <v>107</v>
      </c>
      <c r="W3" s="159"/>
      <c r="X3" s="161" t="s">
        <v>108</v>
      </c>
      <c r="Y3" s="160" t="s">
        <v>109</v>
      </c>
      <c r="Z3" s="162"/>
    </row>
    <row r="4" spans="1:26" ht="15.75" x14ac:dyDescent="0.25">
      <c r="A4" s="129">
        <v>42828</v>
      </c>
      <c r="B4" s="126" t="s">
        <v>266</v>
      </c>
      <c r="C4" s="130">
        <v>21741.4</v>
      </c>
      <c r="D4" s="127">
        <v>42850</v>
      </c>
      <c r="E4" s="130">
        <v>21741.4</v>
      </c>
      <c r="F4" s="128">
        <f t="shared" si="0"/>
        <v>0</v>
      </c>
      <c r="G4" s="37"/>
      <c r="J4" s="164">
        <f>29315.1+9874.06</f>
        <v>39189.159999999996</v>
      </c>
      <c r="K4" s="126" t="s">
        <v>227</v>
      </c>
      <c r="L4" s="36">
        <v>38540.79</v>
      </c>
      <c r="M4" s="165" t="s">
        <v>111</v>
      </c>
      <c r="N4" s="166" t="s">
        <v>113</v>
      </c>
      <c r="O4" s="167">
        <v>29315</v>
      </c>
      <c r="P4" s="168">
        <v>42824</v>
      </c>
      <c r="T4" s="164">
        <v>13729</v>
      </c>
      <c r="U4" s="126" t="s">
        <v>304</v>
      </c>
      <c r="V4" s="130">
        <v>13729</v>
      </c>
      <c r="W4" s="165"/>
      <c r="X4" s="166" t="s">
        <v>113</v>
      </c>
      <c r="Y4" s="167">
        <v>19392</v>
      </c>
      <c r="Z4" s="168">
        <v>42851</v>
      </c>
    </row>
    <row r="5" spans="1:26" ht="15.75" x14ac:dyDescent="0.25">
      <c r="A5" s="129">
        <v>42829</v>
      </c>
      <c r="B5" s="132" t="s">
        <v>288</v>
      </c>
      <c r="C5" s="36">
        <v>2856</v>
      </c>
      <c r="D5" s="127">
        <v>42850</v>
      </c>
      <c r="E5" s="36">
        <v>2856</v>
      </c>
      <c r="F5" s="128">
        <f t="shared" si="0"/>
        <v>0</v>
      </c>
      <c r="G5" s="201"/>
      <c r="J5" s="164">
        <f>17728+8115.09+3352.1+11599.28+49520.39+36076.19+2860.45</f>
        <v>129251.5</v>
      </c>
      <c r="K5" s="126" t="s">
        <v>245</v>
      </c>
      <c r="L5" s="130">
        <v>129251.8</v>
      </c>
      <c r="M5" s="165"/>
      <c r="N5" s="166" t="s">
        <v>113</v>
      </c>
      <c r="O5" s="167">
        <v>27602</v>
      </c>
      <c r="P5" s="168">
        <v>42825</v>
      </c>
      <c r="T5" s="164">
        <f>9307.88+5663.37+2889.4+3976.74</f>
        <v>21837.39</v>
      </c>
      <c r="U5" s="126" t="s">
        <v>317</v>
      </c>
      <c r="V5" s="130">
        <v>21092.53</v>
      </c>
      <c r="W5" s="165" t="s">
        <v>111</v>
      </c>
      <c r="X5" s="166">
        <v>3797790</v>
      </c>
      <c r="Y5" s="167">
        <v>9308</v>
      </c>
      <c r="Z5" s="168">
        <v>42848</v>
      </c>
    </row>
    <row r="6" spans="1:26" ht="15.75" x14ac:dyDescent="0.25">
      <c r="A6" s="129">
        <v>42831</v>
      </c>
      <c r="B6" s="126" t="s">
        <v>289</v>
      </c>
      <c r="C6" s="36">
        <v>105882.12</v>
      </c>
      <c r="D6" s="127">
        <v>42850</v>
      </c>
      <c r="E6" s="36">
        <v>105882.12</v>
      </c>
      <c r="F6" s="128">
        <f t="shared" si="0"/>
        <v>0</v>
      </c>
      <c r="G6" s="176"/>
      <c r="J6" s="140">
        <v>17182.400000000001</v>
      </c>
      <c r="K6" s="126" t="s">
        <v>246</v>
      </c>
      <c r="L6" s="130">
        <v>17182.400000000001</v>
      </c>
      <c r="M6" s="165"/>
      <c r="N6" s="166" t="s">
        <v>113</v>
      </c>
      <c r="O6" s="167">
        <v>8115</v>
      </c>
      <c r="P6" s="168">
        <v>42811</v>
      </c>
      <c r="T6" s="140">
        <v>31250.560000000001</v>
      </c>
      <c r="U6" s="126" t="s">
        <v>318</v>
      </c>
      <c r="V6" s="130">
        <v>31250.560000000001</v>
      </c>
      <c r="W6" s="165"/>
      <c r="X6" s="166" t="s">
        <v>113</v>
      </c>
      <c r="Y6" s="167">
        <v>36242.5</v>
      </c>
      <c r="Z6" s="168">
        <v>42852</v>
      </c>
    </row>
    <row r="7" spans="1:26" ht="15.75" x14ac:dyDescent="0.25">
      <c r="A7" s="129">
        <v>42832</v>
      </c>
      <c r="B7" s="126" t="s">
        <v>290</v>
      </c>
      <c r="C7" s="130">
        <v>7179</v>
      </c>
      <c r="D7" s="127">
        <v>42850</v>
      </c>
      <c r="E7" s="130">
        <v>7179</v>
      </c>
      <c r="F7" s="128">
        <f t="shared" si="0"/>
        <v>0</v>
      </c>
      <c r="G7" s="176"/>
      <c r="J7" s="140">
        <f>16158.42+14680.58</f>
        <v>30839</v>
      </c>
      <c r="K7" s="126" t="s">
        <v>249</v>
      </c>
      <c r="L7" s="130">
        <v>30839.119999999999</v>
      </c>
      <c r="M7" s="165"/>
      <c r="N7" s="166" t="s">
        <v>113</v>
      </c>
      <c r="O7" s="167">
        <v>3352.3</v>
      </c>
      <c r="P7" s="168">
        <v>42824</v>
      </c>
      <c r="T7" s="140">
        <f>1014.78+28509.12</f>
        <v>29523.899999999998</v>
      </c>
      <c r="U7" s="126" t="s">
        <v>319</v>
      </c>
      <c r="V7" s="130">
        <v>29523.9</v>
      </c>
      <c r="W7" s="165"/>
      <c r="X7" s="166" t="s">
        <v>113</v>
      </c>
      <c r="Y7" s="167">
        <v>2889.4</v>
      </c>
      <c r="Z7" s="168">
        <v>42850</v>
      </c>
    </row>
    <row r="8" spans="1:26" ht="15.75" x14ac:dyDescent="0.25">
      <c r="A8" s="129">
        <v>42833</v>
      </c>
      <c r="B8" s="126" t="s">
        <v>291</v>
      </c>
      <c r="C8" s="130">
        <v>121549.99</v>
      </c>
      <c r="D8" s="127">
        <v>42850</v>
      </c>
      <c r="E8" s="130">
        <v>121549.99</v>
      </c>
      <c r="F8" s="128">
        <f t="shared" si="0"/>
        <v>0</v>
      </c>
      <c r="G8" s="176"/>
      <c r="J8" s="140">
        <f>7743.47+19216+11671.76+36084.43+12889</f>
        <v>87604.66</v>
      </c>
      <c r="K8" s="126" t="s">
        <v>250</v>
      </c>
      <c r="L8" s="130">
        <v>87604.800000000003</v>
      </c>
      <c r="M8" s="165"/>
      <c r="N8" s="166" t="s">
        <v>113</v>
      </c>
      <c r="O8" s="167">
        <v>11599.5</v>
      </c>
      <c r="P8" s="168">
        <v>42822</v>
      </c>
      <c r="T8" s="164">
        <v>1828.5</v>
      </c>
      <c r="U8" s="126" t="s">
        <v>320</v>
      </c>
      <c r="V8" s="130">
        <v>2573.41</v>
      </c>
      <c r="W8" s="165" t="s">
        <v>125</v>
      </c>
      <c r="X8" s="166" t="s">
        <v>113</v>
      </c>
      <c r="Y8" s="167">
        <v>30337.5</v>
      </c>
      <c r="Z8" s="168">
        <v>42853</v>
      </c>
    </row>
    <row r="9" spans="1:26" ht="15.75" x14ac:dyDescent="0.25">
      <c r="A9" s="129">
        <v>42835</v>
      </c>
      <c r="B9" s="126" t="s">
        <v>292</v>
      </c>
      <c r="C9" s="130">
        <v>25086.9</v>
      </c>
      <c r="D9" s="127">
        <v>42850</v>
      </c>
      <c r="E9" s="130">
        <v>25086.9</v>
      </c>
      <c r="F9" s="128">
        <f t="shared" si="0"/>
        <v>0</v>
      </c>
      <c r="G9" s="176"/>
      <c r="J9" s="140">
        <f>14988+16904</f>
        <v>31892</v>
      </c>
      <c r="K9" s="126" t="s">
        <v>251</v>
      </c>
      <c r="L9" s="130">
        <v>31892</v>
      </c>
      <c r="M9" s="165"/>
      <c r="N9" s="166" t="s">
        <v>113</v>
      </c>
      <c r="O9" s="167">
        <v>49520</v>
      </c>
      <c r="P9" s="168">
        <v>42828</v>
      </c>
      <c r="T9" s="140">
        <v>0</v>
      </c>
      <c r="U9" s="126"/>
      <c r="V9" s="130"/>
      <c r="W9" s="165"/>
      <c r="X9" s="166" t="s">
        <v>113</v>
      </c>
      <c r="Y9" s="167">
        <v>0</v>
      </c>
      <c r="Z9" s="168"/>
    </row>
    <row r="10" spans="1:26" ht="15.75" x14ac:dyDescent="0.25">
      <c r="A10" s="129">
        <v>42836</v>
      </c>
      <c r="B10" s="126" t="s">
        <v>293</v>
      </c>
      <c r="C10" s="130">
        <v>27355</v>
      </c>
      <c r="D10" s="127">
        <v>42850</v>
      </c>
      <c r="E10" s="130">
        <v>27355</v>
      </c>
      <c r="F10" s="128">
        <f t="shared" si="0"/>
        <v>0</v>
      </c>
      <c r="G10" s="37"/>
      <c r="J10" s="140">
        <f>8143.97+50348.5+36733.322</f>
        <v>95225.792000000001</v>
      </c>
      <c r="K10" s="126" t="s">
        <v>252</v>
      </c>
      <c r="L10" s="130">
        <v>95225.69</v>
      </c>
      <c r="M10" s="165"/>
      <c r="N10" s="166" t="s">
        <v>113</v>
      </c>
      <c r="O10" s="167">
        <v>36076</v>
      </c>
      <c r="P10" s="168">
        <v>42828</v>
      </c>
      <c r="T10" s="140">
        <v>0</v>
      </c>
      <c r="U10" s="126"/>
      <c r="V10" s="130"/>
      <c r="W10" s="165"/>
      <c r="X10" s="166" t="s">
        <v>113</v>
      </c>
      <c r="Y10" s="167">
        <v>0</v>
      </c>
      <c r="Z10" s="168"/>
    </row>
    <row r="11" spans="1:26" ht="16.5" thickBot="1" x14ac:dyDescent="0.3">
      <c r="A11" s="129">
        <v>42837</v>
      </c>
      <c r="B11" s="126" t="s">
        <v>304</v>
      </c>
      <c r="C11" s="130">
        <v>13729</v>
      </c>
      <c r="D11" s="127">
        <v>42854</v>
      </c>
      <c r="E11" s="130">
        <v>13729</v>
      </c>
      <c r="F11" s="128">
        <f t="shared" si="0"/>
        <v>0</v>
      </c>
      <c r="J11" s="140">
        <v>8247.4</v>
      </c>
      <c r="K11" s="126" t="s">
        <v>253</v>
      </c>
      <c r="L11" s="130">
        <v>8247.4</v>
      </c>
      <c r="M11" s="165"/>
      <c r="N11" s="166" t="s">
        <v>113</v>
      </c>
      <c r="O11" s="167">
        <v>36201</v>
      </c>
      <c r="P11" s="168">
        <v>42828</v>
      </c>
      <c r="T11" s="140">
        <v>0</v>
      </c>
      <c r="U11" s="205"/>
      <c r="V11" s="130">
        <v>0</v>
      </c>
      <c r="W11" s="183"/>
      <c r="X11" s="184" t="s">
        <v>113</v>
      </c>
      <c r="Y11" s="243">
        <v>0</v>
      </c>
      <c r="Z11" s="186"/>
    </row>
    <row r="12" spans="1:26" ht="16.5" thickBot="1" x14ac:dyDescent="0.3">
      <c r="A12" s="129">
        <v>42838</v>
      </c>
      <c r="B12" s="126" t="s">
        <v>305</v>
      </c>
      <c r="C12" s="130">
        <v>118168.98</v>
      </c>
      <c r="D12" s="127">
        <v>42850</v>
      </c>
      <c r="E12" s="130">
        <v>118168.98</v>
      </c>
      <c r="F12" s="128">
        <f t="shared" si="0"/>
        <v>0</v>
      </c>
      <c r="J12" s="140">
        <f>3389.7+697.5</f>
        <v>4087.2</v>
      </c>
      <c r="K12" s="126" t="s">
        <v>262</v>
      </c>
      <c r="L12" s="130">
        <v>4087.2</v>
      </c>
      <c r="M12" s="183"/>
      <c r="N12" s="184" t="s">
        <v>113</v>
      </c>
      <c r="O12" s="185">
        <v>22423.5</v>
      </c>
      <c r="P12" s="186">
        <v>42829</v>
      </c>
      <c r="T12" s="250">
        <f>SUM(T4:T11)</f>
        <v>98169.349999999991</v>
      </c>
      <c r="U12" s="251"/>
      <c r="V12" s="256">
        <f>SUM(V4:V11)</f>
        <v>98169.4</v>
      </c>
      <c r="W12" s="252"/>
      <c r="X12" s="253"/>
      <c r="Y12" s="254">
        <f>SUM(Y4:Y11)</f>
        <v>98169.4</v>
      </c>
      <c r="Z12" s="255"/>
    </row>
    <row r="13" spans="1:26" ht="15.75" x14ac:dyDescent="0.25">
      <c r="A13" s="129">
        <v>42838</v>
      </c>
      <c r="B13" s="126" t="s">
        <v>312</v>
      </c>
      <c r="C13" s="130">
        <v>30916.799999999999</v>
      </c>
      <c r="D13" s="127">
        <v>42850</v>
      </c>
      <c r="E13" s="130">
        <v>30916.799999999999</v>
      </c>
      <c r="F13" s="128">
        <f t="shared" si="0"/>
        <v>0</v>
      </c>
      <c r="J13" s="151">
        <f>24266.19+30103</f>
        <v>54369.19</v>
      </c>
      <c r="K13" s="126" t="s">
        <v>295</v>
      </c>
      <c r="L13" s="36">
        <v>55014.6</v>
      </c>
      <c r="M13" s="235" t="s">
        <v>125</v>
      </c>
      <c r="N13" s="184" t="s">
        <v>113</v>
      </c>
      <c r="O13" s="225">
        <v>19216</v>
      </c>
      <c r="P13" s="186">
        <v>42830</v>
      </c>
      <c r="T13" s="151"/>
      <c r="U13" s="176"/>
      <c r="V13" s="36"/>
      <c r="W13" s="246"/>
      <c r="X13" s="244"/>
      <c r="Y13" s="247"/>
      <c r="Z13" s="245"/>
    </row>
    <row r="14" spans="1:26" ht="15.75" x14ac:dyDescent="0.25">
      <c r="A14" s="129">
        <v>42841</v>
      </c>
      <c r="B14" s="126" t="s">
        <v>314</v>
      </c>
      <c r="C14" s="130">
        <v>33333.699999999997</v>
      </c>
      <c r="D14" s="127">
        <v>42850</v>
      </c>
      <c r="E14" s="130">
        <v>33333.699999999997</v>
      </c>
      <c r="F14" s="128">
        <f t="shared" si="0"/>
        <v>0</v>
      </c>
      <c r="J14" s="151"/>
      <c r="K14" s="126"/>
      <c r="L14" s="130"/>
      <c r="M14" s="187"/>
      <c r="N14" s="184" t="s">
        <v>113</v>
      </c>
      <c r="O14" s="188">
        <v>36084</v>
      </c>
      <c r="P14" s="186">
        <v>42831</v>
      </c>
      <c r="T14" s="151"/>
      <c r="U14" s="176"/>
      <c r="V14" s="36"/>
      <c r="W14" s="100"/>
      <c r="X14" s="244"/>
      <c r="Y14" s="247"/>
      <c r="Z14" s="245"/>
    </row>
    <row r="15" spans="1:26" ht="15.75" x14ac:dyDescent="0.25">
      <c r="A15" s="129">
        <v>42843</v>
      </c>
      <c r="B15" s="126" t="s">
        <v>313</v>
      </c>
      <c r="C15" s="130">
        <v>15851.56</v>
      </c>
      <c r="D15" s="127">
        <v>42850</v>
      </c>
      <c r="E15" s="130">
        <v>15851.56</v>
      </c>
      <c r="F15" s="128">
        <f t="shared" si="0"/>
        <v>0</v>
      </c>
      <c r="G15" s="149"/>
      <c r="J15" s="151"/>
      <c r="K15" s="132"/>
      <c r="L15" s="36"/>
      <c r="M15" s="187"/>
      <c r="N15" s="184" t="s">
        <v>294</v>
      </c>
      <c r="O15" s="188">
        <v>11671.5</v>
      </c>
      <c r="P15" s="186">
        <v>42829</v>
      </c>
      <c r="T15" s="151"/>
      <c r="U15" s="176"/>
      <c r="V15" s="36"/>
      <c r="W15" s="100"/>
      <c r="X15" s="244"/>
      <c r="Y15" s="247"/>
      <c r="Z15" s="245"/>
    </row>
    <row r="16" spans="1:26" ht="15.75" x14ac:dyDescent="0.25">
      <c r="A16" s="129">
        <v>42844</v>
      </c>
      <c r="B16" s="126" t="s">
        <v>315</v>
      </c>
      <c r="C16" s="130">
        <v>66012.38</v>
      </c>
      <c r="D16" s="127">
        <v>42850</v>
      </c>
      <c r="E16" s="130">
        <v>66012.38</v>
      </c>
      <c r="F16" s="128">
        <f t="shared" si="0"/>
        <v>0</v>
      </c>
      <c r="G16" s="149"/>
      <c r="J16" s="151"/>
      <c r="K16" s="126"/>
      <c r="L16" s="36"/>
      <c r="M16" s="227"/>
      <c r="N16" s="184" t="s">
        <v>113</v>
      </c>
      <c r="O16" s="188">
        <v>27877</v>
      </c>
      <c r="P16" s="186">
        <v>42832</v>
      </c>
      <c r="T16" s="151"/>
      <c r="U16" s="176"/>
      <c r="V16" s="36"/>
      <c r="W16" s="246"/>
      <c r="X16" s="244"/>
      <c r="Y16" s="247"/>
      <c r="Z16" s="245"/>
    </row>
    <row r="17" spans="1:26" ht="15.75" x14ac:dyDescent="0.25">
      <c r="A17" s="129">
        <v>42844</v>
      </c>
      <c r="B17" s="126" t="s">
        <v>316</v>
      </c>
      <c r="C17" s="130">
        <v>8681.7000000000007</v>
      </c>
      <c r="D17" s="127">
        <v>42850</v>
      </c>
      <c r="E17" s="130">
        <v>8681.7000000000007</v>
      </c>
      <c r="F17" s="128">
        <f t="shared" si="0"/>
        <v>0</v>
      </c>
      <c r="G17" s="202"/>
      <c r="J17" s="151"/>
      <c r="K17" s="187"/>
      <c r="L17" s="187"/>
      <c r="M17" s="187"/>
      <c r="N17" s="184" t="s">
        <v>113</v>
      </c>
      <c r="O17" s="188">
        <v>33295</v>
      </c>
      <c r="P17" s="186">
        <v>42835</v>
      </c>
      <c r="T17" s="151"/>
      <c r="U17" s="176"/>
      <c r="V17" s="36"/>
      <c r="W17" s="100"/>
      <c r="X17" s="244"/>
      <c r="Y17" s="247"/>
      <c r="Z17" s="245"/>
    </row>
    <row r="18" spans="1:26" ht="15.75" x14ac:dyDescent="0.25">
      <c r="A18" s="129">
        <v>42845</v>
      </c>
      <c r="B18" s="126" t="s">
        <v>317</v>
      </c>
      <c r="C18" s="130">
        <v>24565.8</v>
      </c>
      <c r="D18" s="127" t="s">
        <v>344</v>
      </c>
      <c r="E18" s="130">
        <f>3473.27+21092.53</f>
        <v>24565.8</v>
      </c>
      <c r="F18" s="128">
        <f t="shared" si="0"/>
        <v>0</v>
      </c>
      <c r="J18" s="151"/>
      <c r="K18" s="187"/>
      <c r="L18" s="187"/>
      <c r="M18" s="187"/>
      <c r="N18" s="184" t="s">
        <v>113</v>
      </c>
      <c r="O18" s="188">
        <v>49848.5</v>
      </c>
      <c r="P18" s="186">
        <v>42835</v>
      </c>
      <c r="T18" s="151"/>
      <c r="U18" s="176"/>
      <c r="V18" s="36"/>
      <c r="W18" s="100"/>
      <c r="X18" s="244"/>
      <c r="Y18" s="247"/>
      <c r="Z18" s="245"/>
    </row>
    <row r="19" spans="1:26" ht="15.75" x14ac:dyDescent="0.25">
      <c r="A19" s="129">
        <v>42845</v>
      </c>
      <c r="B19" s="126" t="s">
        <v>318</v>
      </c>
      <c r="C19" s="130">
        <v>31250.560000000001</v>
      </c>
      <c r="D19" s="127">
        <v>42854</v>
      </c>
      <c r="E19" s="130">
        <v>31250.560000000001</v>
      </c>
      <c r="F19" s="128">
        <f t="shared" si="0"/>
        <v>0</v>
      </c>
      <c r="J19" s="151"/>
      <c r="K19" s="187"/>
      <c r="L19" s="187"/>
      <c r="M19" s="187"/>
      <c r="N19" s="184" t="s">
        <v>113</v>
      </c>
      <c r="O19" s="188">
        <v>500</v>
      </c>
      <c r="P19" s="186">
        <v>42837</v>
      </c>
      <c r="T19" s="151"/>
      <c r="U19" s="176"/>
      <c r="V19" s="36"/>
      <c r="W19" s="246"/>
      <c r="X19" s="244"/>
      <c r="Y19" s="247"/>
      <c r="Z19" s="245"/>
    </row>
    <row r="20" spans="1:26" ht="15.75" x14ac:dyDescent="0.25">
      <c r="A20" s="129">
        <v>42846</v>
      </c>
      <c r="B20" s="126" t="s">
        <v>319</v>
      </c>
      <c r="C20" s="130">
        <v>29523.9</v>
      </c>
      <c r="D20" s="127">
        <v>42854</v>
      </c>
      <c r="E20" s="130">
        <v>29523.9</v>
      </c>
      <c r="F20" s="128">
        <f t="shared" si="0"/>
        <v>0</v>
      </c>
      <c r="J20" s="151"/>
      <c r="K20" s="187"/>
      <c r="L20" s="187"/>
      <c r="M20" s="187"/>
      <c r="N20" s="184" t="s">
        <v>113</v>
      </c>
      <c r="O20" s="188">
        <v>40123</v>
      </c>
      <c r="P20" s="186">
        <v>42835</v>
      </c>
      <c r="T20" s="151"/>
      <c r="U20" s="176"/>
      <c r="V20" s="36"/>
      <c r="W20" s="100"/>
      <c r="X20" s="244"/>
      <c r="Y20" s="247"/>
      <c r="Z20" s="245"/>
    </row>
    <row r="21" spans="1:26" ht="15.75" x14ac:dyDescent="0.25">
      <c r="A21" s="129">
        <v>42847</v>
      </c>
      <c r="B21" s="126" t="s">
        <v>320</v>
      </c>
      <c r="C21" s="130">
        <v>111920.95</v>
      </c>
      <c r="D21" s="268" t="s">
        <v>383</v>
      </c>
      <c r="E21" s="137">
        <f>2573.41+109347.54</f>
        <v>111920.95</v>
      </c>
      <c r="F21" s="128">
        <f t="shared" si="0"/>
        <v>0</v>
      </c>
      <c r="J21" s="151"/>
      <c r="K21" s="187"/>
      <c r="L21" s="187"/>
      <c r="M21" s="187"/>
      <c r="N21" s="184" t="s">
        <v>113</v>
      </c>
      <c r="O21" s="188">
        <v>24963.5</v>
      </c>
      <c r="P21" s="186">
        <v>42837</v>
      </c>
      <c r="T21" s="151"/>
      <c r="U21" s="100"/>
      <c r="V21" s="100"/>
      <c r="W21" s="100"/>
      <c r="X21" s="244"/>
      <c r="Y21" s="247"/>
      <c r="Z21" s="245"/>
    </row>
    <row r="22" spans="1:26" ht="15.75" x14ac:dyDescent="0.25">
      <c r="A22" s="236">
        <v>42849</v>
      </c>
      <c r="B22" s="126" t="s">
        <v>339</v>
      </c>
      <c r="C22" s="130">
        <v>71567.81</v>
      </c>
      <c r="D22" s="138">
        <v>42868</v>
      </c>
      <c r="E22" s="137">
        <v>71567.81</v>
      </c>
      <c r="F22" s="128">
        <f t="shared" si="0"/>
        <v>0</v>
      </c>
      <c r="J22" s="151"/>
      <c r="K22" s="187"/>
      <c r="L22" s="187"/>
      <c r="M22" s="187"/>
      <c r="N22" s="184" t="s">
        <v>113</v>
      </c>
      <c r="O22" s="188">
        <v>30103</v>
      </c>
      <c r="P22" s="186">
        <v>42837</v>
      </c>
      <c r="T22" s="248"/>
      <c r="U22" s="100"/>
      <c r="V22" s="100"/>
      <c r="W22" s="100"/>
      <c r="X22" s="244"/>
      <c r="Y22" s="247"/>
      <c r="Z22" s="245"/>
    </row>
    <row r="23" spans="1:26" ht="16.5" thickBot="1" x14ac:dyDescent="0.3">
      <c r="A23" s="236">
        <v>42852</v>
      </c>
      <c r="B23" s="126" t="s">
        <v>340</v>
      </c>
      <c r="C23" s="130">
        <v>165656.38</v>
      </c>
      <c r="D23" s="138">
        <v>42868</v>
      </c>
      <c r="E23" s="137">
        <v>165656.38</v>
      </c>
      <c r="F23" s="128">
        <f t="shared" si="0"/>
        <v>0</v>
      </c>
      <c r="J23" s="177">
        <f>SUM(J4:J22)</f>
        <v>497888.30200000003</v>
      </c>
      <c r="K23" s="207"/>
      <c r="L23" s="207"/>
      <c r="M23" s="207"/>
      <c r="N23" s="184" t="s">
        <v>113</v>
      </c>
      <c r="O23" s="221">
        <v>0</v>
      </c>
      <c r="P23" s="222"/>
      <c r="T23" s="177"/>
      <c r="U23" s="100"/>
      <c r="V23" s="100"/>
      <c r="W23" s="100"/>
      <c r="X23" s="244"/>
      <c r="Y23" s="247"/>
      <c r="Z23" s="245"/>
    </row>
    <row r="24" spans="1:26" ht="17.25" thickTop="1" thickBot="1" x14ac:dyDescent="0.3">
      <c r="A24" s="236">
        <v>42854</v>
      </c>
      <c r="B24" s="126" t="s">
        <v>345</v>
      </c>
      <c r="C24" s="130">
        <v>60441.74</v>
      </c>
      <c r="D24" s="138">
        <v>42868</v>
      </c>
      <c r="E24" s="137">
        <v>60441.74</v>
      </c>
      <c r="F24" s="128">
        <f t="shared" si="0"/>
        <v>0</v>
      </c>
      <c r="K24" s="177"/>
      <c r="L24" s="177">
        <f>SUM(L4:L22)</f>
        <v>497885.8</v>
      </c>
      <c r="M24" s="178"/>
      <c r="N24" s="179"/>
      <c r="O24" s="204">
        <f>SUM(O4:O23)</f>
        <v>497885.8</v>
      </c>
      <c r="P24" s="181"/>
      <c r="T24" s="100"/>
      <c r="U24" s="177"/>
      <c r="V24" s="177"/>
      <c r="W24" s="178"/>
      <c r="X24" s="179"/>
      <c r="Y24" s="249"/>
      <c r="Z24" s="181"/>
    </row>
    <row r="25" spans="1:26" ht="15.75" thickBot="1" x14ac:dyDescent="0.3">
      <c r="A25" s="142">
        <v>42853</v>
      </c>
      <c r="B25" s="143" t="s">
        <v>346</v>
      </c>
      <c r="C25" s="144">
        <v>6681.15</v>
      </c>
      <c r="D25" s="267">
        <v>42868</v>
      </c>
      <c r="E25" s="269">
        <v>6681.15</v>
      </c>
      <c r="F25" s="147">
        <f t="shared" si="0"/>
        <v>0</v>
      </c>
      <c r="T25" s="100"/>
      <c r="U25" s="100"/>
      <c r="V25" s="100"/>
      <c r="W25" s="100"/>
      <c r="X25" s="100"/>
      <c r="Y25" s="100"/>
      <c r="Z25" s="100"/>
    </row>
    <row r="26" spans="1:26" ht="15.75" thickTop="1" x14ac:dyDescent="0.25">
      <c r="B26" s="44"/>
      <c r="C26" s="130">
        <f>SUM(C3:C25)</f>
        <v>1182549.1199999999</v>
      </c>
      <c r="D26" s="148"/>
      <c r="E26" s="130">
        <f>SUM(E3:E25)</f>
        <v>1182549.1199999999</v>
      </c>
      <c r="F26" s="130">
        <f>SUM(F3:F25)</f>
        <v>0</v>
      </c>
      <c r="T26" s="100"/>
      <c r="U26" s="100"/>
      <c r="V26" s="100"/>
      <c r="W26" s="100"/>
      <c r="X26" s="100"/>
      <c r="Y26" s="100"/>
      <c r="Z26" s="100"/>
    </row>
    <row r="27" spans="1:26" x14ac:dyDescent="0.25">
      <c r="A27"/>
      <c r="B27" s="16"/>
      <c r="C27" s="151"/>
      <c r="D27"/>
      <c r="E27"/>
      <c r="F27"/>
      <c r="G27"/>
    </row>
    <row r="28" spans="1:26" ht="15.75" thickBot="1" x14ac:dyDescent="0.3">
      <c r="A28"/>
      <c r="B28" s="16"/>
      <c r="C28" s="151"/>
      <c r="D28"/>
      <c r="E28"/>
      <c r="F28"/>
      <c r="G28"/>
    </row>
    <row r="29" spans="1:26" ht="19.5" thickBot="1" x14ac:dyDescent="0.35">
      <c r="A29"/>
      <c r="B29" s="149"/>
      <c r="D29" s="149"/>
      <c r="K29" t="s">
        <v>64</v>
      </c>
      <c r="L29" s="154" t="s">
        <v>105</v>
      </c>
      <c r="M29" s="155"/>
      <c r="N29" s="156"/>
      <c r="O29" s="231">
        <v>42850</v>
      </c>
      <c r="P29" s="158"/>
    </row>
    <row r="30" spans="1:26" ht="15.75" x14ac:dyDescent="0.25">
      <c r="A30"/>
      <c r="B30" s="149"/>
      <c r="D30" s="149"/>
      <c r="K30" s="159"/>
      <c r="L30" s="160"/>
      <c r="M30" s="159"/>
      <c r="N30" s="161"/>
      <c r="O30" s="160"/>
      <c r="P30" s="162"/>
    </row>
    <row r="31" spans="1:26" ht="15.75" x14ac:dyDescent="0.25">
      <c r="A31"/>
      <c r="B31" s="149"/>
      <c r="D31" s="149"/>
      <c r="K31" s="163" t="s">
        <v>106</v>
      </c>
      <c r="L31" s="160" t="s">
        <v>107</v>
      </c>
      <c r="M31" s="159"/>
      <c r="N31" s="161" t="s">
        <v>108</v>
      </c>
      <c r="O31" s="160" t="s">
        <v>109</v>
      </c>
      <c r="P31" s="162"/>
    </row>
    <row r="32" spans="1:26" ht="15.75" x14ac:dyDescent="0.25">
      <c r="A32"/>
      <c r="B32" s="149"/>
      <c r="D32" s="149"/>
      <c r="J32" s="164">
        <v>28227.24</v>
      </c>
      <c r="K32" s="126" t="s">
        <v>295</v>
      </c>
      <c r="L32" s="36">
        <v>27581.7</v>
      </c>
      <c r="M32" s="165" t="s">
        <v>111</v>
      </c>
      <c r="N32" s="166" t="s">
        <v>113</v>
      </c>
      <c r="O32" s="167">
        <v>33777</v>
      </c>
      <c r="P32" s="168">
        <v>42842</v>
      </c>
    </row>
    <row r="33" spans="1:16" ht="15.75" x14ac:dyDescent="0.25">
      <c r="A33"/>
      <c r="B33" s="149"/>
      <c r="D33" s="149"/>
      <c r="J33" s="164">
        <f>5550.03+4321+8450.84+3419.69</f>
        <v>21741.559999999998</v>
      </c>
      <c r="K33" s="126" t="s">
        <v>266</v>
      </c>
      <c r="L33" s="130">
        <v>21741.4</v>
      </c>
      <c r="M33" s="165"/>
      <c r="N33" s="166" t="s">
        <v>113</v>
      </c>
      <c r="O33" s="167">
        <v>8451</v>
      </c>
      <c r="P33" s="168">
        <v>42835</v>
      </c>
    </row>
    <row r="34" spans="1:16" ht="15.75" x14ac:dyDescent="0.25">
      <c r="A34"/>
      <c r="B34" s="149"/>
      <c r="D34" s="149"/>
      <c r="J34" s="140">
        <v>2856</v>
      </c>
      <c r="K34" s="132" t="s">
        <v>288</v>
      </c>
      <c r="L34" s="36">
        <v>2856</v>
      </c>
      <c r="M34" s="165"/>
      <c r="N34" s="166" t="s">
        <v>113</v>
      </c>
      <c r="O34" s="167">
        <v>4321</v>
      </c>
      <c r="P34" s="168">
        <v>42835</v>
      </c>
    </row>
    <row r="35" spans="1:16" ht="15.75" x14ac:dyDescent="0.25">
      <c r="A35"/>
      <c r="B35" s="149"/>
      <c r="D35" s="149"/>
      <c r="J35" s="140">
        <f>48103+57779.03</f>
        <v>105882.03</v>
      </c>
      <c r="K35" s="126" t="s">
        <v>289</v>
      </c>
      <c r="L35" s="36">
        <v>105882.12</v>
      </c>
      <c r="M35" s="165"/>
      <c r="N35" s="166" t="s">
        <v>113</v>
      </c>
      <c r="O35" s="167">
        <v>54379</v>
      </c>
      <c r="P35" s="168">
        <v>42842</v>
      </c>
    </row>
    <row r="36" spans="1:16" ht="15.75" x14ac:dyDescent="0.25">
      <c r="A36"/>
      <c r="B36" s="149"/>
      <c r="D36" s="149"/>
      <c r="J36" s="140">
        <v>7179</v>
      </c>
      <c r="K36" s="126" t="s">
        <v>290</v>
      </c>
      <c r="L36" s="130">
        <v>7179</v>
      </c>
      <c r="M36" s="165"/>
      <c r="N36" s="166" t="s">
        <v>113</v>
      </c>
      <c r="O36" s="167">
        <v>90111.5</v>
      </c>
      <c r="P36" s="168">
        <v>42842</v>
      </c>
    </row>
    <row r="37" spans="1:16" ht="15.75" x14ac:dyDescent="0.25">
      <c r="A37"/>
      <c r="B37" s="149"/>
      <c r="D37" s="149"/>
      <c r="F37"/>
      <c r="G37"/>
      <c r="J37" s="140">
        <f>67.51+41909.51+34181.55+7156.92+38234.5</f>
        <v>121549.99</v>
      </c>
      <c r="K37" s="126" t="s">
        <v>291</v>
      </c>
      <c r="L37" s="130">
        <v>121549.99</v>
      </c>
      <c r="M37" s="165"/>
      <c r="N37" s="166" t="s">
        <v>113</v>
      </c>
      <c r="O37" s="167">
        <v>41909.5</v>
      </c>
      <c r="P37" s="168">
        <v>42842</v>
      </c>
    </row>
    <row r="38" spans="1:16" ht="15.75" x14ac:dyDescent="0.25">
      <c r="A38"/>
      <c r="B38" s="149">
        <v>42826</v>
      </c>
      <c r="C38" s="140">
        <v>1170</v>
      </c>
      <c r="D38" s="149" t="s">
        <v>278</v>
      </c>
      <c r="F38"/>
      <c r="G38"/>
      <c r="J38" s="140">
        <v>25086.09</v>
      </c>
      <c r="K38" s="126" t="s">
        <v>292</v>
      </c>
      <c r="L38" s="130">
        <v>25086.9</v>
      </c>
      <c r="M38" s="165"/>
      <c r="N38" s="166" t="s">
        <v>113</v>
      </c>
      <c r="O38" s="167">
        <v>34181.5</v>
      </c>
      <c r="P38" s="168">
        <v>42843</v>
      </c>
    </row>
    <row r="39" spans="1:16" ht="15.75" x14ac:dyDescent="0.25">
      <c r="A39"/>
      <c r="B39" s="149">
        <v>42827</v>
      </c>
      <c r="C39" s="140">
        <v>0</v>
      </c>
      <c r="D39" s="149"/>
      <c r="F39"/>
      <c r="G39"/>
      <c r="J39" s="140">
        <f>6644.29+14514+4689.64+1507.07</f>
        <v>27355</v>
      </c>
      <c r="K39" s="126" t="s">
        <v>293</v>
      </c>
      <c r="L39" s="130">
        <v>27355</v>
      </c>
      <c r="M39" s="165"/>
      <c r="N39" s="166" t="s">
        <v>113</v>
      </c>
      <c r="O39" s="167">
        <v>7157</v>
      </c>
      <c r="P39" s="168">
        <v>42837</v>
      </c>
    </row>
    <row r="40" spans="1:16" ht="15.75" x14ac:dyDescent="0.25">
      <c r="A40"/>
      <c r="B40" s="149">
        <v>42828</v>
      </c>
      <c r="C40" s="140">
        <v>0</v>
      </c>
      <c r="D40" s="149"/>
      <c r="F40"/>
      <c r="G40"/>
      <c r="J40" s="140"/>
      <c r="K40" s="126"/>
      <c r="L40" s="130">
        <v>0</v>
      </c>
      <c r="M40" s="183"/>
      <c r="N40" s="184" t="s">
        <v>113</v>
      </c>
      <c r="O40" s="185">
        <v>44878.5</v>
      </c>
      <c r="P40" s="186">
        <v>42844</v>
      </c>
    </row>
    <row r="41" spans="1:16" ht="15.75" x14ac:dyDescent="0.25">
      <c r="A41"/>
      <c r="B41" s="149">
        <v>42829</v>
      </c>
      <c r="C41" s="140">
        <v>0</v>
      </c>
      <c r="D41" s="149"/>
      <c r="F41"/>
      <c r="G41"/>
      <c r="J41" s="151">
        <f>27197+79263.1+11708.88</f>
        <v>118168.98000000001</v>
      </c>
      <c r="K41" s="126" t="s">
        <v>305</v>
      </c>
      <c r="L41" s="130">
        <v>118168.98</v>
      </c>
      <c r="M41" s="235"/>
      <c r="N41" s="184" t="s">
        <v>113</v>
      </c>
      <c r="O41" s="225">
        <v>14514</v>
      </c>
      <c r="P41" s="186">
        <v>42844</v>
      </c>
    </row>
    <row r="42" spans="1:16" ht="15.75" x14ac:dyDescent="0.25">
      <c r="A42"/>
      <c r="B42" s="149">
        <v>42830</v>
      </c>
      <c r="C42" s="140">
        <v>305.7</v>
      </c>
      <c r="D42" s="149" t="s">
        <v>104</v>
      </c>
      <c r="F42"/>
      <c r="G42"/>
      <c r="J42" s="151">
        <f>24759.82+6157</f>
        <v>30916.82</v>
      </c>
      <c r="K42" s="126" t="s">
        <v>312</v>
      </c>
      <c r="L42" s="130">
        <v>30916.799999999999</v>
      </c>
      <c r="M42" s="187"/>
      <c r="N42" s="184" t="s">
        <v>113</v>
      </c>
      <c r="O42" s="188">
        <v>4690</v>
      </c>
      <c r="P42" s="186">
        <v>42842</v>
      </c>
    </row>
    <row r="43" spans="1:16" ht="15.75" x14ac:dyDescent="0.25">
      <c r="A43"/>
      <c r="B43" s="149">
        <v>42831</v>
      </c>
      <c r="C43" s="140">
        <v>0</v>
      </c>
      <c r="D43" s="149"/>
      <c r="F43"/>
      <c r="G43"/>
      <c r="J43" s="151">
        <v>33333.699999999997</v>
      </c>
      <c r="K43" s="126" t="s">
        <v>314</v>
      </c>
      <c r="L43" s="130">
        <v>33333.699999999997</v>
      </c>
      <c r="M43" s="187"/>
      <c r="N43" s="184" t="s">
        <v>113</v>
      </c>
      <c r="O43" s="188">
        <v>26267</v>
      </c>
      <c r="P43" s="186">
        <v>42845</v>
      </c>
    </row>
    <row r="44" spans="1:16" ht="15.75" x14ac:dyDescent="0.25">
      <c r="A44"/>
      <c r="B44" s="149">
        <v>42832</v>
      </c>
      <c r="C44" s="140">
        <v>764</v>
      </c>
      <c r="D44" s="149" t="s">
        <v>364</v>
      </c>
      <c r="F44"/>
      <c r="G44"/>
      <c r="J44" s="151">
        <v>15951.56</v>
      </c>
      <c r="K44" s="126" t="s">
        <v>313</v>
      </c>
      <c r="L44" s="130">
        <v>15851.56</v>
      </c>
      <c r="M44" s="227"/>
      <c r="N44" s="184" t="s">
        <v>113</v>
      </c>
      <c r="O44" s="188">
        <v>33354</v>
      </c>
      <c r="P44" s="186">
        <v>42846</v>
      </c>
    </row>
    <row r="45" spans="1:16" ht="15.75" x14ac:dyDescent="0.25">
      <c r="A45"/>
      <c r="B45" s="149">
        <v>42833</v>
      </c>
      <c r="C45" s="140">
        <v>260</v>
      </c>
      <c r="D45" s="149" t="s">
        <v>167</v>
      </c>
      <c r="F45"/>
      <c r="G45"/>
      <c r="J45" s="151">
        <f>39757.5+26254.8</f>
        <v>66012.3</v>
      </c>
      <c r="K45" s="126" t="s">
        <v>315</v>
      </c>
      <c r="L45" s="130">
        <v>66012.38</v>
      </c>
      <c r="M45" s="187"/>
      <c r="N45" s="184" t="s">
        <v>113</v>
      </c>
      <c r="O45" s="188">
        <v>79263</v>
      </c>
      <c r="P45" s="186">
        <v>42849</v>
      </c>
    </row>
    <row r="46" spans="1:16" ht="15.75" x14ac:dyDescent="0.25">
      <c r="A46"/>
      <c r="B46" s="149">
        <v>42834</v>
      </c>
      <c r="C46" s="140">
        <v>0</v>
      </c>
      <c r="D46" s="149"/>
      <c r="E46"/>
      <c r="F46"/>
      <c r="G46"/>
      <c r="J46" s="151">
        <f>6873.23+1808.47</f>
        <v>8681.6999999999989</v>
      </c>
      <c r="K46" s="126" t="s">
        <v>316</v>
      </c>
      <c r="L46" s="130">
        <v>8681.7000000000007</v>
      </c>
      <c r="M46" s="187"/>
      <c r="N46" s="184" t="s">
        <v>113</v>
      </c>
      <c r="O46" s="188">
        <v>67867.5</v>
      </c>
      <c r="P46" s="186">
        <v>42849</v>
      </c>
    </row>
    <row r="47" spans="1:16" ht="15.75" x14ac:dyDescent="0.25">
      <c r="A47"/>
      <c r="B47" s="149">
        <v>42835</v>
      </c>
      <c r="C47" s="140">
        <v>0</v>
      </c>
      <c r="D47"/>
      <c r="E47"/>
      <c r="F47"/>
      <c r="G47"/>
      <c r="J47" s="151">
        <v>2728.41</v>
      </c>
      <c r="K47" s="126" t="s">
        <v>317</v>
      </c>
      <c r="L47" s="130">
        <v>3473.27</v>
      </c>
      <c r="M47" s="227" t="s">
        <v>125</v>
      </c>
      <c r="N47" s="184" t="s">
        <v>113</v>
      </c>
      <c r="O47" s="188">
        <v>41566</v>
      </c>
      <c r="P47" s="186">
        <v>42849</v>
      </c>
    </row>
    <row r="48" spans="1:16" ht="15.75" x14ac:dyDescent="0.25">
      <c r="A48"/>
      <c r="B48" s="149">
        <v>42836</v>
      </c>
      <c r="C48" s="140">
        <v>1314</v>
      </c>
      <c r="D48" t="s">
        <v>365</v>
      </c>
      <c r="E48"/>
      <c r="F48"/>
      <c r="G48"/>
      <c r="J48" s="151"/>
      <c r="K48" s="126"/>
      <c r="L48" s="130">
        <v>0</v>
      </c>
      <c r="M48" s="187"/>
      <c r="N48" s="184" t="s">
        <v>113</v>
      </c>
      <c r="O48" s="188">
        <v>28983</v>
      </c>
      <c r="P48" s="186">
        <v>42850</v>
      </c>
    </row>
    <row r="49" spans="1:16" ht="15.75" x14ac:dyDescent="0.25">
      <c r="A49"/>
      <c r="B49" s="149">
        <v>42837</v>
      </c>
      <c r="C49" s="140">
        <v>0</v>
      </c>
      <c r="D49"/>
      <c r="E49"/>
      <c r="F49"/>
      <c r="G49"/>
      <c r="J49" s="151"/>
      <c r="K49" s="187"/>
      <c r="L49" s="187">
        <v>0</v>
      </c>
      <c r="M49" s="187"/>
      <c r="N49" s="184" t="s">
        <v>113</v>
      </c>
      <c r="O49" s="188"/>
      <c r="P49" s="186"/>
    </row>
    <row r="50" spans="1:16" ht="15.75" x14ac:dyDescent="0.25">
      <c r="A50"/>
      <c r="B50" s="149">
        <v>42838</v>
      </c>
      <c r="C50" s="140">
        <v>0</v>
      </c>
      <c r="D50"/>
      <c r="E50"/>
      <c r="F50"/>
      <c r="G50"/>
      <c r="J50" s="151"/>
      <c r="K50" s="187"/>
      <c r="L50" s="187">
        <v>0</v>
      </c>
      <c r="M50" s="187"/>
      <c r="N50" s="184" t="s">
        <v>113</v>
      </c>
      <c r="O50" s="188"/>
      <c r="P50" s="186"/>
    </row>
    <row r="51" spans="1:16" ht="16.5" thickBot="1" x14ac:dyDescent="0.3">
      <c r="A51"/>
      <c r="B51" s="149">
        <v>42839</v>
      </c>
      <c r="C51" s="140">
        <v>0</v>
      </c>
      <c r="D51"/>
      <c r="E51"/>
      <c r="F51"/>
      <c r="G51"/>
      <c r="J51" s="177">
        <f>SUM(J32:J50)</f>
        <v>615670.38000000012</v>
      </c>
      <c r="K51" s="207"/>
      <c r="L51" s="207">
        <v>0</v>
      </c>
      <c r="M51" s="207"/>
      <c r="N51" s="184" t="s">
        <v>113</v>
      </c>
      <c r="O51" s="221">
        <v>0</v>
      </c>
      <c r="P51" s="222"/>
    </row>
    <row r="52" spans="1:16" ht="17.25" thickTop="1" thickBot="1" x14ac:dyDescent="0.3">
      <c r="B52" s="149">
        <v>42840</v>
      </c>
      <c r="C52" s="140">
        <v>0</v>
      </c>
      <c r="D52"/>
      <c r="E52"/>
      <c r="K52" s="177"/>
      <c r="L52" s="177">
        <f>SUM(L32:L51)</f>
        <v>615670.5</v>
      </c>
      <c r="M52" s="178"/>
      <c r="N52" s="179"/>
      <c r="O52" s="204">
        <f>SUM(O32:O51)</f>
        <v>615670.5</v>
      </c>
      <c r="P52" s="181"/>
    </row>
    <row r="53" spans="1:16" x14ac:dyDescent="0.25">
      <c r="B53" s="149">
        <v>42841</v>
      </c>
      <c r="C53" s="140">
        <v>0</v>
      </c>
      <c r="D53"/>
      <c r="E53"/>
    </row>
    <row r="54" spans="1:16" x14ac:dyDescent="0.25">
      <c r="B54" s="149">
        <v>42842</v>
      </c>
      <c r="C54" s="140">
        <v>870</v>
      </c>
      <c r="D54" t="s">
        <v>97</v>
      </c>
      <c r="E54"/>
    </row>
    <row r="55" spans="1:16" x14ac:dyDescent="0.25">
      <c r="B55" s="149">
        <v>42843</v>
      </c>
      <c r="C55" s="140">
        <v>461.44</v>
      </c>
      <c r="D55" t="s">
        <v>104</v>
      </c>
      <c r="E55"/>
    </row>
    <row r="56" spans="1:16" x14ac:dyDescent="0.25">
      <c r="B56" s="149">
        <v>42844</v>
      </c>
      <c r="C56" s="140">
        <v>0</v>
      </c>
      <c r="D56"/>
      <c r="E56"/>
    </row>
    <row r="57" spans="1:16" x14ac:dyDescent="0.25">
      <c r="B57" s="149">
        <v>42845</v>
      </c>
      <c r="C57" s="140">
        <v>980</v>
      </c>
      <c r="D57" t="s">
        <v>97</v>
      </c>
      <c r="E57"/>
    </row>
    <row r="58" spans="1:16" x14ac:dyDescent="0.25">
      <c r="B58" s="149">
        <v>42846</v>
      </c>
      <c r="C58" s="140">
        <v>1040</v>
      </c>
      <c r="D58" t="s">
        <v>167</v>
      </c>
      <c r="E58"/>
    </row>
    <row r="59" spans="1:16" x14ac:dyDescent="0.25">
      <c r="B59" s="149">
        <v>42847</v>
      </c>
      <c r="C59" s="140">
        <v>0</v>
      </c>
      <c r="D59"/>
      <c r="E59"/>
    </row>
    <row r="60" spans="1:16" x14ac:dyDescent="0.25">
      <c r="B60" s="149">
        <v>42848</v>
      </c>
      <c r="C60" s="164">
        <v>0</v>
      </c>
      <c r="D60"/>
      <c r="E60"/>
    </row>
    <row r="61" spans="1:16" x14ac:dyDescent="0.25">
      <c r="B61" s="149">
        <v>42849</v>
      </c>
      <c r="C61" s="140">
        <v>779</v>
      </c>
      <c r="D61" s="22" t="s">
        <v>97</v>
      </c>
    </row>
    <row r="62" spans="1:16" x14ac:dyDescent="0.25">
      <c r="B62" s="149">
        <v>42850</v>
      </c>
      <c r="C62" s="140">
        <v>362.6</v>
      </c>
      <c r="D62" s="22" t="s">
        <v>104</v>
      </c>
    </row>
    <row r="63" spans="1:16" x14ac:dyDescent="0.25">
      <c r="B63" s="149">
        <v>42851</v>
      </c>
      <c r="C63" s="140">
        <v>780</v>
      </c>
      <c r="D63" s="22" t="s">
        <v>167</v>
      </c>
    </row>
    <row r="64" spans="1:16" x14ac:dyDescent="0.25">
      <c r="B64" s="149">
        <v>42852</v>
      </c>
      <c r="C64" s="140">
        <v>0</v>
      </c>
      <c r="D64" s="22" t="s">
        <v>64</v>
      </c>
    </row>
    <row r="65" spans="2:4" x14ac:dyDescent="0.25">
      <c r="B65" s="149">
        <v>42853</v>
      </c>
      <c r="C65" s="140">
        <v>0</v>
      </c>
    </row>
    <row r="66" spans="2:4" x14ac:dyDescent="0.25">
      <c r="B66" s="149">
        <v>42854</v>
      </c>
      <c r="C66" s="140">
        <v>1280</v>
      </c>
      <c r="D66" s="22" t="s">
        <v>97</v>
      </c>
    </row>
    <row r="67" spans="2:4" ht="18.75" x14ac:dyDescent="0.3">
      <c r="C67" s="215">
        <f>SUM(C38:C66)</f>
        <v>10366.74</v>
      </c>
    </row>
  </sheetData>
  <sortState ref="A5:C21">
    <sortCondition ref="B5:B21"/>
  </sortState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A1:S57"/>
  <sheetViews>
    <sheetView topLeftCell="A7" workbookViewId="0">
      <selection activeCell="F46" sqref="F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3" customWidth="1"/>
    <col min="4" max="4" width="9" style="5" customWidth="1"/>
    <col min="6" max="6" width="17.85546875" style="3" customWidth="1"/>
    <col min="7" max="7" width="2.85546875" customWidth="1"/>
    <col min="9" max="9" width="12.140625" style="3" customWidth="1"/>
    <col min="10" max="10" width="7.5703125" style="3" customWidth="1"/>
    <col min="11" max="11" width="13.7109375" customWidth="1"/>
    <col min="12" max="12" width="11.28515625" customWidth="1"/>
    <col min="13" max="13" width="18.140625" style="3" customWidth="1"/>
    <col min="14" max="14" width="11.42578125" style="4"/>
  </cols>
  <sheetData>
    <row r="1" spans="1:19" ht="23.25" x14ac:dyDescent="0.35">
      <c r="C1" s="340" t="s">
        <v>351</v>
      </c>
      <c r="D1" s="340"/>
      <c r="E1" s="340"/>
      <c r="F1" s="340"/>
      <c r="G1" s="340"/>
      <c r="H1" s="340"/>
      <c r="I1" s="340"/>
      <c r="J1" s="340"/>
      <c r="K1" s="340"/>
      <c r="L1" s="2" t="s">
        <v>1</v>
      </c>
    </row>
    <row r="2" spans="1:19" ht="15.75" thickBot="1" x14ac:dyDescent="0.3">
      <c r="C2" s="151"/>
      <c r="E2" s="6"/>
      <c r="F2" s="7"/>
    </row>
    <row r="3" spans="1:19" ht="15.75" thickBot="1" x14ac:dyDescent="0.3">
      <c r="C3" s="8" t="s">
        <v>2</v>
      </c>
      <c r="D3" s="9"/>
    </row>
    <row r="4" spans="1:19" ht="20.25" thickTop="1" thickBot="1" x14ac:dyDescent="0.35">
      <c r="A4" s="10" t="s">
        <v>3</v>
      </c>
      <c r="B4" s="11"/>
      <c r="C4" s="12">
        <v>190939.59</v>
      </c>
      <c r="D4" s="13"/>
      <c r="E4" s="341" t="s">
        <v>4</v>
      </c>
      <c r="F4" s="342"/>
      <c r="I4" s="343" t="s">
        <v>5</v>
      </c>
      <c r="J4" s="344"/>
      <c r="K4" s="344"/>
      <c r="L4" s="344"/>
      <c r="M4" s="14" t="s">
        <v>6</v>
      </c>
      <c r="N4" s="15" t="s">
        <v>7</v>
      </c>
    </row>
    <row r="5" spans="1:19" ht="16.5" thickTop="1" thickBot="1" x14ac:dyDescent="0.3">
      <c r="A5" s="16"/>
      <c r="B5" s="17">
        <v>42856</v>
      </c>
      <c r="C5" s="30">
        <v>30367.51</v>
      </c>
      <c r="D5" s="238" t="s">
        <v>366</v>
      </c>
      <c r="E5" s="20">
        <v>42856</v>
      </c>
      <c r="F5" s="32">
        <v>30867.51</v>
      </c>
      <c r="G5" s="22"/>
      <c r="H5" s="23">
        <v>42856</v>
      </c>
      <c r="I5" s="194">
        <v>100</v>
      </c>
      <c r="J5" s="195"/>
      <c r="K5" s="26"/>
      <c r="L5" s="27"/>
      <c r="M5" s="196">
        <v>0</v>
      </c>
      <c r="N5" s="29">
        <v>100</v>
      </c>
      <c r="O5" s="22"/>
      <c r="P5" s="22"/>
      <c r="Q5" s="22"/>
      <c r="R5" t="s">
        <v>8</v>
      </c>
      <c r="S5">
        <v>1600</v>
      </c>
    </row>
    <row r="6" spans="1:19" ht="15.75" thickBot="1" x14ac:dyDescent="0.3">
      <c r="A6" s="16"/>
      <c r="B6" s="17">
        <v>42857</v>
      </c>
      <c r="C6" s="30">
        <v>47728.28</v>
      </c>
      <c r="D6" s="239" t="s">
        <v>368</v>
      </c>
      <c r="E6" s="20">
        <v>42857</v>
      </c>
      <c r="F6" s="32">
        <v>37243.160000000003</v>
      </c>
      <c r="G6" s="33"/>
      <c r="H6" s="23">
        <v>42857</v>
      </c>
      <c r="I6" s="35">
        <v>620</v>
      </c>
      <c r="J6" s="36"/>
      <c r="K6" s="37" t="s">
        <v>9</v>
      </c>
      <c r="L6" s="38">
        <v>549</v>
      </c>
      <c r="M6" s="39">
        <v>0</v>
      </c>
      <c r="N6" s="35">
        <v>100</v>
      </c>
      <c r="O6" s="22"/>
      <c r="P6" s="22"/>
      <c r="Q6" s="22"/>
    </row>
    <row r="7" spans="1:19" ht="15.75" thickBot="1" x14ac:dyDescent="0.3">
      <c r="A7" s="16"/>
      <c r="B7" s="17">
        <v>42858</v>
      </c>
      <c r="C7" s="30">
        <v>50717.45</v>
      </c>
      <c r="D7" s="238" t="s">
        <v>368</v>
      </c>
      <c r="E7" s="20">
        <v>42858</v>
      </c>
      <c r="F7" s="32">
        <v>51492.02</v>
      </c>
      <c r="G7" s="22"/>
      <c r="H7" s="23">
        <v>42858</v>
      </c>
      <c r="I7" s="35">
        <v>774.57</v>
      </c>
      <c r="J7" s="36"/>
      <c r="K7" s="40" t="s">
        <v>432</v>
      </c>
      <c r="L7" s="38">
        <v>19814</v>
      </c>
      <c r="M7" s="39">
        <v>0</v>
      </c>
      <c r="N7" s="35">
        <v>100</v>
      </c>
      <c r="O7" s="22"/>
      <c r="P7" s="22"/>
      <c r="Q7" s="22"/>
      <c r="R7" t="s">
        <v>12</v>
      </c>
      <c r="S7">
        <f>2500+250</f>
        <v>2750</v>
      </c>
    </row>
    <row r="8" spans="1:19" ht="15.75" thickBot="1" x14ac:dyDescent="0.3">
      <c r="A8" s="16"/>
      <c r="B8" s="17">
        <v>42859</v>
      </c>
      <c r="C8" s="30">
        <v>31494</v>
      </c>
      <c r="D8" s="238" t="s">
        <v>373</v>
      </c>
      <c r="E8" s="20">
        <v>42859</v>
      </c>
      <c r="F8" s="32">
        <v>31593.87</v>
      </c>
      <c r="G8" s="22"/>
      <c r="H8" s="23">
        <v>42859</v>
      </c>
      <c r="I8" s="35">
        <v>100</v>
      </c>
      <c r="J8" s="36"/>
      <c r="K8" s="37" t="s">
        <v>14</v>
      </c>
      <c r="L8" s="38">
        <v>28750</v>
      </c>
      <c r="M8" s="39">
        <v>0</v>
      </c>
      <c r="N8" s="35">
        <v>100</v>
      </c>
      <c r="O8" s="22"/>
      <c r="P8" s="22"/>
      <c r="Q8" s="22"/>
    </row>
    <row r="9" spans="1:19" ht="15.75" thickBot="1" x14ac:dyDescent="0.3">
      <c r="A9" s="16"/>
      <c r="B9" s="17">
        <v>42860</v>
      </c>
      <c r="C9" s="30">
        <v>50676.93</v>
      </c>
      <c r="D9" s="238" t="s">
        <v>375</v>
      </c>
      <c r="E9" s="20">
        <v>42860</v>
      </c>
      <c r="F9" s="32">
        <v>50176.05</v>
      </c>
      <c r="G9" s="22"/>
      <c r="H9" s="23">
        <v>42860</v>
      </c>
      <c r="I9" s="35">
        <v>100</v>
      </c>
      <c r="J9" s="42" t="s">
        <v>384</v>
      </c>
      <c r="K9" s="37" t="s">
        <v>347</v>
      </c>
      <c r="L9" s="32">
        <v>11892</v>
      </c>
      <c r="M9" s="39">
        <v>0</v>
      </c>
      <c r="N9" s="35">
        <v>100</v>
      </c>
      <c r="O9" s="44"/>
      <c r="P9" s="22"/>
      <c r="Q9" s="22"/>
    </row>
    <row r="10" spans="1:19" ht="15.75" thickBot="1" x14ac:dyDescent="0.3">
      <c r="A10" s="16"/>
      <c r="B10" s="17">
        <v>42861</v>
      </c>
      <c r="C10" s="30">
        <v>66073.66</v>
      </c>
      <c r="D10" s="239" t="s">
        <v>376</v>
      </c>
      <c r="E10" s="20">
        <v>42861</v>
      </c>
      <c r="F10" s="32">
        <v>66329.66</v>
      </c>
      <c r="G10" s="22"/>
      <c r="H10" s="23">
        <v>42861</v>
      </c>
      <c r="I10" s="35">
        <v>256</v>
      </c>
      <c r="J10" s="42" t="s">
        <v>385</v>
      </c>
      <c r="K10" s="37" t="s">
        <v>348</v>
      </c>
      <c r="L10" s="32">
        <v>11207</v>
      </c>
      <c r="M10" s="39">
        <v>0</v>
      </c>
      <c r="N10" s="35">
        <v>100</v>
      </c>
      <c r="O10" s="22"/>
      <c r="P10" s="22"/>
      <c r="Q10" s="22"/>
    </row>
    <row r="11" spans="1:19" ht="15.75" thickBot="1" x14ac:dyDescent="0.3">
      <c r="A11" s="16"/>
      <c r="B11" s="17">
        <v>42862</v>
      </c>
      <c r="C11" s="30">
        <v>44077</v>
      </c>
      <c r="D11" s="240" t="s">
        <v>378</v>
      </c>
      <c r="E11" s="20">
        <v>42862</v>
      </c>
      <c r="F11" s="32">
        <v>45001.36</v>
      </c>
      <c r="G11" s="22"/>
      <c r="H11" s="23">
        <v>42862</v>
      </c>
      <c r="I11" s="35">
        <v>400</v>
      </c>
      <c r="J11" s="42" t="s">
        <v>407</v>
      </c>
      <c r="K11" s="37" t="s">
        <v>349</v>
      </c>
      <c r="L11" s="301">
        <v>11207</v>
      </c>
      <c r="M11" s="39">
        <v>0</v>
      </c>
      <c r="N11" s="35">
        <v>100</v>
      </c>
      <c r="O11" s="36"/>
      <c r="P11" s="22"/>
      <c r="Q11" s="22"/>
    </row>
    <row r="12" spans="1:19" ht="15.75" thickBot="1" x14ac:dyDescent="0.3">
      <c r="A12" s="16"/>
      <c r="B12" s="17">
        <v>42863</v>
      </c>
      <c r="C12" s="30">
        <v>33206.1</v>
      </c>
      <c r="D12" s="238" t="s">
        <v>379</v>
      </c>
      <c r="E12" s="20">
        <v>42863</v>
      </c>
      <c r="F12" s="32">
        <v>33306.1</v>
      </c>
      <c r="G12" s="22"/>
      <c r="H12" s="23">
        <v>42863</v>
      </c>
      <c r="I12" s="35">
        <v>100</v>
      </c>
      <c r="J12" s="42" t="s">
        <v>466</v>
      </c>
      <c r="K12" s="37" t="s">
        <v>350</v>
      </c>
      <c r="L12" s="301">
        <v>11207</v>
      </c>
      <c r="M12" s="39">
        <v>0</v>
      </c>
      <c r="N12" s="35">
        <v>100</v>
      </c>
      <c r="O12" s="44"/>
      <c r="P12" s="47"/>
      <c r="Q12" s="22"/>
    </row>
    <row r="13" spans="1:19" ht="15.75" thickBot="1" x14ac:dyDescent="0.3">
      <c r="A13" s="16"/>
      <c r="B13" s="17">
        <v>42864</v>
      </c>
      <c r="C13" s="30">
        <v>38390.57</v>
      </c>
      <c r="D13" s="240" t="s">
        <v>380</v>
      </c>
      <c r="E13" s="20">
        <v>42864</v>
      </c>
      <c r="F13" s="32">
        <v>39095.57</v>
      </c>
      <c r="G13" s="22"/>
      <c r="H13" s="23">
        <v>42864</v>
      </c>
      <c r="I13" s="35">
        <v>156</v>
      </c>
      <c r="J13" s="42"/>
      <c r="K13" s="37" t="s">
        <v>27</v>
      </c>
      <c r="L13" s="32">
        <v>0</v>
      </c>
      <c r="M13" s="39">
        <v>0</v>
      </c>
      <c r="N13" s="35">
        <v>100</v>
      </c>
      <c r="O13" s="22"/>
      <c r="P13" s="22"/>
      <c r="Q13" s="22"/>
    </row>
    <row r="14" spans="1:19" ht="15.75" thickBot="1" x14ac:dyDescent="0.3">
      <c r="A14" s="16"/>
      <c r="B14" s="17">
        <v>42865</v>
      </c>
      <c r="C14" s="30">
        <v>53672.2</v>
      </c>
      <c r="D14" s="238" t="s">
        <v>381</v>
      </c>
      <c r="E14" s="20">
        <v>42865</v>
      </c>
      <c r="F14" s="32">
        <v>54642.2</v>
      </c>
      <c r="G14" s="22"/>
      <c r="H14" s="23">
        <v>42865</v>
      </c>
      <c r="I14" s="35">
        <v>100</v>
      </c>
      <c r="J14" s="42" t="s">
        <v>374</v>
      </c>
      <c r="K14" s="48" t="s">
        <v>29</v>
      </c>
      <c r="L14" s="32">
        <f>2642.86+1295.77</f>
        <v>3938.63</v>
      </c>
      <c r="M14" s="39">
        <v>0</v>
      </c>
      <c r="N14" s="35">
        <v>100</v>
      </c>
      <c r="O14" s="22"/>
      <c r="P14" s="22"/>
      <c r="Q14" s="22"/>
    </row>
    <row r="15" spans="1:19" ht="15.75" thickBot="1" x14ac:dyDescent="0.3">
      <c r="A15" s="16"/>
      <c r="B15" s="17">
        <v>42866</v>
      </c>
      <c r="C15" s="30">
        <v>32257.5</v>
      </c>
      <c r="D15" s="238" t="s">
        <v>382</v>
      </c>
      <c r="E15" s="20">
        <v>42866</v>
      </c>
      <c r="F15" s="32">
        <v>32257.5</v>
      </c>
      <c r="G15" s="22"/>
      <c r="H15" s="23">
        <v>42866</v>
      </c>
      <c r="I15" s="35">
        <v>0</v>
      </c>
      <c r="J15" s="265">
        <v>42860</v>
      </c>
      <c r="K15" s="49" t="s">
        <v>394</v>
      </c>
      <c r="L15" s="32">
        <v>0</v>
      </c>
      <c r="M15" s="39">
        <v>0</v>
      </c>
      <c r="N15" s="35">
        <v>0</v>
      </c>
      <c r="O15" s="22"/>
      <c r="P15" s="22"/>
      <c r="Q15" s="22"/>
    </row>
    <row r="16" spans="1:19" ht="15.75" thickBot="1" x14ac:dyDescent="0.3">
      <c r="A16" s="16"/>
      <c r="B16" s="17">
        <v>42867</v>
      </c>
      <c r="C16" s="30">
        <v>84821.81</v>
      </c>
      <c r="D16" s="238" t="s">
        <v>393</v>
      </c>
      <c r="E16" s="20">
        <v>42867</v>
      </c>
      <c r="F16" s="32">
        <v>86852.851999999999</v>
      </c>
      <c r="G16" s="22"/>
      <c r="H16" s="23">
        <v>42867</v>
      </c>
      <c r="I16" s="35">
        <v>735.24</v>
      </c>
      <c r="J16" s="42"/>
      <c r="K16" s="49" t="s">
        <v>31</v>
      </c>
      <c r="L16" s="51">
        <v>0</v>
      </c>
      <c r="M16" s="39">
        <v>0</v>
      </c>
      <c r="N16" s="35">
        <v>100</v>
      </c>
      <c r="O16" s="22"/>
      <c r="P16" s="22"/>
      <c r="Q16" s="22"/>
    </row>
    <row r="17" spans="1:18" ht="15.75" thickBot="1" x14ac:dyDescent="0.3">
      <c r="A17" s="16"/>
      <c r="B17" s="17">
        <v>42868</v>
      </c>
      <c r="C17" s="30">
        <v>43545</v>
      </c>
      <c r="D17" s="238" t="s">
        <v>397</v>
      </c>
      <c r="E17" s="20">
        <v>42868</v>
      </c>
      <c r="F17" s="32">
        <v>52475.17</v>
      </c>
      <c r="G17" s="22"/>
      <c r="H17" s="23">
        <v>42868</v>
      </c>
      <c r="I17" s="35">
        <v>400</v>
      </c>
      <c r="J17" s="42"/>
      <c r="K17" s="52"/>
      <c r="L17" s="32">
        <v>0</v>
      </c>
      <c r="M17" s="39">
        <v>0</v>
      </c>
      <c r="N17" s="35">
        <v>100</v>
      </c>
      <c r="O17" s="44"/>
      <c r="P17" s="22"/>
      <c r="Q17" s="22"/>
    </row>
    <row r="18" spans="1:18" ht="15.75" thickBot="1" x14ac:dyDescent="0.3">
      <c r="A18" s="16"/>
      <c r="B18" s="17">
        <v>42869</v>
      </c>
      <c r="C18" s="30">
        <v>29042.36</v>
      </c>
      <c r="D18" s="238" t="s">
        <v>398</v>
      </c>
      <c r="E18" s="20">
        <v>42869</v>
      </c>
      <c r="F18" s="32">
        <v>29042.36</v>
      </c>
      <c r="G18" s="22"/>
      <c r="H18" s="23">
        <v>42869</v>
      </c>
      <c r="I18" s="35">
        <v>0</v>
      </c>
      <c r="J18" s="42"/>
      <c r="K18" s="53" t="s">
        <v>35</v>
      </c>
      <c r="L18" s="32">
        <v>400</v>
      </c>
      <c r="M18" s="39">
        <v>0</v>
      </c>
      <c r="N18" s="35">
        <v>0</v>
      </c>
      <c r="O18" s="44"/>
      <c r="P18" s="22"/>
      <c r="Q18" s="22"/>
    </row>
    <row r="19" spans="1:18" ht="15.75" thickBot="1" x14ac:dyDescent="0.3">
      <c r="A19" s="16"/>
      <c r="B19" s="17">
        <v>42870</v>
      </c>
      <c r="C19" s="30">
        <v>41282.26</v>
      </c>
      <c r="D19" s="238" t="s">
        <v>399</v>
      </c>
      <c r="E19" s="20">
        <v>42870</v>
      </c>
      <c r="F19" s="32">
        <v>34507.47</v>
      </c>
      <c r="G19" s="22"/>
      <c r="H19" s="23">
        <v>42870</v>
      </c>
      <c r="I19" s="35">
        <v>100</v>
      </c>
      <c r="J19" s="42"/>
      <c r="K19" s="53">
        <v>42856</v>
      </c>
      <c r="L19" s="54">
        <v>0</v>
      </c>
      <c r="M19" s="39">
        <v>0</v>
      </c>
      <c r="N19" s="35">
        <v>100</v>
      </c>
      <c r="O19" s="22"/>
      <c r="P19" s="22"/>
      <c r="Q19" s="22"/>
    </row>
    <row r="20" spans="1:18" ht="15.75" thickBot="1" x14ac:dyDescent="0.3">
      <c r="A20" s="16"/>
      <c r="B20" s="17">
        <v>42871</v>
      </c>
      <c r="C20" s="30">
        <v>24154.28</v>
      </c>
      <c r="D20" s="239" t="s">
        <v>400</v>
      </c>
      <c r="E20" s="20">
        <v>42871</v>
      </c>
      <c r="F20" s="32">
        <v>21437.64</v>
      </c>
      <c r="G20" s="22"/>
      <c r="H20" s="23">
        <v>42871</v>
      </c>
      <c r="I20" s="55">
        <v>100</v>
      </c>
      <c r="J20" s="42"/>
      <c r="K20" s="56" t="s">
        <v>38</v>
      </c>
      <c r="L20" s="51">
        <v>0</v>
      </c>
      <c r="M20" s="39">
        <v>0</v>
      </c>
      <c r="N20" s="35">
        <v>100</v>
      </c>
      <c r="O20" s="22"/>
      <c r="P20" s="22"/>
      <c r="Q20" s="22"/>
    </row>
    <row r="21" spans="1:18" ht="15.75" thickBot="1" x14ac:dyDescent="0.3">
      <c r="A21" s="16"/>
      <c r="B21" s="17">
        <v>42872</v>
      </c>
      <c r="C21" s="30">
        <v>24154.28</v>
      </c>
      <c r="D21" s="238" t="s">
        <v>401</v>
      </c>
      <c r="E21" s="20">
        <v>42872</v>
      </c>
      <c r="F21" s="32">
        <v>24254.28</v>
      </c>
      <c r="G21" s="22"/>
      <c r="H21" s="23">
        <v>42872</v>
      </c>
      <c r="I21" s="55">
        <v>100</v>
      </c>
      <c r="J21" s="42"/>
      <c r="K21" s="57" t="s">
        <v>402</v>
      </c>
      <c r="L21" s="51">
        <v>500</v>
      </c>
      <c r="M21" s="39">
        <v>0</v>
      </c>
      <c r="N21" s="35">
        <v>100</v>
      </c>
      <c r="O21" s="44"/>
      <c r="P21" s="44"/>
      <c r="Q21" s="44"/>
      <c r="R21" s="44"/>
    </row>
    <row r="22" spans="1:18" ht="15.75" thickBot="1" x14ac:dyDescent="0.3">
      <c r="A22" s="16"/>
      <c r="B22" s="17">
        <v>42873</v>
      </c>
      <c r="C22" s="30">
        <v>25367</v>
      </c>
      <c r="D22" s="238" t="s">
        <v>403</v>
      </c>
      <c r="E22" s="20">
        <v>42873</v>
      </c>
      <c r="F22" s="32">
        <v>26050.9</v>
      </c>
      <c r="G22" s="22"/>
      <c r="H22" s="23">
        <v>42873</v>
      </c>
      <c r="I22" s="55">
        <v>184</v>
      </c>
      <c r="J22" s="58"/>
      <c r="K22" s="266" t="s">
        <v>42</v>
      </c>
      <c r="L22" s="51">
        <v>870</v>
      </c>
      <c r="M22" s="39">
        <v>0</v>
      </c>
      <c r="N22" s="35">
        <v>100</v>
      </c>
      <c r="O22" s="22"/>
      <c r="P22" s="22"/>
      <c r="Q22" s="22"/>
    </row>
    <row r="23" spans="1:18" ht="15.75" thickBot="1" x14ac:dyDescent="0.3">
      <c r="A23" s="16"/>
      <c r="B23" s="17">
        <v>42874</v>
      </c>
      <c r="C23" s="30">
        <v>64335.92</v>
      </c>
      <c r="D23" s="241" t="s">
        <v>404</v>
      </c>
      <c r="E23" s="20">
        <v>42874</v>
      </c>
      <c r="F23" s="32">
        <v>64805.919999999998</v>
      </c>
      <c r="G23" s="22"/>
      <c r="H23" s="23">
        <v>42874</v>
      </c>
      <c r="I23" s="55">
        <v>470</v>
      </c>
      <c r="J23" s="36"/>
      <c r="K23" s="61">
        <v>42865</v>
      </c>
      <c r="L23" s="51">
        <v>0</v>
      </c>
      <c r="M23" s="39">
        <v>0</v>
      </c>
      <c r="N23" s="35">
        <v>100</v>
      </c>
      <c r="P23" s="22"/>
      <c r="Q23" s="22"/>
    </row>
    <row r="24" spans="1:18" ht="15.75" thickBot="1" x14ac:dyDescent="0.3">
      <c r="A24" s="16"/>
      <c r="B24" s="17">
        <v>42875</v>
      </c>
      <c r="C24" s="30">
        <v>64062.98</v>
      </c>
      <c r="D24" s="238" t="s">
        <v>405</v>
      </c>
      <c r="E24" s="20">
        <v>42875</v>
      </c>
      <c r="F24" s="32">
        <v>64162.98</v>
      </c>
      <c r="G24" s="22"/>
      <c r="H24" s="23">
        <v>42875</v>
      </c>
      <c r="I24" s="55">
        <v>100</v>
      </c>
      <c r="J24" s="42"/>
      <c r="K24" s="214"/>
      <c r="L24" s="197">
        <v>0</v>
      </c>
      <c r="M24" s="39">
        <v>0</v>
      </c>
      <c r="N24" s="35">
        <v>100</v>
      </c>
      <c r="P24" s="22"/>
      <c r="Q24" s="22"/>
    </row>
    <row r="25" spans="1:18" ht="15.75" thickBot="1" x14ac:dyDescent="0.3">
      <c r="A25" s="16"/>
      <c r="B25" s="17">
        <v>42876</v>
      </c>
      <c r="C25" s="30">
        <v>32720.799999999999</v>
      </c>
      <c r="D25" s="241" t="s">
        <v>408</v>
      </c>
      <c r="E25" s="20">
        <v>42876</v>
      </c>
      <c r="F25" s="32">
        <v>38470.800000000003</v>
      </c>
      <c r="G25" s="22"/>
      <c r="H25" s="23">
        <v>42876</v>
      </c>
      <c r="I25" s="55">
        <v>400</v>
      </c>
      <c r="J25" s="36"/>
      <c r="K25" s="198"/>
      <c r="L25" s="197">
        <v>0</v>
      </c>
      <c r="M25" s="39">
        <v>0</v>
      </c>
      <c r="N25" s="35">
        <v>100</v>
      </c>
      <c r="O25" s="22"/>
      <c r="P25" s="22"/>
      <c r="Q25" s="22"/>
    </row>
    <row r="26" spans="1:18" ht="15.75" thickBot="1" x14ac:dyDescent="0.3">
      <c r="A26" s="16"/>
      <c r="B26" s="17">
        <v>42877</v>
      </c>
      <c r="C26" s="30">
        <v>27605.69</v>
      </c>
      <c r="D26" s="238" t="s">
        <v>409</v>
      </c>
      <c r="E26" s="20">
        <v>42877</v>
      </c>
      <c r="F26" s="32">
        <v>27705.69</v>
      </c>
      <c r="G26" s="22"/>
      <c r="H26" s="23">
        <v>42877</v>
      </c>
      <c r="I26" s="55">
        <v>100</v>
      </c>
      <c r="J26" s="63"/>
      <c r="K26" s="61"/>
      <c r="L26" s="51">
        <v>0</v>
      </c>
      <c r="M26" s="39">
        <v>0</v>
      </c>
      <c r="N26" s="35">
        <v>100</v>
      </c>
      <c r="O26" s="44"/>
      <c r="P26" s="47"/>
      <c r="Q26" s="22"/>
    </row>
    <row r="27" spans="1:18" ht="15.75" thickBot="1" x14ac:dyDescent="0.3">
      <c r="A27" s="16"/>
      <c r="B27" s="17">
        <v>42878</v>
      </c>
      <c r="C27" s="30">
        <v>29291.82</v>
      </c>
      <c r="D27" s="238" t="s">
        <v>429</v>
      </c>
      <c r="E27" s="20">
        <v>42878</v>
      </c>
      <c r="F27" s="32">
        <v>29391.82</v>
      </c>
      <c r="G27" s="22"/>
      <c r="H27" s="23">
        <v>42878</v>
      </c>
      <c r="I27" s="55">
        <v>100</v>
      </c>
      <c r="J27" s="36"/>
      <c r="K27" s="64" t="s">
        <v>395</v>
      </c>
      <c r="L27" s="51">
        <v>3500</v>
      </c>
      <c r="M27" s="39">
        <v>0</v>
      </c>
      <c r="N27" s="35">
        <v>100</v>
      </c>
      <c r="O27" s="22"/>
      <c r="P27" s="22"/>
      <c r="Q27" s="22"/>
    </row>
    <row r="28" spans="1:18" ht="15.75" thickBot="1" x14ac:dyDescent="0.3">
      <c r="A28" s="16"/>
      <c r="B28" s="17">
        <v>42879</v>
      </c>
      <c r="C28" s="30">
        <v>29451.99</v>
      </c>
      <c r="D28" s="238" t="s">
        <v>430</v>
      </c>
      <c r="E28" s="20">
        <v>42879</v>
      </c>
      <c r="F28" s="32">
        <v>29551.99</v>
      </c>
      <c r="G28" s="22"/>
      <c r="H28" s="23">
        <v>42879</v>
      </c>
      <c r="I28" s="55">
        <v>100</v>
      </c>
      <c r="J28" s="36"/>
      <c r="K28" s="64" t="s">
        <v>396</v>
      </c>
      <c r="L28" s="51">
        <v>3500</v>
      </c>
      <c r="M28" s="39">
        <v>0</v>
      </c>
      <c r="N28" s="35">
        <v>100</v>
      </c>
      <c r="O28" s="22"/>
      <c r="P28" s="22"/>
      <c r="Q28" s="22"/>
    </row>
    <row r="29" spans="1:18" ht="15.75" thickBot="1" x14ac:dyDescent="0.3">
      <c r="A29" s="16"/>
      <c r="B29" s="17">
        <v>42880</v>
      </c>
      <c r="C29" s="30">
        <v>41103.269999999997</v>
      </c>
      <c r="D29" s="238" t="s">
        <v>431</v>
      </c>
      <c r="E29" s="20">
        <v>42880</v>
      </c>
      <c r="F29" s="32">
        <v>41103.269999999997</v>
      </c>
      <c r="G29" s="22"/>
      <c r="H29" s="23">
        <v>42880</v>
      </c>
      <c r="I29" s="55">
        <v>0</v>
      </c>
      <c r="J29" s="36"/>
      <c r="K29" s="64" t="s">
        <v>406</v>
      </c>
      <c r="L29" s="51">
        <v>3500</v>
      </c>
      <c r="M29" s="39">
        <v>0</v>
      </c>
      <c r="N29" s="35">
        <v>0</v>
      </c>
      <c r="O29" s="22"/>
      <c r="P29" s="22"/>
      <c r="Q29" s="22"/>
    </row>
    <row r="30" spans="1:18" ht="15.75" thickBot="1" x14ac:dyDescent="0.3">
      <c r="A30" s="16"/>
      <c r="B30" s="17">
        <v>42881</v>
      </c>
      <c r="C30" s="30">
        <v>35869.620000000003</v>
      </c>
      <c r="D30" s="238" t="s">
        <v>433</v>
      </c>
      <c r="E30" s="20">
        <v>42881</v>
      </c>
      <c r="F30" s="32">
        <v>56695.9</v>
      </c>
      <c r="G30" s="22"/>
      <c r="H30" s="23">
        <v>42881</v>
      </c>
      <c r="I30" s="55">
        <v>1012.28</v>
      </c>
      <c r="J30" s="63"/>
      <c r="K30" s="64" t="s">
        <v>435</v>
      </c>
      <c r="L30" s="65">
        <v>3500</v>
      </c>
      <c r="M30" s="39">
        <v>0</v>
      </c>
      <c r="N30" s="35">
        <v>100</v>
      </c>
      <c r="O30" s="22"/>
      <c r="P30" s="22"/>
      <c r="Q30" s="22"/>
    </row>
    <row r="31" spans="1:18" ht="15.75" thickBot="1" x14ac:dyDescent="0.3">
      <c r="A31" s="16"/>
      <c r="B31" s="17">
        <v>42882</v>
      </c>
      <c r="C31" s="30">
        <v>89440.1</v>
      </c>
      <c r="D31" s="238" t="s">
        <v>434</v>
      </c>
      <c r="E31" s="20">
        <v>42882</v>
      </c>
      <c r="F31" s="32">
        <v>90132.6</v>
      </c>
      <c r="G31" s="22"/>
      <c r="H31" s="23">
        <v>42882</v>
      </c>
      <c r="I31" s="55">
        <v>692.5</v>
      </c>
      <c r="J31" s="42"/>
      <c r="K31" s="199" t="s">
        <v>436</v>
      </c>
      <c r="L31" s="67">
        <v>500</v>
      </c>
      <c r="M31" s="39">
        <v>0</v>
      </c>
      <c r="N31" s="35">
        <v>100</v>
      </c>
      <c r="O31" s="22"/>
      <c r="P31" s="22"/>
      <c r="Q31" s="22"/>
    </row>
    <row r="32" spans="1:18" ht="15.75" thickBot="1" x14ac:dyDescent="0.3">
      <c r="A32" s="16"/>
      <c r="B32" s="17">
        <v>42883</v>
      </c>
      <c r="C32" s="30">
        <v>42036.34</v>
      </c>
      <c r="D32" s="238" t="s">
        <v>433</v>
      </c>
      <c r="E32" s="20">
        <v>42883</v>
      </c>
      <c r="F32" s="32">
        <v>45836.34</v>
      </c>
      <c r="G32" s="22"/>
      <c r="H32" s="23">
        <v>42883</v>
      </c>
      <c r="I32" s="55">
        <v>300</v>
      </c>
      <c r="J32" s="36"/>
      <c r="K32" s="64"/>
      <c r="L32" s="68"/>
      <c r="M32" s="39">
        <v>0</v>
      </c>
      <c r="N32" s="35">
        <v>0</v>
      </c>
      <c r="O32" s="22"/>
      <c r="P32" s="22"/>
      <c r="Q32" s="22"/>
    </row>
    <row r="33" spans="1:17" ht="15.75" thickBot="1" x14ac:dyDescent="0.3">
      <c r="A33" s="16"/>
      <c r="B33" s="17">
        <v>42884</v>
      </c>
      <c r="C33" s="30">
        <v>23365.47</v>
      </c>
      <c r="D33" s="240" t="s">
        <v>437</v>
      </c>
      <c r="E33" s="20">
        <v>42884</v>
      </c>
      <c r="F33" s="32">
        <v>23965.47</v>
      </c>
      <c r="G33" s="22"/>
      <c r="H33" s="23">
        <v>42884</v>
      </c>
      <c r="I33" s="55">
        <v>100</v>
      </c>
      <c r="J33" s="36"/>
      <c r="K33" s="69"/>
      <c r="L33" s="345">
        <v>0</v>
      </c>
      <c r="M33" s="39">
        <v>0</v>
      </c>
      <c r="N33" s="35">
        <v>0</v>
      </c>
      <c r="O33" s="22"/>
      <c r="P33" s="22"/>
      <c r="Q33" s="22"/>
    </row>
    <row r="34" spans="1:17" ht="15.75" thickBot="1" x14ac:dyDescent="0.3">
      <c r="A34" s="16"/>
      <c r="B34" s="17">
        <v>42885</v>
      </c>
      <c r="C34" s="30">
        <v>31250.69</v>
      </c>
      <c r="D34" s="238" t="s">
        <v>438</v>
      </c>
      <c r="E34" s="20">
        <v>42885</v>
      </c>
      <c r="F34" s="32">
        <v>31406.69</v>
      </c>
      <c r="G34" s="22"/>
      <c r="H34" s="23">
        <v>42885</v>
      </c>
      <c r="I34" s="55">
        <v>156</v>
      </c>
      <c r="J34" s="36"/>
      <c r="K34" s="69"/>
      <c r="L34" s="346"/>
      <c r="M34" s="39">
        <v>0</v>
      </c>
      <c r="N34" s="35">
        <v>100</v>
      </c>
      <c r="O34" s="22"/>
    </row>
    <row r="35" spans="1:17" ht="15.75" thickBot="1" x14ac:dyDescent="0.3">
      <c r="A35" s="16"/>
      <c r="B35" s="17">
        <v>42886</v>
      </c>
      <c r="C35" s="30">
        <v>32706.74</v>
      </c>
      <c r="D35" s="279" t="s">
        <v>439</v>
      </c>
      <c r="E35" s="20">
        <v>42886</v>
      </c>
      <c r="F35" s="32">
        <v>32806.74</v>
      </c>
      <c r="G35" s="22"/>
      <c r="H35" s="23">
        <v>42886</v>
      </c>
      <c r="I35" s="55">
        <v>100</v>
      </c>
      <c r="J35" s="36"/>
      <c r="K35" s="347"/>
      <c r="L35" s="38">
        <v>0</v>
      </c>
      <c r="M35" s="39">
        <v>0</v>
      </c>
      <c r="N35" s="70">
        <v>100</v>
      </c>
    </row>
    <row r="36" spans="1:17" ht="15.75" thickBot="1" x14ac:dyDescent="0.3">
      <c r="A36" s="71"/>
      <c r="B36" s="72"/>
      <c r="C36" s="30">
        <v>0</v>
      </c>
      <c r="D36" s="45"/>
      <c r="E36" s="74"/>
      <c r="F36" s="32">
        <v>0</v>
      </c>
      <c r="G36" s="22"/>
      <c r="H36" s="75"/>
      <c r="I36" s="76">
        <v>0</v>
      </c>
      <c r="J36" s="77"/>
      <c r="K36" s="347"/>
      <c r="L36" s="41"/>
      <c r="M36" s="78">
        <v>0</v>
      </c>
      <c r="N36" s="79">
        <f>SUM(N5:N35)</f>
        <v>2600</v>
      </c>
      <c r="P36" s="80"/>
      <c r="Q36" s="80"/>
    </row>
    <row r="37" spans="1:17" ht="16.5" thickBot="1" x14ac:dyDescent="0.3">
      <c r="A37" s="81"/>
      <c r="B37" s="82"/>
      <c r="C37" s="83">
        <v>0</v>
      </c>
      <c r="D37" s="13"/>
      <c r="E37" s="84"/>
      <c r="F37" s="85">
        <v>0</v>
      </c>
      <c r="H37" s="86"/>
      <c r="I37" s="87">
        <v>0</v>
      </c>
      <c r="J37" s="77"/>
      <c r="K37" s="88"/>
      <c r="L37" s="89"/>
      <c r="M37" s="90">
        <f>SUM(M5:M36)</f>
        <v>0</v>
      </c>
    </row>
    <row r="38" spans="1:17" x14ac:dyDescent="0.25">
      <c r="B38" s="91" t="s">
        <v>60</v>
      </c>
      <c r="C38" s="92">
        <f>SUM(C5:C37)</f>
        <v>1294269.6200000001</v>
      </c>
      <c r="E38" s="258" t="s">
        <v>60</v>
      </c>
      <c r="F38" s="94">
        <f>SUM(F5:F37)</f>
        <v>1322661.882</v>
      </c>
      <c r="H38" s="6" t="s">
        <v>60</v>
      </c>
      <c r="I38" s="4">
        <f>SUM(I5:I37)</f>
        <v>7956.59</v>
      </c>
      <c r="J38" s="4"/>
      <c r="K38" s="95" t="s">
        <v>60</v>
      </c>
      <c r="L38" s="96">
        <f>SUM(L5:L37)</f>
        <v>114834.63</v>
      </c>
    </row>
    <row r="40" spans="1:17" ht="15.75" x14ac:dyDescent="0.25">
      <c r="A40" s="97"/>
      <c r="B40" s="98"/>
      <c r="C40" s="36"/>
      <c r="D40" s="99"/>
      <c r="E40" s="100"/>
      <c r="F40" s="77"/>
      <c r="H40" s="336" t="s">
        <v>61</v>
      </c>
      <c r="I40" s="337"/>
      <c r="J40" s="257"/>
      <c r="K40" s="338">
        <f>I38+L38</f>
        <v>122791.22</v>
      </c>
      <c r="L40" s="339"/>
    </row>
    <row r="41" spans="1:17" ht="15.75" x14ac:dyDescent="0.25">
      <c r="B41" s="102"/>
      <c r="C41" s="77"/>
      <c r="D41" s="323" t="s">
        <v>62</v>
      </c>
      <c r="E41" s="323"/>
      <c r="F41" s="103">
        <f>F38-K40</f>
        <v>1199870.662</v>
      </c>
      <c r="I41" s="104"/>
      <c r="J41" s="104"/>
    </row>
    <row r="42" spans="1:17" ht="15.75" x14ac:dyDescent="0.25">
      <c r="D42" s="324" t="s">
        <v>63</v>
      </c>
      <c r="E42" s="324"/>
      <c r="F42" s="103">
        <v>-1353283.84</v>
      </c>
      <c r="I42" s="104"/>
      <c r="J42" s="104" t="s">
        <v>64</v>
      </c>
    </row>
    <row r="43" spans="1:17" ht="15.75" thickBot="1" x14ac:dyDescent="0.3">
      <c r="D43" s="105"/>
      <c r="E43" s="106"/>
      <c r="F43" s="107" t="s">
        <v>64</v>
      </c>
    </row>
    <row r="44" spans="1:17" ht="15.75" thickTop="1" x14ac:dyDescent="0.25">
      <c r="C44" s="3" t="s">
        <v>64</v>
      </c>
      <c r="E44" s="97" t="s">
        <v>65</v>
      </c>
      <c r="F44" s="4">
        <f>SUM(F41:F43)</f>
        <v>-153413.17800000007</v>
      </c>
      <c r="I44" s="325" t="s">
        <v>66</v>
      </c>
      <c r="J44" s="326"/>
      <c r="K44" s="329">
        <f>F48+L46</f>
        <v>62100.375999999931</v>
      </c>
      <c r="L44" s="330"/>
    </row>
    <row r="45" spans="1:17" ht="15.75" thickBot="1" x14ac:dyDescent="0.3">
      <c r="D45" s="108" t="s">
        <v>67</v>
      </c>
      <c r="E45" s="97" t="s">
        <v>68</v>
      </c>
      <c r="F45" s="4">
        <v>9697.384</v>
      </c>
      <c r="I45" s="327"/>
      <c r="J45" s="328"/>
      <c r="K45" s="331"/>
      <c r="L45" s="332"/>
    </row>
    <row r="46" spans="1:17" ht="17.25" thickTop="1" thickBot="1" x14ac:dyDescent="0.3">
      <c r="C46" s="94"/>
      <c r="D46" s="333" t="s">
        <v>69</v>
      </c>
      <c r="E46" s="333"/>
      <c r="F46" s="109">
        <v>205816.17</v>
      </c>
      <c r="I46" s="334"/>
      <c r="J46" s="334"/>
      <c r="K46" s="335"/>
      <c r="L46" s="110"/>
    </row>
    <row r="47" spans="1:17" ht="19.5" thickBot="1" x14ac:dyDescent="0.35">
      <c r="C47" s="94"/>
      <c r="D47" s="258"/>
      <c r="E47" s="258"/>
      <c r="F47" s="111"/>
      <c r="H47" s="112"/>
      <c r="I47" s="259" t="s">
        <v>275</v>
      </c>
      <c r="J47" s="259"/>
      <c r="K47" s="317">
        <f>-C4</f>
        <v>-190939.59</v>
      </c>
      <c r="L47" s="317"/>
      <c r="M47" s="114"/>
    </row>
    <row r="48" spans="1:17" ht="17.25" thickTop="1" thickBot="1" x14ac:dyDescent="0.3">
      <c r="E48" s="115" t="s">
        <v>71</v>
      </c>
      <c r="F48" s="116">
        <f>F44+F45+F46</f>
        <v>62100.375999999931</v>
      </c>
    </row>
    <row r="49" spans="2:14" ht="19.5" thickBot="1" x14ac:dyDescent="0.35">
      <c r="B49"/>
      <c r="C49"/>
      <c r="D49" s="318"/>
      <c r="E49" s="318"/>
      <c r="F49" s="77"/>
      <c r="I49" s="319" t="s">
        <v>274</v>
      </c>
      <c r="J49" s="320"/>
      <c r="K49" s="321">
        <f>K44+K47</f>
        <v>-128839.21400000007</v>
      </c>
      <c r="L49" s="322"/>
      <c r="M49" s="117"/>
      <c r="N49" s="97"/>
    </row>
    <row r="50" spans="2:14" x14ac:dyDescent="0.25">
      <c r="B50"/>
      <c r="C50"/>
      <c r="M50" s="117"/>
      <c r="N50" s="97"/>
    </row>
    <row r="51" spans="2:14" x14ac:dyDescent="0.25">
      <c r="B51"/>
      <c r="C51"/>
      <c r="N51" s="97"/>
    </row>
    <row r="52" spans="2:14" x14ac:dyDescent="0.25">
      <c r="B52"/>
      <c r="C52"/>
      <c r="F52"/>
      <c r="I52"/>
      <c r="J52"/>
      <c r="M52"/>
      <c r="N52" s="97"/>
    </row>
    <row r="53" spans="2:14" x14ac:dyDescent="0.25">
      <c r="B53"/>
      <c r="C53"/>
      <c r="N53" s="97"/>
    </row>
    <row r="54" spans="2:14" x14ac:dyDescent="0.25">
      <c r="M54" s="77"/>
      <c r="N54" s="97"/>
    </row>
    <row r="55" spans="2:14" x14ac:dyDescent="0.25">
      <c r="M55" s="77"/>
      <c r="N55" s="97"/>
    </row>
    <row r="56" spans="2:14" x14ac:dyDescent="0.25">
      <c r="M56" s="77"/>
      <c r="N56" s="97"/>
    </row>
    <row r="57" spans="2:14" x14ac:dyDescent="0.25">
      <c r="M57" s="77"/>
      <c r="N57" s="97"/>
    </row>
  </sheetData>
  <mergeCells count="17">
    <mergeCell ref="K47:L47"/>
    <mergeCell ref="D49:E49"/>
    <mergeCell ref="I49:J49"/>
    <mergeCell ref="K49:L49"/>
    <mergeCell ref="D41:E41"/>
    <mergeCell ref="D42:E42"/>
    <mergeCell ref="I44:J45"/>
    <mergeCell ref="K44:L45"/>
    <mergeCell ref="D46:E46"/>
    <mergeCell ref="I46:K46"/>
    <mergeCell ref="H40:I40"/>
    <mergeCell ref="K40:L40"/>
    <mergeCell ref="C1:K1"/>
    <mergeCell ref="E4:F4"/>
    <mergeCell ref="I4:L4"/>
    <mergeCell ref="L33:L34"/>
    <mergeCell ref="K35:K36"/>
  </mergeCells>
  <pageMargins left="0.70866141732283472" right="0.70866141732283472" top="0.15748031496062992" bottom="0.15748031496062992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 N E R O  2 0 1 7     </vt:lpstr>
      <vt:lpstr>REMISIONES ENERO 2017   </vt:lpstr>
      <vt:lpstr>F E B R E R O   2 0 1 7     </vt:lpstr>
      <vt:lpstr>REMISIONES  FEBRERO  2017    </vt:lpstr>
      <vt:lpstr>M A R Z O  2 0 1 7     </vt:lpstr>
      <vt:lpstr>REMISIONES MARZO 2017  </vt:lpstr>
      <vt:lpstr>A B R I L   2 0 1 7      </vt:lpstr>
      <vt:lpstr>REMISIONES  ABRIL  2017     </vt:lpstr>
      <vt:lpstr>M A Y O      2 0 1 7    </vt:lpstr>
      <vt:lpstr>REMISIONES  MAYO   2017   </vt:lpstr>
      <vt:lpstr>J U N I O     2 0 1 7    </vt:lpstr>
      <vt:lpstr>REMISIONES JUNIO 2017      </vt:lpstr>
      <vt:lpstr>Hoja1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2017-06-29T19:11:46Z</cp:lastPrinted>
  <dcterms:created xsi:type="dcterms:W3CDTF">2017-02-21T16:04:10Z</dcterms:created>
  <dcterms:modified xsi:type="dcterms:W3CDTF">2017-07-03T17:36:41Z</dcterms:modified>
</cp:coreProperties>
</file>