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6 JUNIO 2017\"/>
    </mc:Choice>
  </mc:AlternateContent>
  <bookViews>
    <workbookView xWindow="0" yWindow="0" windowWidth="24000" windowHeight="9735" firstSheet="8" activeTab="10"/>
  </bookViews>
  <sheets>
    <sheet name="ENERO  2017   " sheetId="1" r:id="rId1"/>
    <sheet name="REMISIONES ENERO 2017  " sheetId="2" r:id="rId2"/>
    <sheet name="FEBRERO  2017    " sheetId="3" r:id="rId3"/>
    <sheet name="REMISIONES FEBRERO 2017    " sheetId="4" r:id="rId4"/>
    <sheet name="MARZO  2017    " sheetId="5" r:id="rId5"/>
    <sheet name="REMISIONES MARZO 2017     " sheetId="6" r:id="rId6"/>
    <sheet name="A B R I L     2 0 1 7   " sheetId="7" r:id="rId7"/>
    <sheet name="REMISIONES  ABRIL  2017    " sheetId="8" r:id="rId8"/>
    <sheet name="M A Y O   2 0 1 7   " sheetId="9" r:id="rId9"/>
    <sheet name="REMISIONES  MAYO  2017   " sheetId="10" r:id="rId10"/>
    <sheet name="J U N I O    2 0 1 7    " sheetId="11" r:id="rId11"/>
    <sheet name="REMISIONES  JUNIO  2017    " sheetId="12" r:id="rId12"/>
    <sheet name="Hoja1" sheetId="13" r:id="rId13"/>
    <sheet name="Hoja2" sheetId="14" r:id="rId14"/>
    <sheet name="Hoja3" sheetId="15" r:id="rId15"/>
    <sheet name="Hoja4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2" l="1"/>
  <c r="S21" i="12"/>
  <c r="X21" i="12"/>
  <c r="S12" i="12"/>
  <c r="S8" i="12"/>
  <c r="S7" i="12"/>
  <c r="S6" i="12"/>
  <c r="S4" i="12"/>
  <c r="S3" i="12"/>
  <c r="U21" i="12"/>
  <c r="E15" i="12" l="1"/>
  <c r="I40" i="12"/>
  <c r="I39" i="12"/>
  <c r="I38" i="12"/>
  <c r="I37" i="12"/>
  <c r="I34" i="12"/>
  <c r="I33" i="12"/>
  <c r="N51" i="12"/>
  <c r="K51" i="12"/>
  <c r="I51" i="12" l="1"/>
  <c r="E37" i="10" l="1"/>
  <c r="I16" i="12"/>
  <c r="I15" i="12" l="1"/>
  <c r="I14" i="12"/>
  <c r="I13" i="12"/>
  <c r="I10" i="12"/>
  <c r="N27" i="12"/>
  <c r="I5" i="12"/>
  <c r="I4" i="12" l="1"/>
  <c r="I2" i="12"/>
  <c r="K27" i="12" l="1"/>
  <c r="I27" i="12"/>
  <c r="J45" i="9" l="1"/>
  <c r="E49" i="12" l="1"/>
  <c r="C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K38" i="11"/>
  <c r="H38" i="11"/>
  <c r="E38" i="11"/>
  <c r="B38" i="11"/>
  <c r="M37" i="11"/>
  <c r="K8" i="11"/>
  <c r="J40" i="11" l="1"/>
  <c r="E41" i="11" s="1"/>
  <c r="E44" i="11" s="1"/>
  <c r="E46" i="11" s="1"/>
  <c r="J44" i="11" s="1"/>
  <c r="J47" i="11" s="1"/>
  <c r="F49" i="12"/>
  <c r="E25" i="10"/>
  <c r="S2" i="10"/>
  <c r="S1" i="10"/>
  <c r="S5" i="10"/>
  <c r="S10" i="10"/>
  <c r="S12" i="10"/>
  <c r="U27" i="10"/>
  <c r="S9" i="10"/>
  <c r="S27" i="10" l="1"/>
  <c r="S7" i="10" l="1"/>
  <c r="S3" i="10"/>
  <c r="X27" i="10" l="1"/>
  <c r="E17" i="10" l="1"/>
  <c r="N50" i="10"/>
  <c r="I39" i="10"/>
  <c r="I38" i="10"/>
  <c r="I36" i="10"/>
  <c r="I34" i="10"/>
  <c r="I33" i="10"/>
  <c r="I32" i="10"/>
  <c r="I29" i="10"/>
  <c r="K50" i="10"/>
  <c r="I50" i="10" l="1"/>
  <c r="E35" i="8" l="1"/>
  <c r="F29" i="10" l="1"/>
  <c r="F30" i="10"/>
  <c r="F31" i="10"/>
  <c r="F32" i="10"/>
  <c r="F33" i="10"/>
  <c r="F34" i="10"/>
  <c r="F35" i="10"/>
  <c r="F36" i="10"/>
  <c r="F37" i="10"/>
  <c r="F38" i="10"/>
  <c r="F39" i="10"/>
  <c r="F40" i="10"/>
  <c r="I16" i="10"/>
  <c r="I15" i="10"/>
  <c r="I13" i="10"/>
  <c r="I12" i="10"/>
  <c r="I10" i="10"/>
  <c r="I9" i="10"/>
  <c r="I7" i="10"/>
  <c r="I5" i="10"/>
  <c r="I4" i="10"/>
  <c r="I3" i="10"/>
  <c r="I2" i="10"/>
  <c r="N27" i="10"/>
  <c r="K27" i="10"/>
  <c r="I27" i="10" l="1"/>
  <c r="C49" i="10" l="1"/>
  <c r="F48" i="10"/>
  <c r="F47" i="10"/>
  <c r="F46" i="10"/>
  <c r="F45" i="10"/>
  <c r="F44" i="10"/>
  <c r="F43" i="10"/>
  <c r="F42" i="10"/>
  <c r="F41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H38" i="9"/>
  <c r="E38" i="9"/>
  <c r="B38" i="9"/>
  <c r="M37" i="9"/>
  <c r="K8" i="9"/>
  <c r="K38" i="9" s="1"/>
  <c r="F49" i="10" l="1"/>
  <c r="E49" i="10"/>
  <c r="J40" i="9"/>
  <c r="E41" i="9" s="1"/>
  <c r="E44" i="9" s="1"/>
  <c r="E46" i="9" s="1"/>
  <c r="J44" i="9" s="1"/>
  <c r="J47" i="9" s="1"/>
  <c r="U39" i="8"/>
  <c r="E27" i="8" l="1"/>
  <c r="X39" i="8" l="1"/>
  <c r="S39" i="8"/>
  <c r="S29" i="8"/>
  <c r="S28" i="8"/>
  <c r="S26" i="8" l="1"/>
  <c r="S24" i="8" l="1"/>
  <c r="S23" i="8"/>
  <c r="S22" i="8" l="1"/>
  <c r="F29" i="8" l="1"/>
  <c r="E20" i="8" l="1"/>
  <c r="X17" i="8"/>
  <c r="S17" i="8"/>
  <c r="U17" i="8"/>
  <c r="S8" i="8"/>
  <c r="S2" i="8"/>
  <c r="S7" i="8"/>
  <c r="S6" i="8"/>
  <c r="S5" i="8"/>
  <c r="S3" i="8"/>
  <c r="S1" i="8"/>
  <c r="J41" i="8" l="1"/>
  <c r="J40" i="8"/>
  <c r="J39" i="8"/>
  <c r="J38" i="8" l="1"/>
  <c r="E14" i="8" l="1"/>
  <c r="J47" i="8"/>
  <c r="O47" i="8"/>
  <c r="L47" i="8"/>
  <c r="L31" i="8" l="1"/>
  <c r="E40" i="6" l="1"/>
  <c r="F35" i="8"/>
  <c r="F36" i="8"/>
  <c r="F37" i="8"/>
  <c r="F38" i="8"/>
  <c r="F39" i="8"/>
  <c r="F40" i="8"/>
  <c r="F41" i="8"/>
  <c r="F42" i="8"/>
  <c r="F43" i="8"/>
  <c r="F44" i="8"/>
  <c r="J16" i="8"/>
  <c r="O31" i="8"/>
  <c r="J15" i="8"/>
  <c r="J14" i="8"/>
  <c r="J13" i="8"/>
  <c r="J12" i="8"/>
  <c r="J10" i="8"/>
  <c r="J8" i="8"/>
  <c r="J7" i="8"/>
  <c r="J5" i="8"/>
  <c r="J3" i="8"/>
  <c r="J31" i="8" l="1"/>
  <c r="H38" i="7"/>
  <c r="E38" i="7"/>
  <c r="B38" i="7"/>
  <c r="M37" i="7"/>
  <c r="K8" i="7"/>
  <c r="K38" i="7" s="1"/>
  <c r="E46" i="8"/>
  <c r="C46" i="8"/>
  <c r="F45" i="8"/>
  <c r="F34" i="8"/>
  <c r="F33" i="8"/>
  <c r="F32" i="8"/>
  <c r="F31" i="8"/>
  <c r="F30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46" i="8" l="1"/>
  <c r="J40" i="7"/>
  <c r="E41" i="7" s="1"/>
  <c r="E44" i="7" s="1"/>
  <c r="E46" i="7" s="1"/>
  <c r="J44" i="7" s="1"/>
  <c r="J47" i="7" s="1"/>
  <c r="E45" i="6"/>
  <c r="C45" i="6"/>
  <c r="F44" i="6"/>
  <c r="F43" i="6"/>
  <c r="E28" i="6" l="1"/>
  <c r="S12" i="6" l="1"/>
  <c r="S19" i="6"/>
  <c r="U19" i="6"/>
  <c r="X19" i="6"/>
  <c r="S11" i="6"/>
  <c r="S7" i="6"/>
  <c r="S6" i="6"/>
  <c r="S5" i="6"/>
  <c r="F37" i="6" l="1"/>
  <c r="F38" i="6"/>
  <c r="F39" i="6"/>
  <c r="F40" i="6"/>
  <c r="F41" i="6"/>
  <c r="F42" i="6"/>
  <c r="F45" i="6" l="1"/>
  <c r="S4" i="6"/>
  <c r="E16" i="6" l="1"/>
  <c r="F32" i="6" l="1"/>
  <c r="F33" i="6"/>
  <c r="F34" i="6"/>
  <c r="F35" i="6"/>
  <c r="F36" i="6"/>
  <c r="O64" i="6" l="1"/>
  <c r="L64" i="6"/>
  <c r="J44" i="6"/>
  <c r="J45" i="6"/>
  <c r="J43" i="6"/>
  <c r="J42" i="6"/>
  <c r="J41" i="6"/>
  <c r="J40" i="6"/>
  <c r="J39" i="6"/>
  <c r="J38" i="6"/>
  <c r="J37" i="6"/>
  <c r="J36" i="6"/>
  <c r="J32" i="6"/>
  <c r="K54" i="6"/>
  <c r="J64" i="6" l="1"/>
  <c r="F24" i="6" l="1"/>
  <c r="F25" i="6"/>
  <c r="F26" i="6"/>
  <c r="F27" i="6"/>
  <c r="F28" i="6"/>
  <c r="E24" i="4" l="1"/>
  <c r="L30" i="6"/>
  <c r="J15" i="6"/>
  <c r="J13" i="6"/>
  <c r="J12" i="6"/>
  <c r="J11" i="6"/>
  <c r="K8" i="5"/>
  <c r="J10" i="6"/>
  <c r="J9" i="6"/>
  <c r="J7" i="6"/>
  <c r="O30" i="6"/>
  <c r="J5" i="6"/>
  <c r="J4" i="6"/>
  <c r="J1" i="6"/>
  <c r="J30" i="6" l="1"/>
  <c r="K8" i="3"/>
  <c r="K8" i="1" l="1"/>
  <c r="E28" i="4" l="1"/>
  <c r="C28" i="4"/>
  <c r="F31" i="6" l="1"/>
  <c r="F30" i="6"/>
  <c r="F29" i="6"/>
  <c r="F23" i="6"/>
  <c r="F22" i="6"/>
  <c r="F18" i="6"/>
  <c r="F17" i="6"/>
  <c r="F21" i="6"/>
  <c r="F20" i="6"/>
  <c r="F19" i="6"/>
  <c r="F16" i="6"/>
  <c r="F14" i="6"/>
  <c r="F13" i="6"/>
  <c r="F12" i="6"/>
  <c r="F11" i="6"/>
  <c r="F10" i="6"/>
  <c r="F9" i="6"/>
  <c r="F8" i="6"/>
  <c r="F7" i="6"/>
  <c r="F6" i="6"/>
  <c r="F5" i="6"/>
  <c r="F4" i="6"/>
  <c r="F3" i="6"/>
  <c r="K38" i="5"/>
  <c r="H38" i="5"/>
  <c r="E38" i="5"/>
  <c r="B38" i="5"/>
  <c r="M37" i="5"/>
  <c r="T30" i="4"/>
  <c r="F15" i="6" l="1"/>
  <c r="J40" i="5"/>
  <c r="E41" i="5" s="1"/>
  <c r="E44" i="5" s="1"/>
  <c r="E46" i="5" s="1"/>
  <c r="J44" i="5" s="1"/>
  <c r="J47" i="5" s="1"/>
  <c r="T29" i="4"/>
  <c r="T45" i="4" s="1"/>
  <c r="T26" i="4"/>
  <c r="Y45" i="4"/>
  <c r="V45" i="4"/>
  <c r="E15" i="4" l="1"/>
  <c r="T8" i="4" l="1"/>
  <c r="T7" i="4"/>
  <c r="T6" i="4"/>
  <c r="T5" i="4" l="1"/>
  <c r="T4" i="4"/>
  <c r="T3" i="4"/>
  <c r="Y21" i="4"/>
  <c r="V21" i="4"/>
  <c r="T21" i="4" l="1"/>
  <c r="E31" i="2" l="1"/>
  <c r="L41" i="4"/>
  <c r="J24" i="4"/>
  <c r="J23" i="4"/>
  <c r="J22" i="4"/>
  <c r="J20" i="4"/>
  <c r="J17" i="4"/>
  <c r="J16" i="4"/>
  <c r="J15" i="4"/>
  <c r="J14" i="4"/>
  <c r="J13" i="4" l="1"/>
  <c r="J10" i="4"/>
  <c r="J8" i="4" l="1"/>
  <c r="J5" i="4"/>
  <c r="J40" i="4" l="1"/>
  <c r="J3" i="4"/>
  <c r="J2" i="4"/>
  <c r="Z55" i="2" l="1"/>
  <c r="W55" i="2"/>
  <c r="U33" i="2"/>
  <c r="U31" i="2"/>
  <c r="U30" i="2"/>
  <c r="U29" i="2"/>
  <c r="U28" i="2"/>
  <c r="U27" i="2"/>
  <c r="U26" i="2"/>
  <c r="U54" i="2" s="1"/>
  <c r="U56" i="2" l="1"/>
  <c r="U19" i="2"/>
  <c r="U11" i="2"/>
  <c r="U7" i="2"/>
  <c r="U4" i="2"/>
  <c r="U3" i="2"/>
  <c r="U2" i="2"/>
  <c r="Z19" i="2" l="1"/>
  <c r="W19" i="2"/>
  <c r="O41" i="4" l="1"/>
  <c r="H38" i="3" l="1"/>
  <c r="E38" i="3"/>
  <c r="B38" i="3"/>
  <c r="M37" i="3"/>
  <c r="K38" i="3"/>
  <c r="F27" i="4"/>
  <c r="F26" i="4"/>
  <c r="F25" i="4"/>
  <c r="F23" i="4"/>
  <c r="F24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8" i="4" l="1"/>
  <c r="J40" i="3"/>
  <c r="E41" i="3" s="1"/>
  <c r="E44" i="3" s="1"/>
  <c r="E46" i="3" s="1"/>
  <c r="J44" i="3" s="1"/>
  <c r="J47" i="3" s="1"/>
  <c r="E21" i="2" l="1"/>
  <c r="E12" i="2"/>
  <c r="O47" i="2" l="1"/>
  <c r="L47" i="2"/>
  <c r="J25" i="2"/>
  <c r="J23" i="2"/>
  <c r="J20" i="2"/>
  <c r="J18" i="2"/>
  <c r="J17" i="2"/>
  <c r="J16" i="2"/>
  <c r="J15" i="2"/>
  <c r="J14" i="2"/>
  <c r="J13" i="2"/>
  <c r="J12" i="2"/>
  <c r="J11" i="2"/>
  <c r="J7" i="2"/>
  <c r="J3" i="2"/>
  <c r="J46" i="2" l="1"/>
  <c r="C49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E49" i="2"/>
  <c r="F14" i="2"/>
  <c r="F13" i="2"/>
  <c r="F12" i="2"/>
  <c r="F11" i="2"/>
  <c r="F10" i="2"/>
  <c r="F9" i="2"/>
  <c r="F8" i="2"/>
  <c r="F7" i="2"/>
  <c r="F6" i="2"/>
  <c r="F5" i="2"/>
  <c r="F4" i="2"/>
  <c r="F3" i="2"/>
  <c r="F15" i="2" l="1"/>
  <c r="F49" i="2" s="1"/>
  <c r="H38" i="1" l="1"/>
  <c r="E38" i="1"/>
  <c r="B38" i="1"/>
  <c r="M37" i="1"/>
  <c r="T24" i="1"/>
  <c r="T23" i="1"/>
  <c r="T22" i="1"/>
  <c r="T21" i="1"/>
  <c r="T20" i="1"/>
  <c r="S20" i="1"/>
  <c r="T19" i="1"/>
  <c r="T18" i="1"/>
  <c r="T17" i="1"/>
  <c r="T16" i="1"/>
  <c r="T15" i="1"/>
  <c r="T14" i="1"/>
  <c r="T13" i="1"/>
  <c r="T12" i="1"/>
  <c r="T11" i="1"/>
  <c r="T10" i="1"/>
  <c r="T9" i="1"/>
  <c r="T8" i="1"/>
  <c r="K38" i="1"/>
  <c r="T7" i="1"/>
  <c r="T6" i="1"/>
  <c r="T25" i="1" s="1"/>
  <c r="J40" i="1" l="1"/>
  <c r="E41" i="1" s="1"/>
  <c r="E44" i="1" s="1"/>
  <c r="E46" i="1" s="1"/>
  <c r="J44" i="1" s="1"/>
  <c r="J47" i="1" s="1"/>
  <c r="K21" i="6" l="1"/>
</calcChain>
</file>

<file path=xl/comments1.xml><?xml version="1.0" encoding="utf-8"?>
<comments xmlns="http://schemas.openxmlformats.org/spreadsheetml/2006/main">
  <authors>
    <author>ROUSS</author>
  </authors>
  <commentList>
    <comment ref="V1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U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<sst xmlns="http://schemas.openxmlformats.org/spreadsheetml/2006/main" count="1338" uniqueCount="722">
  <si>
    <t xml:space="preserve">BALANCE       DE     E N E R O             2 0 1 7      HERRADURA </t>
  </si>
  <si>
    <t># 1</t>
  </si>
  <si>
    <t>FONDO DE CAJA FIJO  Ene-2017</t>
  </si>
  <si>
    <t>INVENTARIO INICIAL</t>
  </si>
  <si>
    <t xml:space="preserve">COMPRAS </t>
  </si>
  <si>
    <t>VENTA BRUTA</t>
  </si>
  <si>
    <t xml:space="preserve">VENTA NETA </t>
  </si>
  <si>
    <t xml:space="preserve">HERRADURA </t>
  </si>
  <si>
    <t xml:space="preserve">VENTAS  </t>
  </si>
  <si>
    <t>G  A  S   T  O  S</t>
  </si>
  <si>
    <t xml:space="preserve">Notas de Venta </t>
  </si>
  <si>
    <t>BANCO</t>
  </si>
  <si>
    <t>TRANSFER</t>
  </si>
  <si>
    <t xml:space="preserve">SALDO </t>
  </si>
  <si>
    <t>R-20457-20459</t>
  </si>
  <si>
    <t>TELEFONOS</t>
  </si>
  <si>
    <t>Debes</t>
  </si>
  <si>
    <t>R-20459--20722</t>
  </si>
  <si>
    <t>LUZ</t>
  </si>
  <si>
    <t># 18178---# 18205</t>
  </si>
  <si>
    <t>sobran</t>
  </si>
  <si>
    <t>R-20722</t>
  </si>
  <si>
    <t>RENTA</t>
  </si>
  <si>
    <t># 18206---# 18233</t>
  </si>
  <si>
    <t>R-20722-20958</t>
  </si>
  <si>
    <t>2-8-ENE</t>
  </si>
  <si>
    <t>NOMINA 01</t>
  </si>
  <si>
    <t># 18234---# 18283</t>
  </si>
  <si>
    <t>R-20958</t>
  </si>
  <si>
    <t>9-15-Ene</t>
  </si>
  <si>
    <t>NOMINA 02</t>
  </si>
  <si>
    <t># 18284---# 18306</t>
  </si>
  <si>
    <t>R-20958-21072-21279</t>
  </si>
  <si>
    <t xml:space="preserve">16-22 Ene </t>
  </si>
  <si>
    <t>NOMINA 03</t>
  </si>
  <si>
    <t># 18307---# 18351</t>
  </si>
  <si>
    <t>R-21279-21301-21312-21316</t>
  </si>
  <si>
    <t>NOMINA 04</t>
  </si>
  <si>
    <t># 18352---# 18404</t>
  </si>
  <si>
    <t>R-21316-21404</t>
  </si>
  <si>
    <t># 18405---# 18449</t>
  </si>
  <si>
    <t>R-21404</t>
  </si>
  <si>
    <t># 18450---# 18488</t>
  </si>
  <si>
    <t>R-21404-21361-</t>
  </si>
  <si>
    <t>vacaciones</t>
  </si>
  <si>
    <t># 18489---# 18519</t>
  </si>
  <si>
    <t>R-21756</t>
  </si>
  <si>
    <t># 18520---# 18561</t>
  </si>
  <si>
    <t>R-21756-21805</t>
  </si>
  <si>
    <t>CAMARA,de comercio</t>
  </si>
  <si>
    <t># 18562---# 18607</t>
  </si>
  <si>
    <t>R-21805-22036-22047-22085</t>
  </si>
  <si>
    <t># 18608---# 18687</t>
  </si>
  <si>
    <t>R-22085</t>
  </si>
  <si>
    <t>M LIMPIEZA</t>
  </si>
  <si>
    <t># 18688---# 18751</t>
  </si>
  <si>
    <t>R-22085-22087-22290-22399-22425</t>
  </si>
  <si>
    <t xml:space="preserve">SOAPAP </t>
  </si>
  <si>
    <t># 18752---# 18793</t>
  </si>
  <si>
    <t>R-22425-22539</t>
  </si>
  <si>
    <t># 18794---# 18833</t>
  </si>
  <si>
    <t>R-22539-22555</t>
  </si>
  <si>
    <t># 18834---# 18876</t>
  </si>
  <si>
    <t>R-22555-226976</t>
  </si>
  <si>
    <t># 18877---# 18914</t>
  </si>
  <si>
    <t>R-22676</t>
  </si>
  <si>
    <t>fumigacion</t>
  </si>
  <si>
    <t># 18915---# 18966</t>
  </si>
  <si>
    <t>DEPOSITOS</t>
  </si>
  <si>
    <t>R-22676-22838</t>
  </si>
  <si>
    <t># 18967---# 19016</t>
  </si>
  <si>
    <t xml:space="preserve">SALDO QUE DEBES </t>
  </si>
  <si>
    <t>R-22838--23067</t>
  </si>
  <si>
    <t>Mantenimiento</t>
  </si>
  <si>
    <t># 19017---# 19059</t>
  </si>
  <si>
    <t>ESTE ES EL SALDO PAGADO DE Diciembre 2016</t>
  </si>
  <si>
    <t>R-23067--23115</t>
  </si>
  <si>
    <t># 19060---# 19097</t>
  </si>
  <si>
    <t>OK</t>
  </si>
  <si>
    <t>R-23115-23278-232974-</t>
  </si>
  <si>
    <t>Extintores</t>
  </si>
  <si>
    <t># 19098---# 19128</t>
  </si>
  <si>
    <t>Rev Basculas</t>
  </si>
  <si>
    <t xml:space="preserve">FONDO DE </t>
  </si>
  <si>
    <t xml:space="preserve">CAJA 24-Ene 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</si>
  <si>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</si>
  <si>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</si>
  <si>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</si>
  <si>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</si>
  <si>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</si>
  <si>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</si>
  <si>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</si>
  <si>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</si>
  <si>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</si>
  <si>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GANANCIA </t>
  </si>
  <si>
    <t>REMISIONES  HERRADURA</t>
  </si>
  <si>
    <t>FECHA</t>
  </si>
  <si>
    <t>#</t>
  </si>
  <si>
    <t>IMPORTE</t>
  </si>
  <si>
    <t>PAGO</t>
  </si>
  <si>
    <t>SALDO</t>
  </si>
  <si>
    <t>20722 C</t>
  </si>
  <si>
    <t>20958 C</t>
  </si>
  <si>
    <t>21072 C</t>
  </si>
  <si>
    <t>21279 C</t>
  </si>
  <si>
    <t>21301 C</t>
  </si>
  <si>
    <t>21312 C</t>
  </si>
  <si>
    <t>21316 C</t>
  </si>
  <si>
    <t>21361 C</t>
  </si>
  <si>
    <t>21404 C</t>
  </si>
  <si>
    <t>21756 C</t>
  </si>
  <si>
    <t>21805 C</t>
  </si>
  <si>
    <t>22036 C</t>
  </si>
  <si>
    <t>22047 C</t>
  </si>
  <si>
    <t>22085 C</t>
  </si>
  <si>
    <t>22087 C</t>
  </si>
  <si>
    <t>22290 C</t>
  </si>
  <si>
    <t>22399 C</t>
  </si>
  <si>
    <t>22425 C</t>
  </si>
  <si>
    <t>22539 C</t>
  </si>
  <si>
    <t>22555 C</t>
  </si>
  <si>
    <t>22676 C</t>
  </si>
  <si>
    <t>22838 C</t>
  </si>
  <si>
    <t>23067 C</t>
  </si>
  <si>
    <t>23115 C</t>
  </si>
  <si>
    <t>23278 C</t>
  </si>
  <si>
    <t>23294 C</t>
  </si>
  <si>
    <t>23575 C</t>
  </si>
  <si>
    <t>23579 C</t>
  </si>
  <si>
    <t>23588 C</t>
  </si>
  <si>
    <t>23589 C</t>
  </si>
  <si>
    <t>23600 C</t>
  </si>
  <si>
    <t>23628 C</t>
  </si>
  <si>
    <t>23636 C</t>
  </si>
  <si>
    <t>23926 C</t>
  </si>
  <si>
    <t>24009 C</t>
  </si>
  <si>
    <t>24011 C</t>
  </si>
  <si>
    <t>24025 C</t>
  </si>
  <si>
    <t>24208 C</t>
  </si>
  <si>
    <t>24223 C</t>
  </si>
  <si>
    <t>24330 C</t>
  </si>
  <si>
    <t>PAGOS DE HERRADURA</t>
  </si>
  <si>
    <t>18481 C</t>
  </si>
  <si>
    <t>RESTO</t>
  </si>
  <si>
    <t>18699 C</t>
  </si>
  <si>
    <t>19137 C</t>
  </si>
  <si>
    <t>19313 C</t>
  </si>
  <si>
    <t>19320 C</t>
  </si>
  <si>
    <t>19324 C</t>
  </si>
  <si>
    <t>19327 C</t>
  </si>
  <si>
    <t>19329 C</t>
  </si>
  <si>
    <t>19720 C</t>
  </si>
  <si>
    <t>19782 C</t>
  </si>
  <si>
    <t>19912 C</t>
  </si>
  <si>
    <t>Santander</t>
  </si>
  <si>
    <t>20250 C</t>
  </si>
  <si>
    <t>20457 C</t>
  </si>
  <si>
    <t>20459 C</t>
  </si>
  <si>
    <t>BBVA</t>
  </si>
  <si>
    <t>ABONO</t>
  </si>
  <si>
    <t xml:space="preserve">16-ENE- 21-Ene </t>
  </si>
  <si>
    <t xml:space="preserve">21-Ene--28-Ene </t>
  </si>
  <si>
    <t>24489 C</t>
  </si>
  <si>
    <t>24570 C</t>
  </si>
  <si>
    <t>24572 C</t>
  </si>
  <si>
    <t>24747 C</t>
  </si>
  <si>
    <t>24889 C</t>
  </si>
  <si>
    <t>24896 C</t>
  </si>
  <si>
    <t>24985 C</t>
  </si>
  <si>
    <t>00019 D</t>
  </si>
  <si>
    <t>00265 D</t>
  </si>
  <si>
    <t>00375 D</t>
  </si>
  <si>
    <t xml:space="preserve">BALANCE       DE     F E B R E R O            2 0 1 7      HERRADURA </t>
  </si>
  <si>
    <t>R-23294-23575</t>
  </si>
  <si>
    <t># 19129---# 19167</t>
  </si>
  <si>
    <t>resto</t>
  </si>
  <si>
    <t xml:space="preserve">  </t>
  </si>
  <si>
    <t># 22361</t>
  </si>
  <si>
    <t># 21404</t>
  </si>
  <si>
    <t>R-23575-23579-23588</t>
  </si>
  <si>
    <t># 19168---# 19213</t>
  </si>
  <si>
    <t>R-23588-23589-23600</t>
  </si>
  <si>
    <t># 19214---# 19260</t>
  </si>
  <si>
    <t>R-23600-236528-23636-23926</t>
  </si>
  <si>
    <t># 19261---# 19320</t>
  </si>
  <si>
    <t>23-29-Ene</t>
  </si>
  <si>
    <t>R-23926-24009-24011</t>
  </si>
  <si>
    <t># 19321---19370</t>
  </si>
  <si>
    <t># 19371---# 19410</t>
  </si>
  <si>
    <t>R-24011-24025-24208-24223</t>
  </si>
  <si>
    <t>R-24223-24330</t>
  </si>
  <si>
    <t>R-24330-24489</t>
  </si>
  <si>
    <t># 19444--- # 19483</t>
  </si>
  <si>
    <t># 19484---# 19516</t>
  </si>
  <si>
    <t>R-24489-24570</t>
  </si>
  <si>
    <t>R-24570-24572</t>
  </si>
  <si>
    <t># 19517---# 19559</t>
  </si>
  <si>
    <t>R-24572--24747-24889-24896</t>
  </si>
  <si>
    <t>R-24896-00019</t>
  </si>
  <si>
    <t>#19560---# 19610</t>
  </si>
  <si>
    <t># 19611---# 19659</t>
  </si>
  <si>
    <t>R-0019-24985--0054--00265</t>
  </si>
  <si>
    <t># 19660---# 19697</t>
  </si>
  <si>
    <t>00054 D</t>
  </si>
  <si>
    <t>R-265</t>
  </si>
  <si>
    <t># 19698---# 19737</t>
  </si>
  <si>
    <t># 19738---# 19770</t>
  </si>
  <si>
    <t>R-265-375</t>
  </si>
  <si>
    <t># 19771---# 19808</t>
  </si>
  <si>
    <t>R-375</t>
  </si>
  <si>
    <t># 19809---# 19850</t>
  </si>
  <si>
    <t>R-375--521</t>
  </si>
  <si>
    <t># 19851---# 19908</t>
  </si>
  <si>
    <t>00521 D</t>
  </si>
  <si>
    <t>abono    SIN REMISION</t>
  </si>
  <si>
    <r>
      <rPr>
        <b/>
        <u val="singleAccounting"/>
        <sz val="11"/>
        <color theme="1"/>
        <rFont val="Calibri"/>
        <family val="2"/>
      </rPr>
      <t>abono</t>
    </r>
    <r>
      <rPr>
        <b/>
        <sz val="11"/>
        <color rgb="FF0000FF"/>
        <rFont val="Calibri"/>
        <family val="2"/>
      </rPr>
      <t xml:space="preserve">    SIN REMISION</t>
    </r>
  </si>
  <si>
    <t>sin remision</t>
  </si>
  <si>
    <t>00523 D</t>
  </si>
  <si>
    <t xml:space="preserve">28-Ene --14-Feb </t>
  </si>
  <si>
    <t>01226 D</t>
  </si>
  <si>
    <t>01376 D</t>
  </si>
  <si>
    <t>01626 D</t>
  </si>
  <si>
    <t>NOMINA 05</t>
  </si>
  <si>
    <t>NOMINA 06</t>
  </si>
  <si>
    <t>NOMINA 07</t>
  </si>
  <si>
    <t>NOMINA 08</t>
  </si>
  <si>
    <t xml:space="preserve">  30-5 Feb</t>
  </si>
  <si>
    <t xml:space="preserve">06-12-Feb </t>
  </si>
  <si>
    <t>R-521-523</t>
  </si>
  <si>
    <t># 19909---# 19964</t>
  </si>
  <si>
    <t># 19965---# 0002</t>
  </si>
  <si>
    <t>R-523-1226</t>
  </si>
  <si>
    <t>R-1226</t>
  </si>
  <si>
    <t># 0003 ---# 0036</t>
  </si>
  <si>
    <t># 0037---# 0065</t>
  </si>
  <si>
    <t># 0066---# 00105</t>
  </si>
  <si>
    <t>R-1226-1376</t>
  </si>
  <si>
    <t># 0106---# 0150</t>
  </si>
  <si>
    <t>R-1376--1626</t>
  </si>
  <si>
    <t># 0151--- # 0208</t>
  </si>
  <si>
    <t>R-1626</t>
  </si>
  <si>
    <t>13-19-Feb</t>
  </si>
  <si>
    <t># 0209--- # 0260</t>
  </si>
  <si>
    <t>R-1626-1887</t>
  </si>
  <si>
    <t>01887 D</t>
  </si>
  <si>
    <t>01905 D</t>
  </si>
  <si>
    <t># 0261--- # 0299</t>
  </si>
  <si>
    <t>R-1887-1905-2055</t>
  </si>
  <si>
    <t>02055 D</t>
  </si>
  <si>
    <t>02113 D</t>
  </si>
  <si>
    <t>02363 D</t>
  </si>
  <si>
    <t xml:space="preserve">14-Feb --25-Feb </t>
  </si>
  <si>
    <t>02329 D</t>
  </si>
  <si>
    <t>02489 D</t>
  </si>
  <si>
    <t># 0300--- # 0326</t>
  </si>
  <si>
    <t>R-2055-2113</t>
  </si>
  <si>
    <t># 0327---# 0348</t>
  </si>
  <si>
    <t>R-2113</t>
  </si>
  <si>
    <t># 0349---# 0376</t>
  </si>
  <si>
    <t>R-2113-2329-2363</t>
  </si>
  <si>
    <t># 0377--- # 0430</t>
  </si>
  <si>
    <t>R-2363</t>
  </si>
  <si>
    <t># 0431---# 0483</t>
  </si>
  <si>
    <t>R-2363-2489</t>
  </si>
  <si>
    <t># 0484---# 0542</t>
  </si>
  <si>
    <t>R-2489-2710-2784</t>
  </si>
  <si>
    <t>02784 D</t>
  </si>
  <si>
    <t>,02871 D</t>
  </si>
  <si>
    <t>02710 D</t>
  </si>
  <si>
    <t>Sin remision</t>
  </si>
  <si>
    <t>PERDIDA</t>
  </si>
  <si>
    <t>R-2784-2871-29998</t>
  </si>
  <si>
    <t># 0543---# 0578</t>
  </si>
  <si>
    <t>R-2998--3006</t>
  </si>
  <si>
    <t># 0579---# 0610</t>
  </si>
  <si>
    <t>20-26-Feb</t>
  </si>
  <si>
    <t>27-feb,</t>
  </si>
  <si>
    <t>02998 D</t>
  </si>
  <si>
    <t>03006 D</t>
  </si>
  <si>
    <t>03136 D</t>
  </si>
  <si>
    <t>03261 D</t>
  </si>
  <si>
    <t>03283 D</t>
  </si>
  <si>
    <t>03288 D</t>
  </si>
  <si>
    <t>03475 D</t>
  </si>
  <si>
    <t># 01611---# 0635</t>
  </si>
  <si>
    <t>R-3006</t>
  </si>
  <si>
    <t>R-3006-3136</t>
  </si>
  <si>
    <t># 0636---# 0674</t>
  </si>
  <si>
    <t># 0675---# 0711</t>
  </si>
  <si>
    <t>R-3136-3261-+3283</t>
  </si>
  <si>
    <t>R-3283-3288-3475</t>
  </si>
  <si>
    <t># 0761---# 0807</t>
  </si>
  <si>
    <t># 0712--- # 0760</t>
  </si>
  <si>
    <t>R-0761---# 0807</t>
  </si>
  <si>
    <t>03579 D</t>
  </si>
  <si>
    <t>03592 D</t>
  </si>
  <si>
    <t>03594 D</t>
  </si>
  <si>
    <t>03745 D</t>
  </si>
  <si>
    <t>03775 D</t>
  </si>
  <si>
    <t xml:space="preserve">25-Feb --13-Mar </t>
  </si>
  <si>
    <t>03952 D</t>
  </si>
  <si>
    <t>04164 D</t>
  </si>
  <si>
    <t>04286 D</t>
  </si>
  <si>
    <t>Manuel</t>
  </si>
  <si>
    <t>03824 D</t>
  </si>
  <si>
    <t>03941 D</t>
  </si>
  <si>
    <t>04398 D</t>
  </si>
  <si>
    <t>04534 D</t>
  </si>
  <si>
    <t>04682 D</t>
  </si>
  <si>
    <t>05032 D</t>
  </si>
  <si>
    <t>04999 D</t>
  </si>
  <si>
    <t>04815 D</t>
  </si>
  <si>
    <t>04679 D</t>
  </si>
  <si>
    <t>3592 D</t>
  </si>
  <si>
    <t>3594 D</t>
  </si>
  <si>
    <t>3745 D</t>
  </si>
  <si>
    <t># 0838---# 0866</t>
  </si>
  <si>
    <t># 0808--- # 0837</t>
  </si>
  <si>
    <t>R-3592-3594-3745</t>
  </si>
  <si>
    <t>R-3745-3775</t>
  </si>
  <si>
    <t># 0867---# 0889</t>
  </si>
  <si>
    <t>R-3775-3824</t>
  </si>
  <si>
    <t># 0890---# 0918</t>
  </si>
  <si>
    <t>R-3824-3941</t>
  </si>
  <si>
    <t># 0919---# 0965</t>
  </si>
  <si>
    <t>R-3941-3952-4164</t>
  </si>
  <si>
    <t># 0966---# 1005</t>
  </si>
  <si>
    <t>R-4164-4286</t>
  </si>
  <si>
    <t>NOMINA 09</t>
  </si>
  <si>
    <t>NOMINA 10</t>
  </si>
  <si>
    <t>NOMINA 11</t>
  </si>
  <si>
    <t>NOMINA 12</t>
  </si>
  <si>
    <t>6-12-MAR,</t>
  </si>
  <si>
    <t>27-5-Mar</t>
  </si>
  <si>
    <t>R-4286--4398</t>
  </si>
  <si>
    <t># 1006---# 1052</t>
  </si>
  <si>
    <t>R-4398</t>
  </si>
  <si>
    <t># 1053--- # 1081</t>
  </si>
  <si>
    <t># 1082---# 1116</t>
  </si>
  <si>
    <t>R-4398--4534</t>
  </si>
  <si>
    <t># 1117---# 1144</t>
  </si>
  <si>
    <t>R-4534</t>
  </si>
  <si>
    <t># 1145---# 1175</t>
  </si>
  <si>
    <t># 1176---# 1222</t>
  </si>
  <si>
    <t>R-4534-4679-4682</t>
  </si>
  <si>
    <t># 1223---# 1263</t>
  </si>
  <si>
    <t>R-4682-4815-4999</t>
  </si>
  <si>
    <t>13-19 Mar</t>
  </si>
  <si>
    <t xml:space="preserve">13-Mar --24-Mar </t>
  </si>
  <si>
    <t>2710 D</t>
  </si>
  <si>
    <t>05276 D</t>
  </si>
  <si>
    <t>05349 D</t>
  </si>
  <si>
    <t>05370 D</t>
  </si>
  <si>
    <t>05385 D</t>
  </si>
  <si>
    <t>05498 D</t>
  </si>
  <si>
    <t>#1264---# 1304</t>
  </si>
  <si>
    <t>R-499-5032-58276-5349</t>
  </si>
  <si>
    <t># 1305---# 1338</t>
  </si>
  <si>
    <t>R-5349--5370</t>
  </si>
  <si>
    <t>R-5370-5385</t>
  </si>
  <si>
    <t># 1339---# 1370</t>
  </si>
  <si>
    <t>05448 D</t>
  </si>
  <si>
    <t>05602 D</t>
  </si>
  <si>
    <t>05750 D</t>
  </si>
  <si>
    <t>05752 D</t>
  </si>
  <si>
    <t>05812 D</t>
  </si>
  <si>
    <t>05814 D</t>
  </si>
  <si>
    <t>06073 D</t>
  </si>
  <si>
    <t>abono</t>
  </si>
  <si>
    <t>4999 D</t>
  </si>
  <si>
    <t xml:space="preserve">24-Mar --30 Mar </t>
  </si>
  <si>
    <t>06277 D</t>
  </si>
  <si>
    <t>06307 D</t>
  </si>
  <si>
    <t>06310 D</t>
  </si>
  <si>
    <t>06425 D</t>
  </si>
  <si>
    <t xml:space="preserve">BALANCE       DE     A B R I L .            2 0 1 7      HERRADURA </t>
  </si>
  <si>
    <t>06559 D</t>
  </si>
  <si>
    <t>06755 D</t>
  </si>
  <si>
    <t>06858 D</t>
  </si>
  <si>
    <t>06931 D</t>
  </si>
  <si>
    <t>07041 D</t>
  </si>
  <si>
    <t>07305 D</t>
  </si>
  <si>
    <t>07319 D</t>
  </si>
  <si>
    <t>07135 D</t>
  </si>
  <si>
    <t>07330 D</t>
  </si>
  <si>
    <t>07447 D</t>
  </si>
  <si>
    <t>07787 D</t>
  </si>
  <si>
    <t>07511 D</t>
  </si>
  <si>
    <t xml:space="preserve">30-Mar --13-Abril </t>
  </si>
  <si>
    <t># 1371---# 1393</t>
  </si>
  <si>
    <t>R-5385-5448</t>
  </si>
  <si>
    <t>R-5498-5602-5750-5752</t>
  </si>
  <si>
    <t># 1394---# 1428</t>
  </si>
  <si>
    <t># 1429---# 1474</t>
  </si>
  <si>
    <t>R-5752-5812</t>
  </si>
  <si>
    <t># 1475---# 1527</t>
  </si>
  <si>
    <t>R-5812-5814-6078</t>
  </si>
  <si>
    <t># 1528---# 1574</t>
  </si>
  <si>
    <t>R-6073--6277</t>
  </si>
  <si>
    <t># 1575---# 1599</t>
  </si>
  <si>
    <t>R-6277-6307-6310</t>
  </si>
  <si>
    <t># 1600---# 1619</t>
  </si>
  <si>
    <t>R-6310</t>
  </si>
  <si>
    <t># 1620---# 1645</t>
  </si>
  <si>
    <t>R-6310-6425-6559</t>
  </si>
  <si>
    <t>R-6559</t>
  </si>
  <si>
    <t>R-6559-6755</t>
  </si>
  <si>
    <t># 1646---# 1675</t>
  </si>
  <si>
    <t>20--26 mar</t>
  </si>
  <si>
    <t>.</t>
  </si>
  <si>
    <t>NOMINA 13</t>
  </si>
  <si>
    <t>NOMINA 14</t>
  </si>
  <si>
    <t>NOMINA 15</t>
  </si>
  <si>
    <t>NOMINA 16</t>
  </si>
  <si>
    <t>R-6755-6858-6931</t>
  </si>
  <si>
    <t># 1709---# 1752</t>
  </si>
  <si>
    <t># 1753--- # 1785</t>
  </si>
  <si>
    <t>R-6931-7041-7135</t>
  </si>
  <si>
    <t># 1786---# 1810</t>
  </si>
  <si>
    <t>R-7135--7305</t>
  </si>
  <si>
    <t># 1811---# 1834</t>
  </si>
  <si>
    <t>R-7305-7319</t>
  </si>
  <si>
    <t>R-7319--7330</t>
  </si>
  <si>
    <t># 1835---# 1864</t>
  </si>
  <si>
    <t># 1865---# 1895</t>
  </si>
  <si>
    <t>R-7330--7447</t>
  </si>
  <si>
    <t># 1896---# 1929</t>
  </si>
  <si>
    <t>R-1896--1929</t>
  </si>
  <si>
    <t># 1930---# 1982</t>
  </si>
  <si>
    <t>R-7511-7787-7865</t>
  </si>
  <si>
    <t>27--02-Abril</t>
  </si>
  <si>
    <t>03-09-Abril</t>
  </si>
  <si>
    <t># 1983---# 2037</t>
  </si>
  <si>
    <t>R-7865--7898</t>
  </si>
  <si>
    <t>07898 D</t>
  </si>
  <si>
    <t>7511 D</t>
  </si>
  <si>
    <t xml:space="preserve">SE CUBRE EL PAGO DEL DIA 13 DE ABRIL POR  </t>
  </si>
  <si>
    <t>13-Abr--17-Abr</t>
  </si>
  <si>
    <t>08113 D</t>
  </si>
  <si>
    <t>08115 D</t>
  </si>
  <si>
    <t>08200 D</t>
  </si>
  <si>
    <t>07865 D</t>
  </si>
  <si>
    <t xml:space="preserve">Dr. KARINA </t>
  </si>
  <si>
    <t>R-789*8-8113</t>
  </si>
  <si>
    <t># 2038---# 2075</t>
  </si>
  <si>
    <t># 2076---# 2111</t>
  </si>
  <si>
    <t>R-8115</t>
  </si>
  <si>
    <t>08465 D</t>
  </si>
  <si>
    <t>08473 D</t>
  </si>
  <si>
    <t>08642 D</t>
  </si>
  <si>
    <t>08729 D</t>
  </si>
  <si>
    <t>08767 D</t>
  </si>
  <si>
    <t>08195 D</t>
  </si>
  <si>
    <t>08748 D</t>
  </si>
  <si>
    <t>08918 D</t>
  </si>
  <si>
    <t>08922 D</t>
  </si>
  <si>
    <t># 2112---# 2140</t>
  </si>
  <si>
    <t>R-8115-8195</t>
  </si>
  <si>
    <t># 2141---# 2189</t>
  </si>
  <si>
    <t>R-8195-8200</t>
  </si>
  <si>
    <t># 2190---# 2254</t>
  </si>
  <si>
    <t>R-8200-8465-8473</t>
  </si>
  <si>
    <t>10-16 Abril</t>
  </si>
  <si>
    <t>xxxxxxxxx</t>
  </si>
  <si>
    <t>XXXXX</t>
  </si>
  <si>
    <t># 2255---# 2290</t>
  </si>
  <si>
    <t>R-8473-*8642</t>
  </si>
  <si>
    <t># 2291---# 2332</t>
  </si>
  <si>
    <t>R-8642-8729-8748</t>
  </si>
  <si>
    <t># 2333---# 2369</t>
  </si>
  <si>
    <t>R-8748-8767</t>
  </si>
  <si>
    <t>ABONO.</t>
  </si>
  <si>
    <t xml:space="preserve">17-Abril--22-Abril </t>
  </si>
  <si>
    <t>09085 D</t>
  </si>
  <si>
    <t>09095 D</t>
  </si>
  <si>
    <t>09423 D</t>
  </si>
  <si>
    <t>09581 D</t>
  </si>
  <si>
    <t>09160 D</t>
  </si>
  <si>
    <t># 2370---# 2406</t>
  </si>
  <si>
    <t>R-8767-8918-8922</t>
  </si>
  <si>
    <t>09719 D</t>
  </si>
  <si>
    <t>8767 D</t>
  </si>
  <si>
    <t># 2407---# 2444</t>
  </si>
  <si>
    <t>R-8922-9085</t>
  </si>
  <si>
    <t># 2445---# 2505</t>
  </si>
  <si>
    <t>R-9085--9095</t>
  </si>
  <si>
    <t># 2506---# 2559</t>
  </si>
  <si>
    <t>17-23 abril</t>
  </si>
  <si>
    <t># 2560---# 2617</t>
  </si>
  <si>
    <t># 2618---# 2663</t>
  </si>
  <si>
    <t># 2664---# 2695</t>
  </si>
  <si>
    <t>R-9160</t>
  </si>
  <si>
    <t># 2696---# 2722</t>
  </si>
  <si>
    <t>R-9160-9562-9581</t>
  </si>
  <si>
    <t>09562 D</t>
  </si>
  <si>
    <t xml:space="preserve">22-Abril --29-Abril </t>
  </si>
  <si>
    <t>09959 D</t>
  </si>
  <si>
    <t>09968 D</t>
  </si>
  <si>
    <t xml:space="preserve">BALANCE       DE     MAYO             2 0 1 7      HERRADURA </t>
  </si>
  <si>
    <t>NOMINA 17</t>
  </si>
  <si>
    <t>NOMINA 18</t>
  </si>
  <si>
    <t>NOMINA 19</t>
  </si>
  <si>
    <t>NOMINA 20</t>
  </si>
  <si>
    <t>10070 D</t>
  </si>
  <si>
    <t>10206 D</t>
  </si>
  <si>
    <t>10466 D</t>
  </si>
  <si>
    <t>10468 D</t>
  </si>
  <si>
    <t>10557 D</t>
  </si>
  <si>
    <t>10645 D</t>
  </si>
  <si>
    <t>10581 D</t>
  </si>
  <si>
    <t>10745 D</t>
  </si>
  <si>
    <t>10906 D</t>
  </si>
  <si>
    <t>10922 D</t>
  </si>
  <si>
    <t>10978 D</t>
  </si>
  <si>
    <t>11030 D</t>
  </si>
  <si>
    <t>11250 D</t>
  </si>
  <si>
    <t>11393 D</t>
  </si>
  <si>
    <t>11440 D</t>
  </si>
  <si>
    <t>11447 D</t>
  </si>
  <si>
    <t># 2723---# 2753</t>
  </si>
  <si>
    <t>R-9581</t>
  </si>
  <si>
    <t># 2754---# 2800</t>
  </si>
  <si>
    <t>R-9581--9719</t>
  </si>
  <si>
    <t># 2801---# 2853</t>
  </si>
  <si>
    <t>R-9719-9959</t>
  </si>
  <si>
    <t>24-30 Abril</t>
  </si>
  <si>
    <t># 2854---# 2915</t>
  </si>
  <si>
    <t>R-9959-9968-10070</t>
  </si>
  <si>
    <t>29-Abril--13-MAY</t>
  </si>
  <si>
    <t>11559 D</t>
  </si>
  <si>
    <t>11750 D</t>
  </si>
  <si>
    <t>11886 D</t>
  </si>
  <si>
    <t>12017 D</t>
  </si>
  <si>
    <t>12175 D</t>
  </si>
  <si>
    <t>12150 D</t>
  </si>
  <si>
    <t>12329 D</t>
  </si>
  <si>
    <t>R-10070-10206-10466</t>
  </si>
  <si>
    <t>R-10466-10468-10557</t>
  </si>
  <si>
    <t>R-10557</t>
  </si>
  <si>
    <t>R-10557-10645</t>
  </si>
  <si>
    <t>R-10645-10581-10745</t>
  </si>
  <si>
    <t>R-10745-10906</t>
  </si>
  <si>
    <t>NOMINA 21</t>
  </si>
  <si>
    <t>1--7-Mayo</t>
  </si>
  <si>
    <t>R-10906-10922-10978</t>
  </si>
  <si>
    <t># 3201 B---# 3240 B</t>
  </si>
  <si>
    <t># 2916---# 2951 B</t>
  </si>
  <si>
    <t># 2952---# 2983 B</t>
  </si>
  <si>
    <t># 2984---# 3014 B</t>
  </si>
  <si>
    <t># 3015---# 3053 B</t>
  </si>
  <si>
    <t># 3054---# 3100 B</t>
  </si>
  <si>
    <t># 3101---# 3150 B</t>
  </si>
  <si>
    <t># 3151---# 3200 B</t>
  </si>
  <si>
    <t>R-10978-11030</t>
  </si>
  <si>
    <t>12588 D</t>
  </si>
  <si>
    <t>12592 D</t>
  </si>
  <si>
    <t>12743 D</t>
  </si>
  <si>
    <t>R-11030-11250-11393</t>
  </si>
  <si>
    <t># 3241 B---# 3275 B</t>
  </si>
  <si>
    <t># 3276 B---# 3305 B</t>
  </si>
  <si>
    <t>R-11393-11440</t>
  </si>
  <si>
    <t># 3306 B---# 3338 B</t>
  </si>
  <si>
    <t>R-11440-11447</t>
  </si>
  <si>
    <t># 3339 B ---# 3382 B</t>
  </si>
  <si>
    <t>R-11447-11559</t>
  </si>
  <si>
    <t># 3383 B ---# 3442 B</t>
  </si>
  <si>
    <t>R-11559-11750-11886</t>
  </si>
  <si>
    <t># 3443 B--- # 3500 B</t>
  </si>
  <si>
    <t>R-11886-12017-12150</t>
  </si>
  <si>
    <t># 3501 B--- # 3538 B</t>
  </si>
  <si>
    <t>R-12150</t>
  </si>
  <si>
    <t># 3539 B--- # 3564 B</t>
  </si>
  <si>
    <t>R-12150-12175</t>
  </si>
  <si>
    <t># 3565 B--- # 3590 B</t>
  </si>
  <si>
    <t>R-12175-12329</t>
  </si>
  <si>
    <t># 3591 B--- # 3622 B</t>
  </si>
  <si>
    <t>R-12329</t>
  </si>
  <si>
    <t>13-May --22-May</t>
  </si>
  <si>
    <t>12848 D</t>
  </si>
  <si>
    <t>12798 D</t>
  </si>
  <si>
    <t>13069 D</t>
  </si>
  <si>
    <t>13214 D</t>
  </si>
  <si>
    <t>13470 D</t>
  </si>
  <si>
    <t>13483 D</t>
  </si>
  <si>
    <t>13626 D</t>
  </si>
  <si>
    <t>13711 D</t>
  </si>
  <si>
    <t># 3623---# 3679 B</t>
  </si>
  <si>
    <t>R-12588--12592-12743</t>
  </si>
  <si>
    <t>8--14 May</t>
  </si>
  <si>
    <t>15-21 May</t>
  </si>
  <si>
    <t># 3680 B---# 3730 B</t>
  </si>
  <si>
    <t># 3731 B---# 3785 B</t>
  </si>
  <si>
    <t>R-12743-12798-12848</t>
  </si>
  <si>
    <t># 3786 B---# 3820 B</t>
  </si>
  <si>
    <t>R-12848-1369-13214</t>
  </si>
  <si>
    <t># 3821 B---# 3845 B</t>
  </si>
  <si>
    <t>R-13214</t>
  </si>
  <si>
    <t># 3846 B---# 3875 B</t>
  </si>
  <si>
    <t>R-13214-13470</t>
  </si>
  <si>
    <t># 3876 B--- # 3909 B</t>
  </si>
  <si>
    <t># 3910 B ---# 3970 B</t>
  </si>
  <si>
    <t>R-13470-13478-13483</t>
  </si>
  <si>
    <t># 3971 B---# 4022 B</t>
  </si>
  <si>
    <t>R-13483-13626-13711</t>
  </si>
  <si>
    <t># 4023 B---# 4070 B</t>
  </si>
  <si>
    <t>R-13711-13824-13870</t>
  </si>
  <si>
    <t>22-28-May</t>
  </si>
  <si>
    <t>13478 D</t>
  </si>
  <si>
    <t>SIN REMISION</t>
  </si>
  <si>
    <t>22-May --31-May</t>
  </si>
  <si>
    <t>13824 D</t>
  </si>
  <si>
    <t>13870 D</t>
  </si>
  <si>
    <t>14193 D</t>
  </si>
  <si>
    <t>14199 D</t>
  </si>
  <si>
    <t>14256 D</t>
  </si>
  <si>
    <t>14263 D</t>
  </si>
  <si>
    <t>14266 D</t>
  </si>
  <si>
    <t>14546 D</t>
  </si>
  <si>
    <t>14548 D</t>
  </si>
  <si>
    <t>14616 D</t>
  </si>
  <si>
    <t>14654 D</t>
  </si>
  <si>
    <t>14800 D</t>
  </si>
  <si>
    <t># 4071 B---# 4119 B</t>
  </si>
  <si>
    <t># 4120B---# 4142 B</t>
  </si>
  <si>
    <t># 4143 B ---# 4178 B</t>
  </si>
  <si>
    <t xml:space="preserve">BALANCE       DE     JUNIO             2 0 1 7      HERRADURA </t>
  </si>
  <si>
    <t>14920 D</t>
  </si>
  <si>
    <t>15168 D</t>
  </si>
  <si>
    <t>15218 D</t>
  </si>
  <si>
    <t>15504 D</t>
  </si>
  <si>
    <t>15480 D</t>
  </si>
  <si>
    <t># 4179---# 4212</t>
  </si>
  <si>
    <t>R-14193</t>
  </si>
  <si>
    <t>NOMINA 22</t>
  </si>
  <si>
    <t>NOMINA 23</t>
  </si>
  <si>
    <t>NOMINA 24</t>
  </si>
  <si>
    <t>NOMINA 25</t>
  </si>
  <si>
    <t># 4213---# 4268</t>
  </si>
  <si>
    <t xml:space="preserve">         APOYO CAMARAS </t>
  </si>
  <si>
    <t>R-14193-14199-14256-14263-14266-14546</t>
  </si>
  <si>
    <t># 4269---# 4327</t>
  </si>
  <si>
    <t>R-13870</t>
  </si>
  <si>
    <t>29-04 JUN</t>
  </si>
  <si>
    <t># 4328---# 4369</t>
  </si>
  <si>
    <t>R-14546-14616-14654</t>
  </si>
  <si>
    <t># 4403---# 4430</t>
  </si>
  <si>
    <t>R-14800-14920</t>
  </si>
  <si>
    <t>R-14654-14800</t>
  </si>
  <si>
    <t># 4370---# 4402</t>
  </si>
  <si>
    <t># 4431---# 4460</t>
  </si>
  <si>
    <t>R-14920-15168</t>
  </si>
  <si>
    <t># 4461---# 4496</t>
  </si>
  <si>
    <t>R-15168-15218</t>
  </si>
  <si>
    <t># 4497---# 4542</t>
  </si>
  <si>
    <t>R-15218</t>
  </si>
  <si>
    <t># 4543---# 4578</t>
  </si>
  <si>
    <t>R-15218-15480</t>
  </si>
  <si>
    <t>31-May -15-Jun</t>
  </si>
  <si>
    <t>15701 D</t>
  </si>
  <si>
    <t>15857 D</t>
  </si>
  <si>
    <t xml:space="preserve">BALANCE       DE     MARZO            2 0 1 7      HERRADURA </t>
  </si>
  <si>
    <t>16108 D</t>
  </si>
  <si>
    <t>16273 D</t>
  </si>
  <si>
    <t>16426 D</t>
  </si>
  <si>
    <t># 4579---# 4624</t>
  </si>
  <si>
    <t>R-15480-14548-15504-15857</t>
  </si>
  <si>
    <t>FANTAN</t>
  </si>
  <si>
    <t>05-11 JUN</t>
  </si>
  <si>
    <t># 4625---# 4655</t>
  </si>
  <si>
    <t>R-15857-15701-16108</t>
  </si>
  <si>
    <t># 4656---# 4682</t>
  </si>
  <si>
    <t>R-16108</t>
  </si>
  <si>
    <t># 4683---# 4713</t>
  </si>
  <si>
    <t>R-16108--PANZA</t>
  </si>
  <si>
    <t># 4714---# 4746</t>
  </si>
  <si>
    <t>R-16108-16273</t>
  </si>
  <si>
    <t># 4747--- # 4796</t>
  </si>
  <si>
    <t>PANZA</t>
  </si>
  <si>
    <t># 4797--- # 4874</t>
  </si>
  <si>
    <t>R-16273-16426</t>
  </si>
  <si>
    <t>16661 D</t>
  </si>
  <si>
    <t>16811 D</t>
  </si>
  <si>
    <t>16939 D</t>
  </si>
  <si>
    <t>16948 D</t>
  </si>
  <si>
    <t>16975 D</t>
  </si>
  <si>
    <t>12-18 JUNIO</t>
  </si>
  <si>
    <t># 4875---# 4930</t>
  </si>
  <si>
    <t>R-14426-16661</t>
  </si>
  <si>
    <t xml:space="preserve">15-Jun --23-Jun </t>
  </si>
  <si>
    <t>16934 D</t>
  </si>
  <si>
    <t>17231 D</t>
  </si>
  <si>
    <t>17234 D</t>
  </si>
  <si>
    <t>17267 D</t>
  </si>
  <si>
    <t>17384 D</t>
  </si>
  <si>
    <t>17447 D</t>
  </si>
  <si>
    <t>17477 D</t>
  </si>
  <si>
    <t>17575 D</t>
  </si>
  <si>
    <t>17618 D</t>
  </si>
  <si>
    <t># 4931---# 4968</t>
  </si>
  <si>
    <t>R-1661-16811-16934</t>
  </si>
  <si>
    <t>R-538 GG</t>
  </si>
  <si>
    <t>PAPEL</t>
  </si>
  <si>
    <t>R-16934-16939</t>
  </si>
  <si>
    <t># 4969---# 50102</t>
  </si>
  <si>
    <t># 50103---# 50141</t>
  </si>
  <si>
    <t>R-16939-16948-16975</t>
  </si>
  <si>
    <t># 50142---# 50179</t>
  </si>
  <si>
    <t>R-16975-17231</t>
  </si>
  <si>
    <t># 50180---# 50218</t>
  </si>
  <si>
    <t>R-17231-17234</t>
  </si>
  <si>
    <t># 50219---# 50279</t>
  </si>
  <si>
    <t>R-17234-17267-17384-17447-17477</t>
  </si>
  <si>
    <t>19-25 JUN</t>
  </si>
  <si>
    <t># 50280--- # 50334</t>
  </si>
  <si>
    <t>R-17477-17575-17618</t>
  </si>
  <si>
    <t>23-Jun --29-Jun</t>
  </si>
  <si>
    <t>17752 D</t>
  </si>
  <si>
    <t>17879 D</t>
  </si>
  <si>
    <t>17988 D</t>
  </si>
  <si>
    <t>18116 D</t>
  </si>
  <si>
    <t>18153 D</t>
  </si>
  <si>
    <t>Manto CAMARAS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</si>
</sst>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0;[Red]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rgb="FF0000FF"/>
      <name val="Calibri Light"/>
      <family val="1"/>
      <scheme val="major"/>
    </font>
    <font>
      <b/>
      <sz val="11"/>
      <color rgb="FF0000FF"/>
      <name val="Calibri"/>
      <family val="2"/>
    </font>
    <font>
      <b/>
      <sz val="11"/>
      <color theme="1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9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 val="singleAccounting"/>
      <sz val="11"/>
      <color theme="1"/>
      <name val="Calibri"/>
      <family val="2"/>
    </font>
    <font>
      <b/>
      <sz val="10"/>
      <color rgb="FF0000FF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  <scheme val="minor"/>
    </font>
    <font>
      <b/>
      <sz val="10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C8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auto="1"/>
      </right>
      <top/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1">
    <xf numFmtId="0" fontId="0" fillId="0" borderId="0" xfId="0"/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9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/>
    <xf numFmtId="44" fontId="5" fillId="0" borderId="6" xfId="1" applyFont="1" applyBorder="1"/>
    <xf numFmtId="165" fontId="5" fillId="0" borderId="0" xfId="0" applyNumberFormat="1" applyFont="1"/>
    <xf numFmtId="0" fontId="10" fillId="0" borderId="11" xfId="0" applyFont="1" applyBorder="1" applyAlignment="1">
      <alignment horizontal="center"/>
    </xf>
    <xf numFmtId="44" fontId="10" fillId="0" borderId="0" xfId="1" applyFont="1" applyBorder="1" applyAlignment="1">
      <alignment horizontal="center"/>
    </xf>
    <xf numFmtId="0" fontId="6" fillId="0" borderId="0" xfId="0" applyFont="1"/>
    <xf numFmtId="164" fontId="2" fillId="0" borderId="13" xfId="0" applyNumberFormat="1" applyFont="1" applyFill="1" applyBorder="1" applyAlignment="1">
      <alignment horizontal="center"/>
    </xf>
    <xf numFmtId="44" fontId="2" fillId="4" borderId="14" xfId="1" applyFont="1" applyFill="1" applyBorder="1"/>
    <xf numFmtId="165" fontId="5" fillId="0" borderId="0" xfId="0" applyNumberFormat="1" applyFont="1" applyFill="1"/>
    <xf numFmtId="15" fontId="2" fillId="0" borderId="15" xfId="0" applyNumberFormat="1" applyFont="1" applyFill="1" applyBorder="1"/>
    <xf numFmtId="44" fontId="2" fillId="4" borderId="16" xfId="1" applyFont="1" applyFill="1" applyBorder="1"/>
    <xf numFmtId="0" fontId="0" fillId="0" borderId="0" xfId="0" applyFill="1"/>
    <xf numFmtId="15" fontId="2" fillId="0" borderId="17" xfId="0" applyNumberFormat="1" applyFont="1" applyFill="1" applyBorder="1"/>
    <xf numFmtId="44" fontId="2" fillId="4" borderId="18" xfId="1" applyFont="1" applyFill="1" applyBorder="1"/>
    <xf numFmtId="44" fontId="2" fillId="0" borderId="19" xfId="1" applyFont="1" applyFill="1" applyBorder="1"/>
    <xf numFmtId="0" fontId="0" fillId="0" borderId="19" xfId="0" applyBorder="1"/>
    <xf numFmtId="0" fontId="0" fillId="0" borderId="2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11" fillId="0" borderId="0" xfId="1" applyFont="1" applyFill="1"/>
    <xf numFmtId="44" fontId="0" fillId="0" borderId="21" xfId="1" applyFont="1" applyBorder="1"/>
    <xf numFmtId="44" fontId="0" fillId="0" borderId="22" xfId="1" applyFont="1" applyBorder="1"/>
    <xf numFmtId="44" fontId="6" fillId="0" borderId="23" xfId="1" applyFont="1" applyBorder="1"/>
    <xf numFmtId="44" fontId="2" fillId="0" borderId="14" xfId="1" applyFont="1" applyFill="1" applyBorder="1"/>
    <xf numFmtId="44" fontId="2" fillId="0" borderId="16" xfId="1" applyFont="1" applyFill="1" applyBorder="1"/>
    <xf numFmtId="165" fontId="0" fillId="0" borderId="0" xfId="0" applyNumberForma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44" fontId="0" fillId="0" borderId="25" xfId="1" applyFont="1" applyBorder="1"/>
    <xf numFmtId="44" fontId="12" fillId="0" borderId="25" xfId="0" applyNumberFormat="1" applyFont="1" applyBorder="1"/>
    <xf numFmtId="0" fontId="0" fillId="5" borderId="0" xfId="0" applyFill="1" applyBorder="1"/>
    <xf numFmtId="165" fontId="0" fillId="6" borderId="0" xfId="0" applyNumberFormat="1" applyFill="1" applyBorder="1"/>
    <xf numFmtId="44" fontId="2" fillId="0" borderId="0" xfId="1" applyFont="1" applyFill="1"/>
    <xf numFmtId="44" fontId="6" fillId="0" borderId="25" xfId="0" applyNumberFormat="1" applyFont="1" applyBorder="1"/>
    <xf numFmtId="0" fontId="13" fillId="0" borderId="0" xfId="0" applyFont="1"/>
    <xf numFmtId="165" fontId="14" fillId="0" borderId="0" xfId="0" applyNumberFormat="1" applyFont="1" applyFill="1"/>
    <xf numFmtId="0" fontId="0" fillId="0" borderId="20" xfId="0" applyFont="1" applyFill="1" applyBorder="1" applyAlignment="1">
      <alignment horizontal="center"/>
    </xf>
    <xf numFmtId="165" fontId="15" fillId="0" borderId="0" xfId="0" applyNumberFormat="1" applyFont="1" applyFill="1"/>
    <xf numFmtId="44" fontId="16" fillId="0" borderId="0" xfId="1" applyFont="1" applyFill="1" applyBorder="1"/>
    <xf numFmtId="0" fontId="0" fillId="0" borderId="0" xfId="0" applyFill="1" applyBorder="1"/>
    <xf numFmtId="0" fontId="17" fillId="0" borderId="0" xfId="0" applyFont="1" applyBorder="1"/>
    <xf numFmtId="0" fontId="18" fillId="0" borderId="0" xfId="0" applyFont="1" applyFill="1" applyBorder="1"/>
    <xf numFmtId="44" fontId="0" fillId="0" borderId="0" xfId="1" applyFont="1" applyBorder="1" applyAlignment="1">
      <alignment horizontal="center"/>
    </xf>
    <xf numFmtId="44" fontId="19" fillId="0" borderId="0" xfId="1" applyFont="1" applyFill="1" applyBorder="1"/>
    <xf numFmtId="165" fontId="20" fillId="0" borderId="0" xfId="0" applyNumberFormat="1" applyFont="1" applyFill="1"/>
    <xf numFmtId="44" fontId="18" fillId="0" borderId="0" xfId="1" applyFont="1" applyFill="1" applyBorder="1"/>
    <xf numFmtId="16" fontId="18" fillId="0" borderId="0" xfId="0" applyNumberFormat="1" applyFont="1" applyBorder="1"/>
    <xf numFmtId="44" fontId="0" fillId="0" borderId="0" xfId="1" applyFont="1" applyBorder="1"/>
    <xf numFmtId="16" fontId="21" fillId="0" borderId="26" xfId="0" applyNumberFormat="1" applyFont="1" applyBorder="1"/>
    <xf numFmtId="0" fontId="15" fillId="0" borderId="26" xfId="0" applyFont="1" applyBorder="1"/>
    <xf numFmtId="16" fontId="15" fillId="0" borderId="26" xfId="0" applyNumberFormat="1" applyFont="1" applyBorder="1"/>
    <xf numFmtId="16" fontId="0" fillId="0" borderId="26" xfId="0" applyNumberFormat="1" applyBorder="1" applyAlignment="1">
      <alignment horizontal="left"/>
    </xf>
    <xf numFmtId="44" fontId="0" fillId="0" borderId="27" xfId="1" applyFont="1" applyBorder="1"/>
    <xf numFmtId="44" fontId="0" fillId="0" borderId="5" xfId="1" applyFont="1" applyBorder="1"/>
    <xf numFmtId="44" fontId="6" fillId="0" borderId="28" xfId="0" applyNumberFormat="1" applyFont="1" applyBorder="1"/>
    <xf numFmtId="16" fontId="2" fillId="0" borderId="26" xfId="0" applyNumberFormat="1" applyFont="1" applyBorder="1"/>
    <xf numFmtId="44" fontId="22" fillId="7" borderId="29" xfId="0" applyNumberFormat="1" applyFont="1" applyFill="1" applyBorder="1"/>
    <xf numFmtId="0" fontId="23" fillId="0" borderId="26" xfId="0" applyFont="1" applyBorder="1"/>
    <xf numFmtId="0" fontId="2" fillId="7" borderId="0" xfId="0" applyFont="1" applyFill="1"/>
    <xf numFmtId="0" fontId="0" fillId="7" borderId="0" xfId="0" applyFill="1"/>
    <xf numFmtId="16" fontId="16" fillId="0" borderId="26" xfId="0" applyNumberFormat="1" applyFont="1" applyBorder="1"/>
    <xf numFmtId="0" fontId="2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26" xfId="0" applyBorder="1"/>
    <xf numFmtId="16" fontId="0" fillId="0" borderId="26" xfId="0" applyNumberFormat="1" applyBorder="1"/>
    <xf numFmtId="0" fontId="2" fillId="3" borderId="26" xfId="0" applyFont="1" applyFill="1" applyBorder="1"/>
    <xf numFmtId="165" fontId="2" fillId="3" borderId="0" xfId="0" applyNumberFormat="1" applyFont="1" applyFill="1" applyBorder="1"/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164" fontId="16" fillId="0" borderId="31" xfId="0" applyNumberFormat="1" applyFont="1" applyBorder="1" applyAlignment="1">
      <alignment horizontal="center"/>
    </xf>
    <xf numFmtId="44" fontId="0" fillId="0" borderId="14" xfId="1" applyFont="1" applyBorder="1"/>
    <xf numFmtId="0" fontId="2" fillId="0" borderId="15" xfId="0" applyFont="1" applyBorder="1"/>
    <xf numFmtId="44" fontId="0" fillId="0" borderId="16" xfId="1" applyFont="1" applyBorder="1"/>
    <xf numFmtId="15" fontId="0" fillId="0" borderId="32" xfId="0" applyNumberFormat="1" applyFill="1" applyBorder="1"/>
    <xf numFmtId="44" fontId="0" fillId="0" borderId="33" xfId="1" applyFont="1" applyBorder="1"/>
    <xf numFmtId="165" fontId="0" fillId="0" borderId="16" xfId="0" applyNumberFormat="1" applyBorder="1"/>
    <xf numFmtId="164" fontId="8" fillId="0" borderId="27" xfId="0" applyNumberFormat="1" applyFont="1" applyBorder="1" applyAlignment="1">
      <alignment horizontal="center"/>
    </xf>
    <xf numFmtId="44" fontId="2" fillId="0" borderId="28" xfId="1" applyFont="1" applyBorder="1"/>
    <xf numFmtId="0" fontId="2" fillId="0" borderId="34" xfId="0" applyFont="1" applyBorder="1"/>
    <xf numFmtId="44" fontId="0" fillId="0" borderId="35" xfId="1" applyFont="1" applyBorder="1"/>
    <xf numFmtId="0" fontId="8" fillId="0" borderId="36" xfId="0" applyFont="1" applyBorder="1" applyAlignment="1">
      <alignment horizontal="center"/>
    </xf>
    <xf numFmtId="44" fontId="0" fillId="0" borderId="37" xfId="1" applyFont="1" applyBorder="1"/>
    <xf numFmtId="0" fontId="0" fillId="0" borderId="38" xfId="0" applyBorder="1"/>
    <xf numFmtId="165" fontId="0" fillId="0" borderId="35" xfId="0" applyNumberFormat="1" applyBorder="1"/>
    <xf numFmtId="44" fontId="2" fillId="0" borderId="27" xfId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24" fillId="0" borderId="0" xfId="0" applyFont="1" applyAlignment="1">
      <alignment horizontal="center"/>
    </xf>
    <xf numFmtId="44" fontId="24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0" fontId="2" fillId="0" borderId="0" xfId="0" applyFont="1" applyBorder="1"/>
    <xf numFmtId="165" fontId="13" fillId="0" borderId="40" xfId="0" applyNumberFormat="1" applyFont="1" applyBorder="1" applyAlignment="1">
      <alignment horizontal="center" vertical="center" wrapText="1"/>
    </xf>
    <xf numFmtId="44" fontId="25" fillId="0" borderId="0" xfId="1" applyFont="1" applyFill="1" applyBorder="1"/>
    <xf numFmtId="44" fontId="2" fillId="0" borderId="0" xfId="1" applyFont="1" applyBorder="1"/>
    <xf numFmtId="44" fontId="13" fillId="0" borderId="0" xfId="1" applyFont="1" applyAlignment="1">
      <alignment horizontal="center" vertical="center" wrapText="1"/>
    </xf>
    <xf numFmtId="44" fontId="2" fillId="0" borderId="4" xfId="1" applyFont="1" applyFill="1" applyBorder="1"/>
    <xf numFmtId="165" fontId="0" fillId="0" borderId="0" xfId="0" applyNumberForma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6" fillId="0" borderId="5" xfId="1" applyFont="1" applyBorder="1"/>
    <xf numFmtId="0" fontId="7" fillId="0" borderId="0" xfId="0" applyFont="1" applyFill="1" applyBorder="1" applyAlignment="1">
      <alignment vertical="center"/>
    </xf>
    <xf numFmtId="44" fontId="0" fillId="0" borderId="0" xfId="0" applyNumberFormat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6" fillId="0" borderId="7" xfId="0" applyNumberFormat="1" applyFont="1" applyBorder="1" applyAlignment="1">
      <alignment horizontal="center"/>
    </xf>
    <xf numFmtId="1" fontId="6" fillId="0" borderId="31" xfId="0" applyNumberFormat="1" applyFont="1" applyBorder="1" applyAlignment="1">
      <alignment horizontal="center"/>
    </xf>
    <xf numFmtId="44" fontId="6" fillId="0" borderId="31" xfId="1" applyFont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44" fontId="6" fillId="0" borderId="8" xfId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27" fillId="0" borderId="42" xfId="0" applyFont="1" applyFill="1" applyBorder="1" applyAlignment="1">
      <alignment horizontal="center"/>
    </xf>
    <xf numFmtId="44" fontId="25" fillId="0" borderId="42" xfId="1" applyFont="1" applyFill="1" applyBorder="1"/>
    <xf numFmtId="164" fontId="2" fillId="0" borderId="0" xfId="0" applyNumberFormat="1" applyFont="1" applyFill="1" applyBorder="1"/>
    <xf numFmtId="44" fontId="28" fillId="0" borderId="43" xfId="1" applyFont="1" applyFill="1" applyBorder="1"/>
    <xf numFmtId="0" fontId="29" fillId="0" borderId="0" xfId="0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0" fontId="27" fillId="0" borderId="39" xfId="0" applyFont="1" applyFill="1" applyBorder="1" applyAlignment="1">
      <alignment horizontal="center"/>
    </xf>
    <xf numFmtId="44" fontId="25" fillId="0" borderId="39" xfId="1" applyFont="1" applyFill="1" applyBorder="1"/>
    <xf numFmtId="44" fontId="2" fillId="0" borderId="44" xfId="1" applyFont="1" applyFill="1" applyBorder="1"/>
    <xf numFmtId="44" fontId="28" fillId="0" borderId="44" xfId="1" applyFont="1" applyFill="1" applyBorder="1"/>
    <xf numFmtId="0" fontId="2" fillId="0" borderId="0" xfId="0" applyFont="1" applyFill="1"/>
    <xf numFmtId="164" fontId="5" fillId="0" borderId="0" xfId="0" applyNumberFormat="1" applyFont="1" applyFill="1" applyBorder="1"/>
    <xf numFmtId="44" fontId="30" fillId="0" borderId="39" xfId="1" applyFont="1" applyFill="1" applyBorder="1"/>
    <xf numFmtId="44" fontId="2" fillId="0" borderId="25" xfId="1" applyFont="1" applyBorder="1"/>
    <xf numFmtId="0" fontId="0" fillId="0" borderId="45" xfId="0" applyBorder="1"/>
    <xf numFmtId="164" fontId="2" fillId="0" borderId="45" xfId="0" applyNumberFormat="1" applyFont="1" applyBorder="1" applyAlignment="1">
      <alignment horizontal="center"/>
    </xf>
    <xf numFmtId="44" fontId="0" fillId="0" borderId="45" xfId="1" applyFont="1" applyBorder="1"/>
    <xf numFmtId="44" fontId="2" fillId="0" borderId="45" xfId="1" applyFont="1" applyBorder="1"/>
    <xf numFmtId="44" fontId="2" fillId="0" borderId="0" xfId="0" applyNumberFormat="1" applyFont="1"/>
    <xf numFmtId="44" fontId="2" fillId="0" borderId="0" xfId="0" applyNumberFormat="1" applyFont="1" applyFill="1"/>
    <xf numFmtId="44" fontId="6" fillId="0" borderId="0" xfId="1" applyFont="1"/>
    <xf numFmtId="164" fontId="31" fillId="0" borderId="25" xfId="0" applyNumberFormat="1" applyFont="1" applyFill="1" applyBorder="1" applyAlignment="1">
      <alignment horizontal="center"/>
    </xf>
    <xf numFmtId="44" fontId="2" fillId="0" borderId="25" xfId="1" applyFont="1" applyFill="1" applyBorder="1"/>
    <xf numFmtId="44" fontId="5" fillId="0" borderId="25" xfId="1" applyFont="1" applyFill="1" applyBorder="1"/>
    <xf numFmtId="164" fontId="34" fillId="6" borderId="0" xfId="1" applyNumberFormat="1" applyFont="1" applyFill="1" applyBorder="1" applyAlignment="1">
      <alignment horizontal="center"/>
    </xf>
    <xf numFmtId="164" fontId="25" fillId="0" borderId="0" xfId="1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/>
    </xf>
    <xf numFmtId="44" fontId="2" fillId="6" borderId="0" xfId="1" applyFont="1" applyFill="1"/>
    <xf numFmtId="1" fontId="2" fillId="0" borderId="4" xfId="0" applyNumberFormat="1" applyFont="1" applyFill="1" applyBorder="1" applyAlignment="1">
      <alignment horizontal="center"/>
    </xf>
    <xf numFmtId="44" fontId="25" fillId="0" borderId="4" xfId="1" applyFont="1" applyFill="1" applyBorder="1"/>
    <xf numFmtId="1" fontId="25" fillId="0" borderId="4" xfId="1" applyNumberFormat="1" applyFont="1" applyFill="1" applyBorder="1" applyAlignment="1">
      <alignment horizontal="center"/>
    </xf>
    <xf numFmtId="44" fontId="28" fillId="0" borderId="4" xfId="1" applyFont="1" applyFill="1" applyBorder="1"/>
    <xf numFmtId="0" fontId="2" fillId="0" borderId="4" xfId="0" applyFont="1" applyFill="1" applyBorder="1"/>
    <xf numFmtId="0" fontId="6" fillId="0" borderId="25" xfId="0" applyFont="1" applyFill="1" applyBorder="1"/>
    <xf numFmtId="1" fontId="6" fillId="0" borderId="41" xfId="0" applyNumberFormat="1" applyFont="1" applyFill="1" applyBorder="1" applyAlignment="1">
      <alignment horizontal="center"/>
    </xf>
    <xf numFmtId="44" fontId="2" fillId="0" borderId="41" xfId="1" applyFont="1" applyFill="1" applyBorder="1"/>
    <xf numFmtId="164" fontId="2" fillId="0" borderId="41" xfId="0" applyNumberFormat="1" applyFont="1" applyFill="1" applyBorder="1"/>
    <xf numFmtId="44" fontId="30" fillId="0" borderId="41" xfId="1" applyFont="1" applyFill="1" applyBorder="1" applyAlignment="1">
      <alignment horizontal="left" wrapText="1"/>
    </xf>
    <xf numFmtId="44" fontId="35" fillId="0" borderId="41" xfId="1" applyFont="1" applyFill="1" applyBorder="1" applyAlignment="1">
      <alignment horizontal="left" wrapText="1"/>
    </xf>
    <xf numFmtId="44" fontId="36" fillId="0" borderId="41" xfId="1" applyFont="1" applyFill="1" applyBorder="1" applyAlignment="1">
      <alignment horizontal="center" wrapText="1"/>
    </xf>
    <xf numFmtId="44" fontId="28" fillId="0" borderId="25" xfId="1" applyFont="1" applyFill="1" applyBorder="1"/>
    <xf numFmtId="164" fontId="2" fillId="0" borderId="25" xfId="0" applyNumberFormat="1" applyFont="1" applyFill="1" applyBorder="1"/>
    <xf numFmtId="44" fontId="37" fillId="0" borderId="41" xfId="1" applyFont="1" applyFill="1" applyBorder="1" applyAlignment="1">
      <alignment horizontal="left" wrapText="1"/>
    </xf>
    <xf numFmtId="164" fontId="31" fillId="0" borderId="25" xfId="0" applyNumberFormat="1" applyFont="1" applyBorder="1" applyAlignment="1">
      <alignment horizontal="center"/>
    </xf>
    <xf numFmtId="44" fontId="2" fillId="8" borderId="0" xfId="1" applyFont="1" applyFill="1"/>
    <xf numFmtId="44" fontId="25" fillId="0" borderId="41" xfId="1" applyFont="1" applyFill="1" applyBorder="1" applyAlignment="1">
      <alignment horizontal="left" wrapText="1"/>
    </xf>
    <xf numFmtId="44" fontId="30" fillId="0" borderId="25" xfId="1" applyFont="1" applyFill="1" applyBorder="1" applyAlignment="1">
      <alignment horizontal="left" wrapText="1"/>
    </xf>
    <xf numFmtId="1" fontId="25" fillId="0" borderId="39" xfId="1" applyNumberFormat="1" applyFont="1" applyFill="1" applyBorder="1" applyAlignment="1">
      <alignment horizontal="center"/>
    </xf>
    <xf numFmtId="1" fontId="38" fillId="0" borderId="25" xfId="0" applyNumberFormat="1" applyFont="1" applyBorder="1" applyAlignment="1">
      <alignment horizontal="center"/>
    </xf>
    <xf numFmtId="0" fontId="29" fillId="0" borderId="42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38" fillId="0" borderId="39" xfId="0" applyNumberFormat="1" applyFont="1" applyBorder="1" applyAlignment="1">
      <alignment horizontal="center"/>
    </xf>
    <xf numFmtId="44" fontId="2" fillId="0" borderId="39" xfId="1" applyFont="1" applyBorder="1"/>
    <xf numFmtId="44" fontId="6" fillId="0" borderId="0" xfId="1" applyFont="1" applyFill="1"/>
    <xf numFmtId="0" fontId="29" fillId="0" borderId="46" xfId="0" applyFont="1" applyFill="1" applyBorder="1" applyAlignment="1">
      <alignment horizontal="center"/>
    </xf>
    <xf numFmtId="44" fontId="25" fillId="0" borderId="46" xfId="1" applyFont="1" applyFill="1" applyBorder="1"/>
    <xf numFmtId="44" fontId="30" fillId="0" borderId="47" xfId="1" applyFont="1" applyFill="1" applyBorder="1" applyAlignment="1">
      <alignment horizontal="left" wrapText="1"/>
    </xf>
    <xf numFmtId="1" fontId="6" fillId="0" borderId="47" xfId="0" applyNumberFormat="1" applyFont="1" applyFill="1" applyBorder="1" applyAlignment="1">
      <alignment horizontal="center"/>
    </xf>
    <xf numFmtId="44" fontId="2" fillId="0" borderId="45" xfId="1" applyFont="1" applyFill="1" applyBorder="1"/>
    <xf numFmtId="164" fontId="2" fillId="0" borderId="45" xfId="0" applyNumberFormat="1" applyFont="1" applyFill="1" applyBorder="1"/>
    <xf numFmtId="44" fontId="30" fillId="0" borderId="0" xfId="1" applyFont="1" applyFill="1" applyBorder="1" applyAlignment="1">
      <alignment horizontal="left" wrapText="1"/>
    </xf>
    <xf numFmtId="1" fontId="6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6" xfId="0" applyFont="1" applyFill="1" applyBorder="1"/>
    <xf numFmtId="165" fontId="2" fillId="0" borderId="0" xfId="0" applyNumberFormat="1" applyFont="1" applyFill="1" applyBorder="1"/>
    <xf numFmtId="44" fontId="2" fillId="0" borderId="18" xfId="1" applyFont="1" applyFill="1" applyBorder="1"/>
    <xf numFmtId="1" fontId="2" fillId="0" borderId="0" xfId="0" applyNumberFormat="1" applyFont="1" applyFill="1" applyBorder="1"/>
    <xf numFmtId="164" fontId="34" fillId="5" borderId="0" xfId="1" applyNumberFormat="1" applyFont="1" applyFill="1" applyBorder="1" applyAlignment="1">
      <alignment horizontal="center"/>
    </xf>
    <xf numFmtId="0" fontId="27" fillId="0" borderId="25" xfId="0" applyFont="1" applyFill="1" applyBorder="1" applyAlignment="1">
      <alignment horizontal="center"/>
    </xf>
    <xf numFmtId="44" fontId="25" fillId="0" borderId="25" xfId="1" applyFont="1" applyFill="1" applyBorder="1"/>
    <xf numFmtId="44" fontId="25" fillId="0" borderId="25" xfId="1" applyFont="1" applyFill="1" applyBorder="1" applyAlignment="1">
      <alignment horizontal="left" wrapText="1"/>
    </xf>
    <xf numFmtId="1" fontId="6" fillId="0" borderId="25" xfId="0" applyNumberFormat="1" applyFont="1" applyFill="1" applyBorder="1" applyAlignment="1">
      <alignment horizontal="center"/>
    </xf>
    <xf numFmtId="0" fontId="29" fillId="0" borderId="48" xfId="0" applyFont="1" applyFill="1" applyBorder="1" applyAlignment="1">
      <alignment horizontal="center"/>
    </xf>
    <xf numFmtId="44" fontId="25" fillId="0" borderId="48" xfId="1" applyFont="1" applyFill="1" applyBorder="1"/>
    <xf numFmtId="44" fontId="2" fillId="0" borderId="47" xfId="1" applyFont="1" applyFill="1" applyBorder="1"/>
    <xf numFmtId="164" fontId="2" fillId="0" borderId="47" xfId="0" applyNumberFormat="1" applyFont="1" applyFill="1" applyBorder="1"/>
    <xf numFmtId="164" fontId="34" fillId="9" borderId="0" xfId="1" applyNumberFormat="1" applyFont="1" applyFill="1" applyBorder="1" applyAlignment="1">
      <alignment horizontal="center"/>
    </xf>
    <xf numFmtId="44" fontId="34" fillId="0" borderId="41" xfId="1" applyFont="1" applyFill="1" applyBorder="1" applyAlignment="1">
      <alignment horizontal="left" wrapText="1"/>
    </xf>
    <xf numFmtId="44" fontId="11" fillId="0" borderId="0" xfId="0" applyNumberFormat="1" applyFont="1"/>
    <xf numFmtId="0" fontId="27" fillId="10" borderId="42" xfId="0" applyFont="1" applyFill="1" applyBorder="1" applyAlignment="1">
      <alignment horizontal="center"/>
    </xf>
    <xf numFmtId="0" fontId="27" fillId="10" borderId="39" xfId="0" applyFont="1" applyFill="1" applyBorder="1" applyAlignment="1">
      <alignment horizontal="center"/>
    </xf>
    <xf numFmtId="1" fontId="38" fillId="10" borderId="25" xfId="0" applyNumberFormat="1" applyFont="1" applyFill="1" applyBorder="1" applyAlignment="1">
      <alignment horizontal="center"/>
    </xf>
    <xf numFmtId="0" fontId="0" fillId="0" borderId="25" xfId="0" applyBorder="1"/>
    <xf numFmtId="0" fontId="6" fillId="0" borderId="25" xfId="0" applyFont="1" applyBorder="1" applyAlignment="1">
      <alignment horizontal="center"/>
    </xf>
    <xf numFmtId="164" fontId="16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6" fillId="0" borderId="41" xfId="0" applyFont="1" applyFill="1" applyBorder="1"/>
    <xf numFmtId="164" fontId="34" fillId="11" borderId="4" xfId="1" applyNumberFormat="1" applyFont="1" applyFill="1" applyBorder="1" applyAlignment="1">
      <alignment horizontal="center"/>
    </xf>
    <xf numFmtId="164" fontId="25" fillId="0" borderId="4" xfId="1" applyNumberFormat="1" applyFont="1" applyFill="1" applyBorder="1" applyAlignment="1">
      <alignment horizontal="center"/>
    </xf>
    <xf numFmtId="1" fontId="34" fillId="0" borderId="4" xfId="0" applyNumberFormat="1" applyFont="1" applyFill="1" applyBorder="1" applyAlignment="1">
      <alignment horizontal="center"/>
    </xf>
    <xf numFmtId="164" fontId="2" fillId="10" borderId="25" xfId="0" applyNumberFormat="1" applyFont="1" applyFill="1" applyBorder="1" applyAlignment="1">
      <alignment horizontal="center"/>
    </xf>
    <xf numFmtId="44" fontId="25" fillId="10" borderId="39" xfId="1" applyFont="1" applyFill="1" applyBorder="1"/>
    <xf numFmtId="44" fontId="30" fillId="10" borderId="41" xfId="1" applyFont="1" applyFill="1" applyBorder="1" applyAlignment="1">
      <alignment horizontal="left" wrapText="1"/>
    </xf>
    <xf numFmtId="0" fontId="27" fillId="6" borderId="39" xfId="0" applyFont="1" applyFill="1" applyBorder="1" applyAlignment="1">
      <alignment horizontal="center"/>
    </xf>
    <xf numFmtId="44" fontId="25" fillId="6" borderId="39" xfId="1" applyFont="1" applyFill="1" applyBorder="1"/>
    <xf numFmtId="44" fontId="2" fillId="12" borderId="0" xfId="1" applyFont="1" applyFill="1" applyBorder="1"/>
    <xf numFmtId="44" fontId="25" fillId="12" borderId="0" xfId="1" applyFont="1" applyFill="1" applyBorder="1"/>
    <xf numFmtId="44" fontId="30" fillId="12" borderId="0" xfId="1" applyFont="1" applyFill="1" applyBorder="1" applyAlignment="1">
      <alignment horizontal="left" wrapText="1"/>
    </xf>
    <xf numFmtId="1" fontId="6" fillId="12" borderId="0" xfId="0" applyNumberFormat="1" applyFont="1" applyFill="1" applyBorder="1" applyAlignment="1">
      <alignment horizontal="center"/>
    </xf>
    <xf numFmtId="0" fontId="27" fillId="6" borderId="42" xfId="0" applyFont="1" applyFill="1" applyBorder="1" applyAlignment="1">
      <alignment horizontal="center"/>
    </xf>
    <xf numFmtId="44" fontId="25" fillId="6" borderId="42" xfId="1" applyFont="1" applyFill="1" applyBorder="1"/>
    <xf numFmtId="44" fontId="30" fillId="6" borderId="41" xfId="1" applyFont="1" applyFill="1" applyBorder="1" applyAlignment="1">
      <alignment horizontal="left" wrapText="1"/>
    </xf>
    <xf numFmtId="1" fontId="6" fillId="6" borderId="41" xfId="0" applyNumberFormat="1" applyFont="1" applyFill="1" applyBorder="1" applyAlignment="1">
      <alignment horizontal="center"/>
    </xf>
    <xf numFmtId="44" fontId="2" fillId="6" borderId="41" xfId="1" applyFont="1" applyFill="1" applyBorder="1"/>
    <xf numFmtId="164" fontId="2" fillId="6" borderId="41" xfId="0" applyNumberFormat="1" applyFont="1" applyFill="1" applyBorder="1"/>
    <xf numFmtId="44" fontId="36" fillId="6" borderId="41" xfId="1" applyFont="1" applyFill="1" applyBorder="1" applyAlignment="1">
      <alignment horizontal="center" wrapText="1"/>
    </xf>
    <xf numFmtId="44" fontId="28" fillId="6" borderId="25" xfId="1" applyFont="1" applyFill="1" applyBorder="1"/>
    <xf numFmtId="164" fontId="2" fillId="6" borderId="25" xfId="0" applyNumberFormat="1" applyFont="1" applyFill="1" applyBorder="1"/>
    <xf numFmtId="44" fontId="37" fillId="6" borderId="41" xfId="1" applyFont="1" applyFill="1" applyBorder="1" applyAlignment="1">
      <alignment horizontal="left" wrapText="1"/>
    </xf>
    <xf numFmtId="44" fontId="2" fillId="6" borderId="25" xfId="1" applyFont="1" applyFill="1" applyBorder="1"/>
    <xf numFmtId="164" fontId="31" fillId="6" borderId="25" xfId="0" applyNumberFormat="1" applyFont="1" applyFill="1" applyBorder="1" applyAlignment="1">
      <alignment horizontal="center"/>
    </xf>
    <xf numFmtId="0" fontId="27" fillId="6" borderId="25" xfId="0" applyFont="1" applyFill="1" applyBorder="1" applyAlignment="1">
      <alignment horizontal="center"/>
    </xf>
    <xf numFmtId="44" fontId="25" fillId="6" borderId="25" xfId="1" applyFont="1" applyFill="1" applyBorder="1"/>
    <xf numFmtId="44" fontId="25" fillId="6" borderId="25" xfId="1" applyFont="1" applyFill="1" applyBorder="1" applyAlignment="1">
      <alignment horizontal="left" wrapText="1"/>
    </xf>
    <xf numFmtId="1" fontId="6" fillId="6" borderId="25" xfId="0" applyNumberFormat="1" applyFont="1" applyFill="1" applyBorder="1" applyAlignment="1">
      <alignment horizontal="center"/>
    </xf>
    <xf numFmtId="0" fontId="0" fillId="6" borderId="0" xfId="0" applyFill="1"/>
    <xf numFmtId="0" fontId="0" fillId="6" borderId="25" xfId="0" applyFill="1" applyBorder="1"/>
    <xf numFmtId="0" fontId="6" fillId="6" borderId="25" xfId="0" applyFont="1" applyFill="1" applyBorder="1" applyAlignment="1">
      <alignment horizontal="center"/>
    </xf>
    <xf numFmtId="44" fontId="6" fillId="6" borderId="0" xfId="1" applyFont="1" applyFill="1"/>
    <xf numFmtId="0" fontId="29" fillId="6" borderId="48" xfId="0" applyFont="1" applyFill="1" applyBorder="1" applyAlignment="1">
      <alignment horizontal="center"/>
    </xf>
    <xf numFmtId="44" fontId="25" fillId="6" borderId="48" xfId="1" applyFont="1" applyFill="1" applyBorder="1"/>
    <xf numFmtId="44" fontId="30" fillId="6" borderId="47" xfId="1" applyFont="1" applyFill="1" applyBorder="1" applyAlignment="1">
      <alignment horizontal="left" wrapText="1"/>
    </xf>
    <xf numFmtId="1" fontId="6" fillId="6" borderId="47" xfId="0" applyNumberFormat="1" applyFont="1" applyFill="1" applyBorder="1" applyAlignment="1">
      <alignment horizontal="center"/>
    </xf>
    <xf numFmtId="44" fontId="2" fillId="6" borderId="47" xfId="1" applyFont="1" applyFill="1" applyBorder="1"/>
    <xf numFmtId="44" fontId="2" fillId="6" borderId="0" xfId="1" applyFont="1" applyFill="1" applyBorder="1"/>
    <xf numFmtId="0" fontId="29" fillId="6" borderId="0" xfId="0" applyFont="1" applyFill="1" applyBorder="1" applyAlignment="1">
      <alignment horizontal="center"/>
    </xf>
    <xf numFmtId="164" fontId="2" fillId="6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44" fontId="28" fillId="0" borderId="0" xfId="1" applyFont="1" applyFill="1" applyBorder="1"/>
    <xf numFmtId="44" fontId="30" fillId="0" borderId="0" xfId="1" applyFont="1" applyFill="1" applyBorder="1"/>
    <xf numFmtId="164" fontId="31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164" fontId="2" fillId="0" borderId="45" xfId="0" applyNumberFormat="1" applyFont="1" applyFill="1" applyBorder="1" applyAlignment="1">
      <alignment horizontal="center"/>
    </xf>
    <xf numFmtId="0" fontId="27" fillId="0" borderId="46" xfId="0" applyFont="1" applyFill="1" applyBorder="1" applyAlignment="1">
      <alignment horizontal="center"/>
    </xf>
    <xf numFmtId="164" fontId="2" fillId="0" borderId="4" xfId="0" applyNumberFormat="1" applyFont="1" applyFill="1" applyBorder="1"/>
    <xf numFmtId="44" fontId="28" fillId="0" borderId="49" xfId="1" applyFont="1" applyFill="1" applyBorder="1"/>
    <xf numFmtId="164" fontId="2" fillId="0" borderId="0" xfId="0" applyNumberFormat="1" applyFont="1" applyBorder="1" applyAlignment="1">
      <alignment horizontal="center"/>
    </xf>
    <xf numFmtId="44" fontId="2" fillId="0" borderId="0" xfId="0" applyNumberFormat="1" applyFont="1" applyBorder="1"/>
    <xf numFmtId="44" fontId="2" fillId="0" borderId="0" xfId="0" applyNumberFormat="1" applyFont="1" applyFill="1" applyBorder="1"/>
    <xf numFmtId="165" fontId="0" fillId="12" borderId="0" xfId="0" applyNumberFormat="1" applyFill="1" applyBorder="1"/>
    <xf numFmtId="0" fontId="0" fillId="0" borderId="25" xfId="0" applyFill="1" applyBorder="1"/>
    <xf numFmtId="0" fontId="6" fillId="0" borderId="25" xfId="0" applyFont="1" applyFill="1" applyBorder="1" applyAlignment="1">
      <alignment horizontal="center"/>
    </xf>
    <xf numFmtId="0" fontId="0" fillId="0" borderId="50" xfId="0" applyBorder="1"/>
    <xf numFmtId="0" fontId="0" fillId="0" borderId="52" xfId="0" applyBorder="1"/>
    <xf numFmtId="44" fontId="6" fillId="0" borderId="11" xfId="1" applyFont="1" applyFill="1" applyBorder="1"/>
    <xf numFmtId="166" fontId="6" fillId="0" borderId="25" xfId="1" applyNumberFormat="1" applyFont="1" applyFill="1" applyBorder="1" applyAlignment="1">
      <alignment horizontal="center"/>
    </xf>
    <xf numFmtId="44" fontId="6" fillId="0" borderId="51" xfId="0" applyNumberFormat="1" applyFont="1" applyBorder="1"/>
    <xf numFmtId="0" fontId="6" fillId="0" borderId="51" xfId="0" applyFont="1" applyBorder="1"/>
    <xf numFmtId="44" fontId="40" fillId="0" borderId="41" xfId="1" applyFont="1" applyFill="1" applyBorder="1" applyAlignment="1">
      <alignment horizontal="left" wrapText="1"/>
    </xf>
    <xf numFmtId="44" fontId="2" fillId="12" borderId="0" xfId="1" applyFont="1" applyFill="1"/>
    <xf numFmtId="164" fontId="5" fillId="6" borderId="0" xfId="0" applyNumberFormat="1" applyFont="1" applyFill="1" applyBorder="1"/>
    <xf numFmtId="44" fontId="30" fillId="6" borderId="39" xfId="1" applyFont="1" applyFill="1" applyBorder="1"/>
    <xf numFmtId="0" fontId="2" fillId="0" borderId="0" xfId="0" applyFont="1" applyAlignment="1">
      <alignment horizontal="center"/>
    </xf>
    <xf numFmtId="1" fontId="38" fillId="0" borderId="25" xfId="0" applyNumberFormat="1" applyFont="1" applyFill="1" applyBorder="1" applyAlignment="1">
      <alignment horizontal="center"/>
    </xf>
    <xf numFmtId="164" fontId="34" fillId="13" borderId="4" xfId="1" applyNumberFormat="1" applyFont="1" applyFill="1" applyBorder="1" applyAlignment="1">
      <alignment horizontal="center"/>
    </xf>
    <xf numFmtId="44" fontId="6" fillId="0" borderId="0" xfId="1" applyFont="1" applyFill="1" applyBorder="1"/>
    <xf numFmtId="0" fontId="41" fillId="0" borderId="0" xfId="0" applyFont="1" applyFill="1" applyAlignment="1">
      <alignment horizontal="center"/>
    </xf>
    <xf numFmtId="0" fontId="2" fillId="14" borderId="0" xfId="0" applyFont="1" applyFill="1"/>
    <xf numFmtId="164" fontId="2" fillId="0" borderId="53" xfId="0" applyNumberFormat="1" applyFont="1" applyFill="1" applyBorder="1" applyAlignment="1">
      <alignment horizontal="center"/>
    </xf>
    <xf numFmtId="44" fontId="25" fillId="0" borderId="54" xfId="1" applyFont="1" applyFill="1" applyBorder="1"/>
    <xf numFmtId="44" fontId="28" fillId="0" borderId="55" xfId="1" applyFont="1" applyFill="1" applyBorder="1"/>
    <xf numFmtId="0" fontId="42" fillId="0" borderId="54" xfId="0" applyFont="1" applyFill="1" applyBorder="1" applyAlignment="1">
      <alignment horizontal="center"/>
    </xf>
    <xf numFmtId="0" fontId="43" fillId="0" borderId="25" xfId="0" applyFont="1" applyBorder="1" applyAlignment="1">
      <alignment horizontal="center"/>
    </xf>
    <xf numFmtId="44" fontId="36" fillId="0" borderId="25" xfId="1" applyFont="1" applyFill="1" applyBorder="1" applyAlignment="1">
      <alignment horizontal="center" wrapText="1"/>
    </xf>
    <xf numFmtId="44" fontId="37" fillId="0" borderId="25" xfId="1" applyFont="1" applyFill="1" applyBorder="1" applyAlignment="1">
      <alignment horizontal="left" wrapText="1"/>
    </xf>
    <xf numFmtId="44" fontId="25" fillId="0" borderId="53" xfId="1" applyFont="1" applyFill="1" applyBorder="1"/>
    <xf numFmtId="1" fontId="6" fillId="0" borderId="53" xfId="0" applyNumberFormat="1" applyFont="1" applyFill="1" applyBorder="1" applyAlignment="1">
      <alignment horizontal="center"/>
    </xf>
    <xf numFmtId="44" fontId="2" fillId="0" borderId="53" xfId="1" applyFont="1" applyFill="1" applyBorder="1"/>
    <xf numFmtId="164" fontId="2" fillId="0" borderId="53" xfId="0" applyNumberFormat="1" applyFont="1" applyFill="1" applyBorder="1"/>
    <xf numFmtId="164" fontId="43" fillId="0" borderId="25" xfId="0" applyNumberFormat="1" applyFont="1" applyBorder="1" applyAlignment="1">
      <alignment horizontal="center"/>
    </xf>
    <xf numFmtId="0" fontId="0" fillId="0" borderId="53" xfId="0" applyBorder="1"/>
    <xf numFmtId="0" fontId="43" fillId="0" borderId="53" xfId="0" applyFont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42" fillId="0" borderId="0" xfId="0" applyFont="1" applyFill="1" applyBorder="1" applyAlignment="1">
      <alignment horizontal="center"/>
    </xf>
    <xf numFmtId="44" fontId="35" fillId="0" borderId="0" xfId="1" applyFont="1" applyFill="1" applyBorder="1" applyAlignment="1">
      <alignment horizontal="left" wrapText="1"/>
    </xf>
    <xf numFmtId="0" fontId="43" fillId="0" borderId="0" xfId="0" applyFont="1" applyBorder="1" applyAlignment="1">
      <alignment horizontal="center"/>
    </xf>
    <xf numFmtId="44" fontId="40" fillId="0" borderId="0" xfId="1" applyFont="1" applyFill="1" applyBorder="1" applyAlignment="1">
      <alignment horizontal="left" wrapText="1"/>
    </xf>
    <xf numFmtId="44" fontId="36" fillId="0" borderId="0" xfId="1" applyFont="1" applyFill="1" applyBorder="1" applyAlignment="1">
      <alignment horizontal="center" wrapText="1"/>
    </xf>
    <xf numFmtId="44" fontId="37" fillId="0" borderId="0" xfId="1" applyFont="1" applyFill="1" applyBorder="1" applyAlignment="1">
      <alignment horizontal="left" wrapText="1"/>
    </xf>
    <xf numFmtId="164" fontId="43" fillId="0" borderId="0" xfId="0" applyNumberFormat="1" applyFont="1" applyBorder="1" applyAlignment="1">
      <alignment horizontal="center"/>
    </xf>
    <xf numFmtId="44" fontId="44" fillId="0" borderId="0" xfId="1" applyFont="1" applyFill="1" applyBorder="1" applyAlignment="1">
      <alignment horizontal="left" wrapText="1"/>
    </xf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4" fontId="7" fillId="0" borderId="0" xfId="0" applyNumberFormat="1" applyFont="1" applyFill="1" applyBorder="1"/>
    <xf numFmtId="44" fontId="2" fillId="0" borderId="53" xfId="1" applyFont="1" applyBorder="1"/>
    <xf numFmtId="44" fontId="6" fillId="0" borderId="25" xfId="1" applyFont="1" applyFill="1" applyBorder="1"/>
    <xf numFmtId="44" fontId="44" fillId="0" borderId="25" xfId="1" applyFont="1" applyFill="1" applyBorder="1" applyAlignment="1">
      <alignment horizontal="left" wrapText="1"/>
    </xf>
    <xf numFmtId="0" fontId="27" fillId="0" borderId="53" xfId="0" applyFont="1" applyFill="1" applyBorder="1" applyAlignment="1">
      <alignment horizontal="center"/>
    </xf>
    <xf numFmtId="0" fontId="0" fillId="0" borderId="53" xfId="0" applyFill="1" applyBorder="1"/>
    <xf numFmtId="0" fontId="6" fillId="0" borderId="53" xfId="0" applyFont="1" applyFill="1" applyBorder="1" applyAlignment="1">
      <alignment horizontal="center"/>
    </xf>
    <xf numFmtId="44" fontId="34" fillId="0" borderId="51" xfId="1" applyFont="1" applyFill="1" applyBorder="1" applyAlignment="1">
      <alignment horizontal="center"/>
    </xf>
    <xf numFmtId="164" fontId="25" fillId="0" borderId="51" xfId="1" applyNumberFormat="1" applyFont="1" applyFill="1" applyBorder="1" applyAlignment="1">
      <alignment horizontal="center"/>
    </xf>
    <xf numFmtId="1" fontId="6" fillId="0" borderId="51" xfId="0" applyNumberFormat="1" applyFont="1" applyFill="1" applyBorder="1" applyAlignment="1">
      <alignment horizontal="center"/>
    </xf>
    <xf numFmtId="164" fontId="2" fillId="0" borderId="52" xfId="0" applyNumberFormat="1" applyFont="1" applyFill="1" applyBorder="1"/>
    <xf numFmtId="44" fontId="7" fillId="0" borderId="51" xfId="1" applyFont="1" applyFill="1" applyBorder="1"/>
    <xf numFmtId="44" fontId="25" fillId="0" borderId="53" xfId="1" applyFont="1" applyFill="1" applyBorder="1" applyAlignment="1">
      <alignment horizontal="left" wrapText="1"/>
    </xf>
    <xf numFmtId="44" fontId="2" fillId="15" borderId="0" xfId="1" applyFont="1" applyFill="1"/>
    <xf numFmtId="44" fontId="2" fillId="15" borderId="0" xfId="1" applyFont="1" applyFill="1" applyBorder="1"/>
    <xf numFmtId="44" fontId="6" fillId="15" borderId="31" xfId="1" applyFont="1" applyFill="1" applyBorder="1"/>
    <xf numFmtId="164" fontId="18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164" fontId="6" fillId="0" borderId="25" xfId="0" applyNumberFormat="1" applyFont="1" applyFill="1" applyBorder="1" applyAlignment="1">
      <alignment horizontal="center"/>
    </xf>
    <xf numFmtId="44" fontId="45" fillId="0" borderId="25" xfId="1" applyFont="1" applyFill="1" applyBorder="1"/>
    <xf numFmtId="44" fontId="46" fillId="0" borderId="25" xfId="1" applyFont="1" applyFill="1" applyBorder="1"/>
    <xf numFmtId="0" fontId="0" fillId="0" borderId="51" xfId="0" applyBorder="1"/>
    <xf numFmtId="44" fontId="6" fillId="0" borderId="51" xfId="1" applyFont="1" applyBorder="1"/>
    <xf numFmtId="44" fontId="6" fillId="0" borderId="52" xfId="0" applyNumberFormat="1" applyFont="1" applyBorder="1"/>
    <xf numFmtId="0" fontId="6" fillId="0" borderId="53" xfId="0" applyFont="1" applyBorder="1" applyAlignment="1">
      <alignment horizontal="center"/>
    </xf>
    <xf numFmtId="44" fontId="2" fillId="0" borderId="39" xfId="1" applyFont="1" applyFill="1" applyBorder="1"/>
    <xf numFmtId="44" fontId="2" fillId="0" borderId="42" xfId="1" applyFont="1" applyBorder="1"/>
    <xf numFmtId="44" fontId="25" fillId="0" borderId="40" xfId="1" applyFont="1" applyFill="1" applyBorder="1"/>
    <xf numFmtId="44" fontId="25" fillId="0" borderId="44" xfId="1" applyFont="1" applyFill="1" applyBorder="1"/>
    <xf numFmtId="164" fontId="34" fillId="16" borderId="4" xfId="1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10" borderId="25" xfId="0" applyFont="1" applyFill="1" applyBorder="1"/>
    <xf numFmtId="164" fontId="15" fillId="0" borderId="0" xfId="0" applyNumberFormat="1" applyFont="1" applyFill="1" applyBorder="1"/>
    <xf numFmtId="44" fontId="5" fillId="0" borderId="25" xfId="1" applyFont="1" applyBorder="1"/>
    <xf numFmtId="44" fontId="13" fillId="0" borderId="25" xfId="1" applyFont="1" applyFill="1" applyBorder="1"/>
    <xf numFmtId="44" fontId="5" fillId="0" borderId="53" xfId="1" applyFont="1" applyBorder="1"/>
    <xf numFmtId="0" fontId="6" fillId="6" borderId="21" xfId="0" applyFont="1" applyFill="1" applyBorder="1"/>
    <xf numFmtId="0" fontId="6" fillId="6" borderId="22" xfId="0" applyFont="1" applyFill="1" applyBorder="1"/>
    <xf numFmtId="0" fontId="0" fillId="6" borderId="23" xfId="0" applyFill="1" applyBorder="1"/>
    <xf numFmtId="0" fontId="6" fillId="6" borderId="27" xfId="0" applyFont="1" applyFill="1" applyBorder="1"/>
    <xf numFmtId="4" fontId="6" fillId="6" borderId="5" xfId="0" applyNumberFormat="1" applyFont="1" applyFill="1" applyBorder="1"/>
    <xf numFmtId="0" fontId="6" fillId="6" borderId="5" xfId="0" applyFont="1" applyFill="1" applyBorder="1"/>
    <xf numFmtId="0" fontId="0" fillId="6" borderId="28" xfId="0" applyFill="1" applyBorder="1"/>
    <xf numFmtId="164" fontId="34" fillId="17" borderId="4" xfId="1" applyNumberFormat="1" applyFont="1" applyFill="1" applyBorder="1" applyAlignment="1">
      <alignment horizontal="center"/>
    </xf>
    <xf numFmtId="0" fontId="19" fillId="0" borderId="26" xfId="0" applyFont="1" applyBorder="1"/>
    <xf numFmtId="16" fontId="2" fillId="0" borderId="26" xfId="0" applyNumberFormat="1" applyFont="1" applyBorder="1" applyAlignment="1">
      <alignment horizontal="left"/>
    </xf>
    <xf numFmtId="0" fontId="18" fillId="0" borderId="26" xfId="0" applyFont="1" applyBorder="1"/>
    <xf numFmtId="164" fontId="34" fillId="6" borderId="4" xfId="1" applyNumberFormat="1" applyFont="1" applyFill="1" applyBorder="1" applyAlignment="1">
      <alignment horizontal="center"/>
    </xf>
    <xf numFmtId="165" fontId="16" fillId="0" borderId="0" xfId="0" applyNumberFormat="1" applyFont="1" applyFill="1"/>
    <xf numFmtId="0" fontId="2" fillId="4" borderId="20" xfId="0" applyFont="1" applyFill="1" applyBorder="1" applyAlignment="1">
      <alignment horizontal="center"/>
    </xf>
    <xf numFmtId="44" fontId="2" fillId="0" borderId="54" xfId="1" applyFont="1" applyFill="1" applyBorder="1"/>
    <xf numFmtId="1" fontId="31" fillId="0" borderId="39" xfId="0" applyNumberFormat="1" applyFont="1" applyFill="1" applyBorder="1" applyAlignment="1">
      <alignment horizontal="center"/>
    </xf>
    <xf numFmtId="1" fontId="31" fillId="0" borderId="25" xfId="0" applyNumberFormat="1" applyFont="1" applyFill="1" applyBorder="1" applyAlignment="1">
      <alignment horizontal="center"/>
    </xf>
    <xf numFmtId="0" fontId="27" fillId="0" borderId="54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/>
    </xf>
    <xf numFmtId="44" fontId="2" fillId="0" borderId="51" xfId="1" applyFont="1" applyFill="1" applyBorder="1"/>
    <xf numFmtId="44" fontId="25" fillId="0" borderId="51" xfId="1" applyFont="1" applyFill="1" applyBorder="1"/>
    <xf numFmtId="0" fontId="2" fillId="0" borderId="51" xfId="0" applyFont="1" applyFill="1" applyBorder="1"/>
    <xf numFmtId="0" fontId="6" fillId="0" borderId="51" xfId="0" applyFont="1" applyFill="1" applyBorder="1" applyAlignment="1">
      <alignment horizontal="center"/>
    </xf>
    <xf numFmtId="44" fontId="2" fillId="0" borderId="56" xfId="1" applyFont="1" applyFill="1" applyBorder="1"/>
    <xf numFmtId="44" fontId="2" fillId="0" borderId="57" xfId="1" applyFont="1" applyFill="1" applyBorder="1"/>
    <xf numFmtId="0" fontId="43" fillId="0" borderId="25" xfId="0" applyFont="1" applyFill="1" applyBorder="1" applyAlignment="1">
      <alignment horizontal="center"/>
    </xf>
    <xf numFmtId="44" fontId="25" fillId="0" borderId="58" xfId="1" applyFont="1" applyFill="1" applyBorder="1"/>
    <xf numFmtId="1" fontId="6" fillId="0" borderId="57" xfId="0" applyNumberFormat="1" applyFont="1" applyFill="1" applyBorder="1" applyAlignment="1">
      <alignment horizontal="center"/>
    </xf>
    <xf numFmtId="164" fontId="2" fillId="0" borderId="59" xfId="0" applyNumberFormat="1" applyFont="1" applyFill="1" applyBorder="1"/>
    <xf numFmtId="44" fontId="25" fillId="0" borderId="60" xfId="1" applyFont="1" applyFill="1" applyBorder="1"/>
    <xf numFmtId="0" fontId="2" fillId="0" borderId="60" xfId="0" applyFont="1" applyFill="1" applyBorder="1"/>
    <xf numFmtId="44" fontId="34" fillId="0" borderId="60" xfId="1" applyFont="1" applyFill="1" applyBorder="1"/>
    <xf numFmtId="44" fontId="6" fillId="0" borderId="51" xfId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/>
    </xf>
    <xf numFmtId="44" fontId="2" fillId="0" borderId="42" xfId="1" applyFont="1" applyFill="1" applyBorder="1"/>
    <xf numFmtId="0" fontId="7" fillId="0" borderId="0" xfId="0" applyFont="1" applyFill="1" applyAlignment="1">
      <alignment horizontal="center"/>
    </xf>
    <xf numFmtId="44" fontId="5" fillId="0" borderId="44" xfId="1" applyFont="1" applyFill="1" applyBorder="1"/>
    <xf numFmtId="164" fontId="34" fillId="10" borderId="4" xfId="1" applyNumberFormat="1" applyFont="1" applyFill="1" applyBorder="1" applyAlignment="1">
      <alignment horizontal="center"/>
    </xf>
    <xf numFmtId="164" fontId="34" fillId="5" borderId="4" xfId="1" applyNumberFormat="1" applyFont="1" applyFill="1" applyBorder="1" applyAlignment="1">
      <alignment horizontal="center"/>
    </xf>
    <xf numFmtId="44" fontId="25" fillId="15" borderId="39" xfId="1" applyFont="1" applyFill="1" applyBorder="1"/>
    <xf numFmtId="0" fontId="42" fillId="0" borderId="39" xfId="0" applyFont="1" applyFill="1" applyBorder="1" applyAlignment="1">
      <alignment horizontal="center"/>
    </xf>
    <xf numFmtId="0" fontId="27" fillId="15" borderId="54" xfId="0" applyFont="1" applyFill="1" applyBorder="1" applyAlignment="1">
      <alignment horizontal="center"/>
    </xf>
    <xf numFmtId="44" fontId="37" fillId="15" borderId="41" xfId="1" applyFont="1" applyFill="1" applyBorder="1" applyAlignment="1">
      <alignment horizontal="left" wrapText="1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61" xfId="0" applyNumberFormat="1" applyFont="1" applyFill="1" applyBorder="1"/>
    <xf numFmtId="44" fontId="2" fillId="0" borderId="62" xfId="1" applyFont="1" applyFill="1" applyBorder="1"/>
    <xf numFmtId="15" fontId="2" fillId="0" borderId="63" xfId="0" applyNumberFormat="1" applyFont="1" applyFill="1" applyBorder="1"/>
    <xf numFmtId="44" fontId="2" fillId="0" borderId="64" xfId="1" applyFont="1" applyFill="1" applyBorder="1"/>
    <xf numFmtId="44" fontId="2" fillId="4" borderId="64" xfId="1" applyFont="1" applyFill="1" applyBorder="1"/>
    <xf numFmtId="0" fontId="2" fillId="0" borderId="63" xfId="0" applyFont="1" applyBorder="1"/>
    <xf numFmtId="44" fontId="0" fillId="0" borderId="64" xfId="1" applyFont="1" applyBorder="1"/>
    <xf numFmtId="0" fontId="2" fillId="0" borderId="65" xfId="0" applyFont="1" applyBorder="1"/>
    <xf numFmtId="44" fontId="0" fillId="0" borderId="66" xfId="1" applyFont="1" applyBorder="1"/>
    <xf numFmtId="44" fontId="2" fillId="0" borderId="67" xfId="1" applyFont="1" applyFill="1" applyBorder="1"/>
    <xf numFmtId="44" fontId="2" fillId="0" borderId="68" xfId="1" applyFont="1" applyFill="1" applyBorder="1"/>
    <xf numFmtId="44" fontId="2" fillId="4" borderId="68" xfId="1" applyFont="1" applyFill="1" applyBorder="1"/>
    <xf numFmtId="44" fontId="0" fillId="0" borderId="68" xfId="1" applyFont="1" applyBorder="1"/>
    <xf numFmtId="44" fontId="0" fillId="0" borderId="69" xfId="1" applyFont="1" applyBorder="1"/>
    <xf numFmtId="164" fontId="2" fillId="0" borderId="70" xfId="0" applyNumberFormat="1" applyFont="1" applyFill="1" applyBorder="1" applyAlignment="1">
      <alignment horizontal="center"/>
    </xf>
    <xf numFmtId="44" fontId="2" fillId="0" borderId="71" xfId="1" applyFont="1" applyFill="1" applyBorder="1"/>
    <xf numFmtId="164" fontId="2" fillId="0" borderId="72" xfId="0" applyNumberFormat="1" applyFont="1" applyFill="1" applyBorder="1" applyAlignment="1">
      <alignment horizontal="center"/>
    </xf>
    <xf numFmtId="44" fontId="2" fillId="0" borderId="73" xfId="1" applyFont="1" applyFill="1" applyBorder="1"/>
    <xf numFmtId="44" fontId="2" fillId="4" borderId="73" xfId="1" applyFont="1" applyFill="1" applyBorder="1"/>
    <xf numFmtId="164" fontId="2" fillId="0" borderId="74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0" fontId="0" fillId="0" borderId="41" xfId="0" applyBorder="1"/>
    <xf numFmtId="165" fontId="0" fillId="0" borderId="77" xfId="0" applyNumberFormat="1" applyFill="1" applyBorder="1"/>
    <xf numFmtId="44" fontId="16" fillId="0" borderId="78" xfId="1" applyFont="1" applyFill="1" applyBorder="1"/>
    <xf numFmtId="165" fontId="0" fillId="0" borderId="79" xfId="0" applyNumberFormat="1" applyFill="1" applyBorder="1"/>
    <xf numFmtId="44" fontId="2" fillId="0" borderId="78" xfId="1" applyFont="1" applyFill="1" applyBorder="1"/>
    <xf numFmtId="44" fontId="2" fillId="0" borderId="80" xfId="1" applyFont="1" applyFill="1" applyBorder="1"/>
    <xf numFmtId="165" fontId="0" fillId="0" borderId="81" xfId="0" applyNumberFormat="1" applyBorder="1"/>
    <xf numFmtId="0" fontId="0" fillId="0" borderId="43" xfId="0" applyBorder="1"/>
    <xf numFmtId="165" fontId="0" fillId="0" borderId="77" xfId="0" applyNumberFormat="1" applyBorder="1"/>
    <xf numFmtId="0" fontId="0" fillId="5" borderId="44" xfId="0" applyFill="1" applyBorder="1"/>
    <xf numFmtId="165" fontId="0" fillId="6" borderId="79" xfId="0" applyNumberFormat="1" applyFill="1" applyBorder="1"/>
    <xf numFmtId="0" fontId="0" fillId="0" borderId="55" xfId="0" applyBorder="1"/>
    <xf numFmtId="165" fontId="0" fillId="0" borderId="81" xfId="0" applyNumberFormat="1" applyFill="1" applyBorder="1"/>
    <xf numFmtId="15" fontId="2" fillId="0" borderId="82" xfId="0" applyNumberFormat="1" applyFont="1" applyFill="1" applyBorder="1"/>
    <xf numFmtId="44" fontId="2" fillId="0" borderId="83" xfId="1" applyFont="1" applyFill="1" applyBorder="1"/>
    <xf numFmtId="15" fontId="2" fillId="0" borderId="84" xfId="0" applyNumberFormat="1" applyFont="1" applyFill="1" applyBorder="1"/>
    <xf numFmtId="44" fontId="2" fillId="0" borderId="85" xfId="1" applyFont="1" applyFill="1" applyBorder="1"/>
    <xf numFmtId="0" fontId="2" fillId="0" borderId="86" xfId="0" applyFont="1" applyBorder="1"/>
    <xf numFmtId="44" fontId="0" fillId="0" borderId="87" xfId="1" applyFont="1" applyBorder="1"/>
    <xf numFmtId="44" fontId="2" fillId="0" borderId="88" xfId="1" applyFont="1" applyFill="1" applyBorder="1"/>
    <xf numFmtId="44" fontId="2" fillId="0" borderId="89" xfId="1" applyFont="1" applyFill="1" applyBorder="1"/>
    <xf numFmtId="44" fontId="0" fillId="0" borderId="90" xfId="1" applyFont="1" applyBorder="1"/>
    <xf numFmtId="0" fontId="0" fillId="0" borderId="91" xfId="0" applyFill="1" applyBorder="1" applyAlignment="1">
      <alignment horizontal="center"/>
    </xf>
    <xf numFmtId="0" fontId="0" fillId="0" borderId="92" xfId="0" applyFill="1" applyBorder="1" applyAlignment="1">
      <alignment horizontal="center"/>
    </xf>
    <xf numFmtId="0" fontId="0" fillId="0" borderId="92" xfId="0" applyFont="1" applyFill="1" applyBorder="1" applyAlignment="1">
      <alignment horizontal="center"/>
    </xf>
    <xf numFmtId="0" fontId="2" fillId="0" borderId="92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16" fontId="5" fillId="0" borderId="26" xfId="0" applyNumberFormat="1" applyFont="1" applyBorder="1"/>
    <xf numFmtId="44" fontId="2" fillId="0" borderId="0" xfId="1" applyFont="1" applyFill="1" applyBorder="1" applyAlignment="1">
      <alignment horizontal="left"/>
    </xf>
    <xf numFmtId="0" fontId="2" fillId="0" borderId="19" xfId="0" applyFont="1" applyBorder="1"/>
    <xf numFmtId="165" fontId="2" fillId="0" borderId="0" xfId="0" applyNumberFormat="1" applyFont="1" applyBorder="1"/>
    <xf numFmtId="165" fontId="2" fillId="6" borderId="0" xfId="0" applyNumberFormat="1" applyFont="1" applyFill="1" applyBorder="1"/>
    <xf numFmtId="165" fontId="2" fillId="12" borderId="0" xfId="0" applyNumberFormat="1" applyFont="1" applyFill="1" applyBorder="1"/>
    <xf numFmtId="44" fontId="2" fillId="0" borderId="0" xfId="1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5" fontId="2" fillId="0" borderId="16" xfId="0" applyNumberFormat="1" applyFont="1" applyBorder="1"/>
    <xf numFmtId="165" fontId="2" fillId="0" borderId="35" xfId="0" applyNumberFormat="1" applyFont="1" applyBorder="1"/>
    <xf numFmtId="0" fontId="2" fillId="5" borderId="0" xfId="0" applyFont="1" applyFill="1" applyBorder="1"/>
    <xf numFmtId="0" fontId="19" fillId="0" borderId="0" xfId="0" applyFont="1" applyBorder="1"/>
    <xf numFmtId="0" fontId="2" fillId="0" borderId="26" xfId="0" applyFont="1" applyBorder="1"/>
    <xf numFmtId="0" fontId="2" fillId="0" borderId="38" xfId="0" applyFont="1" applyBorder="1"/>
    <xf numFmtId="164" fontId="14" fillId="0" borderId="0" xfId="0" applyNumberFormat="1" applyFont="1" applyFill="1" applyBorder="1"/>
    <xf numFmtId="44" fontId="5" fillId="0" borderId="39" xfId="1" applyFont="1" applyFill="1" applyBorder="1"/>
    <xf numFmtId="44" fontId="2" fillId="12" borderId="0" xfId="1" applyFont="1" applyFill="1" applyBorder="1" applyAlignment="1">
      <alignment horizontal="center"/>
    </xf>
    <xf numFmtId="164" fontId="34" fillId="18" borderId="4" xfId="1" applyNumberFormat="1" applyFont="1" applyFill="1" applyBorder="1" applyAlignment="1">
      <alignment horizontal="center"/>
    </xf>
    <xf numFmtId="0" fontId="42" fillId="0" borderId="25" xfId="0" applyFont="1" applyFill="1" applyBorder="1" applyAlignment="1">
      <alignment horizontal="center"/>
    </xf>
    <xf numFmtId="0" fontId="43" fillId="0" borderId="54" xfId="0" applyFont="1" applyBorder="1" applyAlignment="1">
      <alignment horizontal="center"/>
    </xf>
    <xf numFmtId="0" fontId="43" fillId="0" borderId="54" xfId="0" applyFont="1" applyFill="1" applyBorder="1" applyAlignment="1">
      <alignment horizontal="center"/>
    </xf>
    <xf numFmtId="44" fontId="47" fillId="0" borderId="41" xfId="1" applyFont="1" applyFill="1" applyBorder="1" applyAlignment="1">
      <alignment horizontal="left" wrapText="1"/>
    </xf>
    <xf numFmtId="44" fontId="2" fillId="4" borderId="39" xfId="1" applyFont="1" applyFill="1" applyBorder="1"/>
    <xf numFmtId="44" fontId="28" fillId="4" borderId="55" xfId="1" applyFont="1" applyFill="1" applyBorder="1"/>
    <xf numFmtId="164" fontId="8" fillId="0" borderId="0" xfId="0" applyNumberFormat="1" applyFont="1" applyAlignment="1">
      <alignment horizontal="center" wrapText="1"/>
    </xf>
    <xf numFmtId="164" fontId="8" fillId="0" borderId="5" xfId="0" applyNumberFormat="1" applyFont="1" applyBorder="1" applyAlignment="1">
      <alignment horizontal="center" wrapText="1"/>
    </xf>
    <xf numFmtId="44" fontId="7" fillId="0" borderId="2" xfId="1" applyFont="1" applyBorder="1" applyAlignment="1">
      <alignment horizontal="center" wrapText="1"/>
    </xf>
    <xf numFmtId="44" fontId="7" fillId="0" borderId="12" xfId="1" applyFont="1" applyBorder="1" applyAlignment="1">
      <alignment horizontal="center" wrapText="1"/>
    </xf>
    <xf numFmtId="44" fontId="6" fillId="0" borderId="2" xfId="1" applyFont="1" applyBorder="1" applyAlignment="1">
      <alignment horizontal="center" wrapText="1"/>
    </xf>
    <xf numFmtId="44" fontId="6" fillId="0" borderId="12" xfId="1" applyFont="1" applyBorder="1" applyAlignment="1">
      <alignment horizontal="center" wrapText="1"/>
    </xf>
    <xf numFmtId="165" fontId="13" fillId="0" borderId="39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9" fillId="0" borderId="0" xfId="0" applyFont="1" applyFill="1" applyBorder="1" applyAlignment="1">
      <alignment horizontal="left" wrapText="1"/>
    </xf>
    <xf numFmtId="44" fontId="7" fillId="7" borderId="7" xfId="1" applyFont="1" applyFill="1" applyBorder="1" applyAlignment="1">
      <alignment horizontal="right"/>
    </xf>
    <xf numFmtId="44" fontId="7" fillId="7" borderId="8" xfId="1" applyFont="1" applyFill="1" applyBorder="1" applyAlignment="1">
      <alignment horizontal="right"/>
    </xf>
    <xf numFmtId="0" fontId="3" fillId="0" borderId="0" xfId="0" applyFont="1" applyFill="1" applyAlignment="1"/>
    <xf numFmtId="44" fontId="6" fillId="3" borderId="0" xfId="1" applyFont="1" applyFill="1" applyAlignment="1">
      <alignment horizontal="center"/>
    </xf>
    <xf numFmtId="44" fontId="7" fillId="3" borderId="0" xfId="1" applyFont="1" applyFill="1" applyAlignment="1">
      <alignment horizontal="center"/>
    </xf>
    <xf numFmtId="44" fontId="6" fillId="0" borderId="3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44" fontId="7" fillId="6" borderId="7" xfId="0" applyNumberFormat="1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13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7" fillId="0" borderId="21" xfId="1" applyFont="1" applyBorder="1" applyAlignment="1">
      <alignment horizontal="center"/>
    </xf>
    <xf numFmtId="44" fontId="7" fillId="0" borderId="22" xfId="1" applyFont="1" applyBorder="1" applyAlignment="1">
      <alignment horizontal="center"/>
    </xf>
    <xf numFmtId="44" fontId="7" fillId="0" borderId="23" xfId="1" applyFont="1" applyBorder="1" applyAlignment="1">
      <alignment horizontal="center"/>
    </xf>
    <xf numFmtId="0" fontId="19" fillId="0" borderId="2" xfId="0" applyFont="1" applyFill="1" applyBorder="1" applyAlignment="1">
      <alignment horizontal="center" wrapText="1"/>
    </xf>
    <xf numFmtId="0" fontId="19" fillId="0" borderId="12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00"/>
      <color rgb="FF66FFFF"/>
      <color rgb="FF6666FF"/>
      <color rgb="FF33CCFF"/>
      <color rgb="FFFF66FF"/>
      <color rgb="FFFCC8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466725</xdr:colOff>
      <xdr:row>24</xdr:row>
      <xdr:rowOff>66675</xdr:rowOff>
    </xdr:from>
    <xdr:to>
      <xdr:col>20</xdr:col>
      <xdr:colOff>638175</xdr:colOff>
      <xdr:row>27</xdr:row>
      <xdr:rowOff>123825</xdr:rowOff>
    </xdr:to>
    <xdr:cxnSp macro="">
      <xdr:nvCxnSpPr>
        <xdr:cNvPr id="19" name="Conector recto de flecha 18"/>
        <xdr:cNvCxnSpPr/>
      </xdr:nvCxnSpPr>
      <xdr:spPr>
        <a:xfrm flipV="1">
          <a:off x="16935450" y="5267325"/>
          <a:ext cx="1257300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24</xdr:row>
      <xdr:rowOff>247650</xdr:rowOff>
    </xdr:from>
    <xdr:to>
      <xdr:col>20</xdr:col>
      <xdr:colOff>647700</xdr:colOff>
      <xdr:row>28</xdr:row>
      <xdr:rowOff>47625</xdr:rowOff>
    </xdr:to>
    <xdr:cxnSp macro="">
      <xdr:nvCxnSpPr>
        <xdr:cNvPr id="20" name="Conector recto de flecha 19"/>
        <xdr:cNvCxnSpPr/>
      </xdr:nvCxnSpPr>
      <xdr:spPr>
        <a:xfrm flipV="1">
          <a:off x="17011650" y="5448300"/>
          <a:ext cx="1190625" cy="7524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8"/>
  <sheetViews>
    <sheetView workbookViewId="0">
      <selection activeCell="E52" sqref="E52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  <col min="17" max="17" width="16.28515625" customWidth="1"/>
    <col min="18" max="18" width="15.7109375" customWidth="1"/>
    <col min="19" max="19" width="16.42578125" customWidth="1"/>
    <col min="20" max="20" width="16.28515625" customWidth="1"/>
  </cols>
  <sheetData>
    <row r="1" spans="1:21" ht="23.25" x14ac:dyDescent="0.35">
      <c r="A1" s="1"/>
      <c r="B1" s="486" t="s">
        <v>0</v>
      </c>
      <c r="C1" s="486"/>
      <c r="D1" s="486"/>
      <c r="E1" s="486"/>
      <c r="F1" s="486"/>
      <c r="G1" s="486"/>
      <c r="H1" s="486"/>
      <c r="I1" s="486"/>
      <c r="J1" s="486"/>
      <c r="L1" s="2" t="s">
        <v>1</v>
      </c>
      <c r="M1" s="3"/>
    </row>
    <row r="2" spans="1:21" ht="19.5" thickBot="1" x14ac:dyDescent="0.35">
      <c r="A2" s="1"/>
      <c r="B2" s="5"/>
      <c r="D2" s="7"/>
      <c r="E2" s="8"/>
      <c r="G2" s="487" t="s">
        <v>2</v>
      </c>
      <c r="H2" s="487"/>
      <c r="I2" s="487"/>
      <c r="J2" s="488">
        <v>2000</v>
      </c>
      <c r="K2" s="488"/>
      <c r="L2" s="9"/>
      <c r="M2" s="3"/>
    </row>
    <row r="3" spans="1:21" ht="16.5" customHeight="1" thickBot="1" x14ac:dyDescent="0.3">
      <c r="A3" s="473" t="s">
        <v>3</v>
      </c>
      <c r="B3" s="10" t="s">
        <v>4</v>
      </c>
      <c r="C3" s="11"/>
      <c r="E3" s="5"/>
      <c r="I3" s="5"/>
      <c r="L3" s="9"/>
      <c r="M3" s="3"/>
      <c r="Q3" s="475" t="s">
        <v>5</v>
      </c>
      <c r="R3" s="477" t="s">
        <v>6</v>
      </c>
      <c r="S3" s="489" t="s">
        <v>7</v>
      </c>
      <c r="T3" s="490"/>
      <c r="U3" s="12"/>
    </row>
    <row r="4" spans="1:21" ht="20.25" thickTop="1" thickBot="1" x14ac:dyDescent="0.35">
      <c r="A4" s="474"/>
      <c r="B4" s="13">
        <v>129301.16</v>
      </c>
      <c r="C4" s="14"/>
      <c r="D4" s="491" t="s">
        <v>8</v>
      </c>
      <c r="E4" s="492"/>
      <c r="H4" s="493" t="s">
        <v>9</v>
      </c>
      <c r="I4" s="494"/>
      <c r="J4" s="494"/>
      <c r="K4" s="494"/>
      <c r="L4" s="15" t="s">
        <v>10</v>
      </c>
      <c r="M4" s="16" t="s">
        <v>11</v>
      </c>
      <c r="Q4" s="476"/>
      <c r="R4" s="478"/>
      <c r="S4" s="4" t="s">
        <v>12</v>
      </c>
      <c r="T4" s="17" t="s">
        <v>13</v>
      </c>
      <c r="U4" s="12"/>
    </row>
    <row r="5" spans="1:21" ht="17.25" thickTop="1" thickBot="1" x14ac:dyDescent="0.3">
      <c r="A5" s="18">
        <v>42736</v>
      </c>
      <c r="B5" s="19"/>
      <c r="C5" s="20"/>
      <c r="D5" s="21">
        <v>42736</v>
      </c>
      <c r="E5" s="22"/>
      <c r="F5" s="23"/>
      <c r="G5" s="24">
        <v>42736</v>
      </c>
      <c r="H5" s="25">
        <v>0</v>
      </c>
      <c r="I5" s="26"/>
      <c r="J5" s="27"/>
      <c r="K5" s="27"/>
      <c r="L5" s="28"/>
      <c r="M5" s="29"/>
      <c r="N5" s="30"/>
      <c r="P5" s="18">
        <v>42736</v>
      </c>
      <c r="Q5" s="31">
        <v>0</v>
      </c>
      <c r="R5" s="31">
        <v>0</v>
      </c>
      <c r="S5" s="32">
        <v>0</v>
      </c>
      <c r="T5" s="33">
        <v>0</v>
      </c>
      <c r="U5" s="12"/>
    </row>
    <row r="6" spans="1:21" ht="16.5" thickBot="1" x14ac:dyDescent="0.3">
      <c r="A6" s="18">
        <v>42737</v>
      </c>
      <c r="B6" s="34">
        <v>0</v>
      </c>
      <c r="C6" s="20" t="s">
        <v>14</v>
      </c>
      <c r="D6" s="21">
        <v>42737</v>
      </c>
      <c r="E6" s="35">
        <v>0</v>
      </c>
      <c r="F6" s="36"/>
      <c r="G6" s="24">
        <v>42737</v>
      </c>
      <c r="H6" s="37">
        <v>0</v>
      </c>
      <c r="I6" s="38"/>
      <c r="J6" s="39" t="s">
        <v>15</v>
      </c>
      <c r="K6" s="40">
        <v>549</v>
      </c>
      <c r="L6" s="28"/>
      <c r="M6" s="29">
        <v>0</v>
      </c>
      <c r="N6" s="30"/>
      <c r="P6" s="18">
        <v>42737</v>
      </c>
      <c r="Q6" s="41">
        <v>147923</v>
      </c>
      <c r="R6" s="41">
        <v>142127</v>
      </c>
      <c r="S6" s="41">
        <v>141984.5</v>
      </c>
      <c r="T6" s="42">
        <f>S6-R6</f>
        <v>-142.5</v>
      </c>
      <c r="U6" s="12" t="s">
        <v>16</v>
      </c>
    </row>
    <row r="7" spans="1:21" ht="16.5" thickBot="1" x14ac:dyDescent="0.3">
      <c r="A7" s="18">
        <v>42738</v>
      </c>
      <c r="B7" s="34">
        <v>39291.5</v>
      </c>
      <c r="C7" s="20" t="s">
        <v>17</v>
      </c>
      <c r="D7" s="21">
        <v>42738</v>
      </c>
      <c r="E7" s="35">
        <v>36723</v>
      </c>
      <c r="F7" s="23"/>
      <c r="G7" s="24">
        <v>42738</v>
      </c>
      <c r="H7" s="37">
        <v>0</v>
      </c>
      <c r="I7" s="38"/>
      <c r="J7" s="43" t="s">
        <v>18</v>
      </c>
      <c r="K7" s="44">
        <v>0</v>
      </c>
      <c r="L7" s="28" t="s">
        <v>19</v>
      </c>
      <c r="M7" s="29">
        <v>0</v>
      </c>
      <c r="N7" s="45"/>
      <c r="P7" s="18">
        <v>42738</v>
      </c>
      <c r="Q7" s="41">
        <v>42519</v>
      </c>
      <c r="R7" s="41">
        <v>39291.5</v>
      </c>
      <c r="S7" s="41">
        <v>39377</v>
      </c>
      <c r="T7" s="46">
        <f>S7-R7</f>
        <v>85.5</v>
      </c>
      <c r="U7" s="47" t="s">
        <v>20</v>
      </c>
    </row>
    <row r="8" spans="1:21" ht="16.5" thickBot="1" x14ac:dyDescent="0.3">
      <c r="A8" s="18">
        <v>42739</v>
      </c>
      <c r="B8" s="34">
        <v>45294.5</v>
      </c>
      <c r="C8" s="48" t="s">
        <v>21</v>
      </c>
      <c r="D8" s="21">
        <v>42739</v>
      </c>
      <c r="E8" s="35">
        <v>44469.5</v>
      </c>
      <c r="F8" s="23"/>
      <c r="G8" s="24">
        <v>42739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23</v>
      </c>
      <c r="M8" s="29">
        <v>0</v>
      </c>
      <c r="N8" s="45"/>
      <c r="P8" s="18">
        <v>42739</v>
      </c>
      <c r="Q8" s="41">
        <v>48055.5</v>
      </c>
      <c r="R8" s="41">
        <v>45294.5</v>
      </c>
      <c r="S8" s="41">
        <v>45591.5</v>
      </c>
      <c r="T8" s="46">
        <f>S8-R8</f>
        <v>297</v>
      </c>
      <c r="U8" s="6" t="s">
        <v>20</v>
      </c>
    </row>
    <row r="9" spans="1:21" ht="16.5" thickBot="1" x14ac:dyDescent="0.3">
      <c r="A9" s="18">
        <v>42740</v>
      </c>
      <c r="B9" s="34">
        <v>50783</v>
      </c>
      <c r="C9" s="50" t="s">
        <v>24</v>
      </c>
      <c r="D9" s="21">
        <v>42740</v>
      </c>
      <c r="E9" s="35">
        <v>55594.5</v>
      </c>
      <c r="F9" s="23"/>
      <c r="G9" s="24">
        <v>42740</v>
      </c>
      <c r="H9" s="37">
        <v>0</v>
      </c>
      <c r="I9" s="38" t="s">
        <v>25</v>
      </c>
      <c r="J9" s="39" t="s">
        <v>26</v>
      </c>
      <c r="K9" s="36">
        <v>8050.87</v>
      </c>
      <c r="L9" s="49" t="s">
        <v>27</v>
      </c>
      <c r="M9" s="29">
        <v>0</v>
      </c>
      <c r="N9" s="30"/>
      <c r="P9" s="18">
        <v>42740</v>
      </c>
      <c r="Q9" s="41">
        <v>55594.5</v>
      </c>
      <c r="R9" s="41">
        <v>50783.5</v>
      </c>
      <c r="S9" s="41">
        <v>50294.5</v>
      </c>
      <c r="T9" s="42">
        <f>S9-R9</f>
        <v>-489</v>
      </c>
      <c r="U9" s="12" t="s">
        <v>16</v>
      </c>
    </row>
    <row r="10" spans="1:21" ht="16.5" thickBot="1" x14ac:dyDescent="0.3">
      <c r="A10" s="18">
        <v>42741</v>
      </c>
      <c r="B10" s="34">
        <v>38264</v>
      </c>
      <c r="C10" s="48" t="s">
        <v>28</v>
      </c>
      <c r="D10" s="21">
        <v>42741</v>
      </c>
      <c r="E10" s="35">
        <v>38264</v>
      </c>
      <c r="F10" s="23"/>
      <c r="G10" s="24">
        <v>42741</v>
      </c>
      <c r="H10" s="37">
        <v>0</v>
      </c>
      <c r="I10" s="51" t="s">
        <v>29</v>
      </c>
      <c r="J10" s="39" t="s">
        <v>30</v>
      </c>
      <c r="K10" s="36">
        <v>8050.87</v>
      </c>
      <c r="L10" s="28" t="s">
        <v>31</v>
      </c>
      <c r="M10" s="29">
        <v>0</v>
      </c>
      <c r="N10" s="45"/>
      <c r="P10" s="18">
        <v>42741</v>
      </c>
      <c r="Q10" s="41">
        <v>38264</v>
      </c>
      <c r="R10" s="41">
        <v>38264</v>
      </c>
      <c r="S10" s="41">
        <v>38310</v>
      </c>
      <c r="T10" s="46">
        <f>S10-R10</f>
        <v>46</v>
      </c>
      <c r="U10" s="6" t="s">
        <v>20</v>
      </c>
    </row>
    <row r="11" spans="1:21" ht="16.5" thickBot="1" x14ac:dyDescent="0.3">
      <c r="A11" s="18">
        <v>42742</v>
      </c>
      <c r="B11" s="34">
        <v>89103.5</v>
      </c>
      <c r="C11" s="48" t="s">
        <v>32</v>
      </c>
      <c r="D11" s="21">
        <v>42742</v>
      </c>
      <c r="E11" s="35">
        <v>89103.5</v>
      </c>
      <c r="F11" s="23"/>
      <c r="G11" s="24">
        <v>42742</v>
      </c>
      <c r="H11" s="37">
        <v>0</v>
      </c>
      <c r="I11" s="38" t="s">
        <v>33</v>
      </c>
      <c r="J11" s="39" t="s">
        <v>34</v>
      </c>
      <c r="K11" s="36">
        <v>8050.87</v>
      </c>
      <c r="L11" s="28" t="s">
        <v>35</v>
      </c>
      <c r="M11" s="29">
        <v>0</v>
      </c>
      <c r="N11" s="30"/>
      <c r="P11" s="18">
        <v>42742</v>
      </c>
      <c r="Q11" s="41">
        <v>89103.5</v>
      </c>
      <c r="R11" s="41">
        <v>89103.5</v>
      </c>
      <c r="S11" s="41">
        <v>89000</v>
      </c>
      <c r="T11" s="42">
        <f t="shared" ref="T11:T23" si="0">S11-R11</f>
        <v>-103.5</v>
      </c>
      <c r="U11" s="17" t="s">
        <v>16</v>
      </c>
    </row>
    <row r="12" spans="1:21" ht="16.5" thickBot="1" x14ac:dyDescent="0.3">
      <c r="A12" s="18">
        <v>42743</v>
      </c>
      <c r="B12" s="34">
        <v>101200.5</v>
      </c>
      <c r="C12" s="48" t="s">
        <v>36</v>
      </c>
      <c r="D12" s="21">
        <v>42743</v>
      </c>
      <c r="E12" s="35">
        <v>101200.5</v>
      </c>
      <c r="F12" s="23"/>
      <c r="G12" s="24">
        <v>42743</v>
      </c>
      <c r="H12" s="37">
        <v>0</v>
      </c>
      <c r="I12" s="38" t="s">
        <v>185</v>
      </c>
      <c r="J12" s="39" t="s">
        <v>37</v>
      </c>
      <c r="K12" s="36">
        <v>8072.26</v>
      </c>
      <c r="L12" s="28" t="s">
        <v>38</v>
      </c>
      <c r="M12" s="29">
        <v>0</v>
      </c>
      <c r="N12" s="30"/>
      <c r="P12" s="18">
        <v>42743</v>
      </c>
      <c r="Q12" s="41">
        <v>101200.5</v>
      </c>
      <c r="R12" s="41">
        <v>101200.5</v>
      </c>
      <c r="S12" s="41">
        <v>100000</v>
      </c>
      <c r="T12" s="42">
        <f t="shared" si="0"/>
        <v>-1200.5</v>
      </c>
      <c r="U12" s="12" t="s">
        <v>16</v>
      </c>
    </row>
    <row r="13" spans="1:21" ht="16.5" thickBot="1" x14ac:dyDescent="0.3">
      <c r="A13" s="18">
        <v>42744</v>
      </c>
      <c r="B13" s="34">
        <v>92600</v>
      </c>
      <c r="C13" s="48" t="s">
        <v>39</v>
      </c>
      <c r="D13" s="21">
        <v>42744</v>
      </c>
      <c r="E13" s="35">
        <v>95332</v>
      </c>
      <c r="F13" s="23"/>
      <c r="G13" s="24">
        <v>42744</v>
      </c>
      <c r="H13" s="37">
        <v>32</v>
      </c>
      <c r="I13" s="38"/>
      <c r="J13" s="52"/>
      <c r="K13" s="40">
        <v>0</v>
      </c>
      <c r="L13" s="28" t="s">
        <v>40</v>
      </c>
      <c r="M13" s="29">
        <v>0</v>
      </c>
      <c r="N13" s="45"/>
      <c r="P13" s="18">
        <v>42744</v>
      </c>
      <c r="Q13" s="41">
        <v>95332</v>
      </c>
      <c r="R13" s="41">
        <v>92600</v>
      </c>
      <c r="S13" s="41">
        <v>92891</v>
      </c>
      <c r="T13" s="46">
        <f t="shared" si="0"/>
        <v>291</v>
      </c>
      <c r="U13" s="47" t="s">
        <v>20</v>
      </c>
    </row>
    <row r="14" spans="1:21" ht="16.5" thickBot="1" x14ac:dyDescent="0.3">
      <c r="A14" s="18">
        <v>42745</v>
      </c>
      <c r="B14" s="34">
        <v>46389</v>
      </c>
      <c r="C14" s="50" t="s">
        <v>41</v>
      </c>
      <c r="D14" s="21">
        <v>42745</v>
      </c>
      <c r="E14" s="35">
        <v>53683</v>
      </c>
      <c r="F14" s="23"/>
      <c r="G14" s="24">
        <v>42745</v>
      </c>
      <c r="H14" s="37">
        <v>226</v>
      </c>
      <c r="I14" s="38"/>
      <c r="J14" s="53"/>
      <c r="K14" s="40">
        <v>0</v>
      </c>
      <c r="L14" s="28" t="s">
        <v>42</v>
      </c>
      <c r="M14" s="29">
        <v>0</v>
      </c>
      <c r="N14" s="45"/>
      <c r="P14" s="18">
        <v>42745</v>
      </c>
      <c r="Q14" s="41">
        <v>53683</v>
      </c>
      <c r="R14" s="41">
        <v>46389</v>
      </c>
      <c r="S14" s="41">
        <v>46700</v>
      </c>
      <c r="T14" s="46">
        <f t="shared" si="0"/>
        <v>311</v>
      </c>
      <c r="U14" s="47" t="s">
        <v>20</v>
      </c>
    </row>
    <row r="15" spans="1:21" ht="16.5" thickBot="1" x14ac:dyDescent="0.3">
      <c r="A15" s="18">
        <v>42746</v>
      </c>
      <c r="B15" s="34">
        <v>71932.5</v>
      </c>
      <c r="C15" s="50" t="s">
        <v>43</v>
      </c>
      <c r="D15" s="21">
        <v>42746</v>
      </c>
      <c r="E15" s="35">
        <v>69252</v>
      </c>
      <c r="F15" s="23"/>
      <c r="G15" s="24">
        <v>42746</v>
      </c>
      <c r="H15" s="37">
        <v>0</v>
      </c>
      <c r="I15" s="38"/>
      <c r="J15" s="52" t="s">
        <v>44</v>
      </c>
      <c r="K15" s="40">
        <v>0</v>
      </c>
      <c r="L15" s="28" t="s">
        <v>45</v>
      </c>
      <c r="M15" s="29">
        <v>0</v>
      </c>
      <c r="N15" s="45"/>
      <c r="P15" s="18">
        <v>42746</v>
      </c>
      <c r="Q15" s="41">
        <v>76320</v>
      </c>
      <c r="R15" s="41">
        <v>71932.5</v>
      </c>
      <c r="S15" s="41">
        <v>72000</v>
      </c>
      <c r="T15" s="46">
        <f t="shared" si="0"/>
        <v>67.5</v>
      </c>
      <c r="U15" s="6" t="s">
        <v>20</v>
      </c>
    </row>
    <row r="16" spans="1:21" ht="16.5" thickBot="1" x14ac:dyDescent="0.3">
      <c r="A16" s="18">
        <v>42747</v>
      </c>
      <c r="B16" s="34">
        <v>55565</v>
      </c>
      <c r="C16" s="50" t="s">
        <v>46</v>
      </c>
      <c r="D16" s="21">
        <v>42747</v>
      </c>
      <c r="E16" s="35">
        <v>54073.5</v>
      </c>
      <c r="F16" s="23"/>
      <c r="G16" s="24">
        <v>42747</v>
      </c>
      <c r="H16" s="37">
        <v>10</v>
      </c>
      <c r="I16" s="38"/>
      <c r="J16" s="54"/>
      <c r="K16" s="55">
        <v>0</v>
      </c>
      <c r="L16" s="28" t="s">
        <v>47</v>
      </c>
      <c r="M16" s="29">
        <v>0</v>
      </c>
      <c r="N16" s="45"/>
      <c r="P16" s="18">
        <v>42747</v>
      </c>
      <c r="Q16" s="41">
        <v>61222</v>
      </c>
      <c r="R16" s="41">
        <v>55575</v>
      </c>
      <c r="S16" s="41">
        <v>54300</v>
      </c>
      <c r="T16" s="42">
        <f t="shared" si="0"/>
        <v>-1275</v>
      </c>
      <c r="U16" s="12" t="s">
        <v>16</v>
      </c>
    </row>
    <row r="17" spans="1:21" ht="15.75" customHeight="1" thickBot="1" x14ac:dyDescent="0.3">
      <c r="A17" s="18">
        <v>42748</v>
      </c>
      <c r="B17" s="34">
        <v>60218.5</v>
      </c>
      <c r="C17" s="50" t="s">
        <v>48</v>
      </c>
      <c r="D17" s="21">
        <v>42748</v>
      </c>
      <c r="E17" s="35">
        <v>60127</v>
      </c>
      <c r="F17" s="23"/>
      <c r="G17" s="24">
        <v>42748</v>
      </c>
      <c r="H17" s="37">
        <v>0</v>
      </c>
      <c r="I17" s="38"/>
      <c r="J17" s="483" t="s">
        <v>49</v>
      </c>
      <c r="K17" s="55">
        <v>0</v>
      </c>
      <c r="L17" s="28" t="s">
        <v>50</v>
      </c>
      <c r="M17" s="29">
        <v>0</v>
      </c>
      <c r="N17" s="45"/>
      <c r="P17" s="18">
        <v>42748</v>
      </c>
      <c r="Q17" s="41">
        <v>60625</v>
      </c>
      <c r="R17" s="41">
        <v>60218.5</v>
      </c>
      <c r="S17" s="41">
        <v>60000</v>
      </c>
      <c r="T17" s="42">
        <f t="shared" si="0"/>
        <v>-218.5</v>
      </c>
      <c r="U17" s="12" t="s">
        <v>16</v>
      </c>
    </row>
    <row r="18" spans="1:21" ht="16.5" thickBot="1" x14ac:dyDescent="0.3">
      <c r="A18" s="18">
        <v>42749</v>
      </c>
      <c r="B18" s="34">
        <v>129772.3</v>
      </c>
      <c r="C18" s="48" t="s">
        <v>51</v>
      </c>
      <c r="D18" s="21">
        <v>42749</v>
      </c>
      <c r="E18" s="35">
        <v>129365.5</v>
      </c>
      <c r="F18" s="23"/>
      <c r="G18" s="24">
        <v>42749</v>
      </c>
      <c r="H18" s="37">
        <v>0</v>
      </c>
      <c r="I18" s="56"/>
      <c r="J18" s="483"/>
      <c r="K18" s="29">
        <v>0</v>
      </c>
      <c r="L18" s="28" t="s">
        <v>52</v>
      </c>
      <c r="M18" s="29">
        <v>0</v>
      </c>
      <c r="N18" s="45"/>
      <c r="P18" s="18">
        <v>42749</v>
      </c>
      <c r="Q18" s="41">
        <v>129772</v>
      </c>
      <c r="R18" s="41">
        <v>129772</v>
      </c>
      <c r="S18" s="41">
        <v>130000</v>
      </c>
      <c r="T18" s="46">
        <f t="shared" si="0"/>
        <v>228</v>
      </c>
      <c r="U18" s="6" t="s">
        <v>20</v>
      </c>
    </row>
    <row r="19" spans="1:21" ht="16.5" thickBot="1" x14ac:dyDescent="0.3">
      <c r="A19" s="18">
        <v>42750</v>
      </c>
      <c r="B19" s="34">
        <v>118387.5</v>
      </c>
      <c r="C19" s="50" t="s">
        <v>53</v>
      </c>
      <c r="D19" s="21">
        <v>42750</v>
      </c>
      <c r="E19" s="35">
        <v>98310.5</v>
      </c>
      <c r="F19" s="23"/>
      <c r="G19" s="24">
        <v>42750</v>
      </c>
      <c r="H19" s="37">
        <v>0</v>
      </c>
      <c r="I19" s="38"/>
      <c r="J19" s="52" t="s">
        <v>54</v>
      </c>
      <c r="K19" s="29">
        <v>0</v>
      </c>
      <c r="L19" s="28" t="s">
        <v>55</v>
      </c>
      <c r="M19" s="29">
        <v>0</v>
      </c>
      <c r="N19" s="45"/>
      <c r="P19" s="18">
        <v>42750</v>
      </c>
      <c r="Q19" s="41">
        <v>118387.5</v>
      </c>
      <c r="R19" s="41">
        <v>118387.5</v>
      </c>
      <c r="S19" s="41">
        <v>120077</v>
      </c>
      <c r="T19" s="46">
        <f t="shared" si="0"/>
        <v>1689.5</v>
      </c>
      <c r="U19" s="6" t="s">
        <v>20</v>
      </c>
    </row>
    <row r="20" spans="1:21" ht="16.5" thickBot="1" x14ac:dyDescent="0.3">
      <c r="A20" s="18">
        <v>42751</v>
      </c>
      <c r="B20" s="34">
        <v>84465.5</v>
      </c>
      <c r="C20" s="57" t="s">
        <v>56</v>
      </c>
      <c r="D20" s="21">
        <v>42751</v>
      </c>
      <c r="E20" s="35">
        <v>88166</v>
      </c>
      <c r="F20" s="23"/>
      <c r="G20" s="24">
        <v>42751</v>
      </c>
      <c r="H20" s="37">
        <v>0</v>
      </c>
      <c r="I20" s="58"/>
      <c r="J20" s="59" t="s">
        <v>57</v>
      </c>
      <c r="K20" s="60">
        <v>0</v>
      </c>
      <c r="L20" s="28" t="s">
        <v>58</v>
      </c>
      <c r="M20" s="29">
        <v>0</v>
      </c>
      <c r="N20" s="45"/>
      <c r="P20" s="18">
        <v>42751</v>
      </c>
      <c r="Q20" s="41">
        <v>88166</v>
      </c>
      <c r="R20" s="41">
        <v>84465.5</v>
      </c>
      <c r="S20" s="41">
        <f>51000+20000+3000+11037.5</f>
        <v>85037.5</v>
      </c>
      <c r="T20" s="46">
        <f t="shared" si="0"/>
        <v>572</v>
      </c>
      <c r="U20" s="6" t="s">
        <v>20</v>
      </c>
    </row>
    <row r="21" spans="1:21" ht="16.5" thickBot="1" x14ac:dyDescent="0.3">
      <c r="A21" s="18">
        <v>42752</v>
      </c>
      <c r="B21" s="34">
        <v>38927.5</v>
      </c>
      <c r="C21" s="57" t="s">
        <v>59</v>
      </c>
      <c r="D21" s="21">
        <v>42752</v>
      </c>
      <c r="E21" s="35">
        <v>51035</v>
      </c>
      <c r="F21" s="23"/>
      <c r="G21" s="24">
        <v>42752</v>
      </c>
      <c r="H21" s="37">
        <v>0</v>
      </c>
      <c r="I21" s="38"/>
      <c r="J21" s="61"/>
      <c r="K21" s="60">
        <v>0</v>
      </c>
      <c r="L21" s="28" t="s">
        <v>60</v>
      </c>
      <c r="M21" s="29">
        <v>0</v>
      </c>
      <c r="N21" s="45"/>
      <c r="P21" s="18">
        <v>42752</v>
      </c>
      <c r="Q21" s="41">
        <v>51035</v>
      </c>
      <c r="R21" s="41">
        <v>38927.5</v>
      </c>
      <c r="S21" s="41">
        <v>38900</v>
      </c>
      <c r="T21" s="42">
        <f t="shared" si="0"/>
        <v>-27.5</v>
      </c>
      <c r="U21" s="12" t="s">
        <v>16</v>
      </c>
    </row>
    <row r="22" spans="1:21" ht="16.5" thickBot="1" x14ac:dyDescent="0.3">
      <c r="A22" s="18">
        <v>42753</v>
      </c>
      <c r="B22" s="34">
        <v>74675.5</v>
      </c>
      <c r="C22" s="50" t="s">
        <v>61</v>
      </c>
      <c r="D22" s="21">
        <v>42753</v>
      </c>
      <c r="E22" s="35">
        <v>78816.5</v>
      </c>
      <c r="F22" s="23"/>
      <c r="G22" s="24">
        <v>42753</v>
      </c>
      <c r="H22" s="37">
        <v>0</v>
      </c>
      <c r="I22" s="58"/>
      <c r="J22" s="62"/>
      <c r="K22" s="60">
        <v>0</v>
      </c>
      <c r="L22" s="28" t="s">
        <v>62</v>
      </c>
      <c r="M22" s="29">
        <v>0</v>
      </c>
      <c r="N22" s="45"/>
      <c r="P22" s="18">
        <v>42753</v>
      </c>
      <c r="Q22" s="41">
        <v>78816.5</v>
      </c>
      <c r="R22" s="41">
        <v>74675.5</v>
      </c>
      <c r="S22" s="41">
        <v>72650</v>
      </c>
      <c r="T22" s="42">
        <f t="shared" si="0"/>
        <v>-2025.5</v>
      </c>
      <c r="U22" s="6" t="s">
        <v>16</v>
      </c>
    </row>
    <row r="23" spans="1:21" ht="16.5" thickBot="1" x14ac:dyDescent="0.3">
      <c r="A23" s="18">
        <v>42754</v>
      </c>
      <c r="B23" s="34">
        <v>71257.5</v>
      </c>
      <c r="C23" s="50" t="s">
        <v>63</v>
      </c>
      <c r="D23" s="21">
        <v>42754</v>
      </c>
      <c r="E23" s="35">
        <v>71456</v>
      </c>
      <c r="F23" s="23"/>
      <c r="G23" s="24">
        <v>42754</v>
      </c>
      <c r="H23" s="37">
        <v>0</v>
      </c>
      <c r="I23" s="38"/>
      <c r="J23" s="63"/>
      <c r="K23" s="60">
        <v>0</v>
      </c>
      <c r="L23" s="28" t="s">
        <v>64</v>
      </c>
      <c r="M23" s="29">
        <v>0</v>
      </c>
      <c r="N23" s="45"/>
      <c r="P23" s="18">
        <v>42754</v>
      </c>
      <c r="Q23" s="41">
        <v>71456</v>
      </c>
      <c r="R23" s="41">
        <v>71257.5</v>
      </c>
      <c r="S23" s="41">
        <v>71257.5</v>
      </c>
      <c r="T23" s="46">
        <f t="shared" si="0"/>
        <v>0</v>
      </c>
    </row>
    <row r="24" spans="1:21" ht="16.5" thickBot="1" x14ac:dyDescent="0.3">
      <c r="A24" s="18">
        <v>42755</v>
      </c>
      <c r="B24" s="34">
        <v>84626</v>
      </c>
      <c r="C24" s="50" t="s">
        <v>65</v>
      </c>
      <c r="D24" s="21">
        <v>42755</v>
      </c>
      <c r="E24" s="35">
        <v>83076.5</v>
      </c>
      <c r="F24" s="23"/>
      <c r="G24" s="24">
        <v>42755</v>
      </c>
      <c r="H24" s="37">
        <v>0</v>
      </c>
      <c r="I24" s="38"/>
      <c r="J24" s="64" t="s">
        <v>66</v>
      </c>
      <c r="K24" s="60">
        <v>870</v>
      </c>
      <c r="L24" s="28" t="s">
        <v>67</v>
      </c>
      <c r="M24" s="29">
        <v>0</v>
      </c>
      <c r="N24" s="45"/>
      <c r="P24" s="18">
        <v>42755</v>
      </c>
      <c r="Q24" s="65"/>
      <c r="R24" s="65"/>
      <c r="S24" s="66"/>
      <c r="T24" s="67">
        <f>2918.5+10.5</f>
        <v>2929</v>
      </c>
      <c r="U24" s="6" t="s">
        <v>68</v>
      </c>
    </row>
    <row r="25" spans="1:21" ht="21.75" thickBot="1" x14ac:dyDescent="0.4">
      <c r="A25" s="18">
        <v>42756</v>
      </c>
      <c r="B25" s="34">
        <v>87259.5</v>
      </c>
      <c r="C25" s="57" t="s">
        <v>69</v>
      </c>
      <c r="D25" s="21">
        <v>42756</v>
      </c>
      <c r="E25" s="35">
        <v>87549.5</v>
      </c>
      <c r="F25" s="23"/>
      <c r="G25" s="24">
        <v>42756</v>
      </c>
      <c r="H25" s="37">
        <v>32</v>
      </c>
      <c r="I25" s="38"/>
      <c r="J25" s="68">
        <v>42740</v>
      </c>
      <c r="K25" s="60">
        <v>0</v>
      </c>
      <c r="L25" s="28" t="s">
        <v>70</v>
      </c>
      <c r="M25" s="29">
        <v>0</v>
      </c>
      <c r="N25" s="45"/>
      <c r="R25" s="484" t="s">
        <v>71</v>
      </c>
      <c r="S25" s="485"/>
      <c r="T25" s="69">
        <f>SUM(T6:T24)</f>
        <v>1034.5</v>
      </c>
    </row>
    <row r="26" spans="1:21" ht="15.75" thickBot="1" x14ac:dyDescent="0.3">
      <c r="A26" s="18">
        <v>42757</v>
      </c>
      <c r="B26" s="34">
        <v>56774</v>
      </c>
      <c r="C26" s="50" t="s">
        <v>72</v>
      </c>
      <c r="D26" s="21">
        <v>42757</v>
      </c>
      <c r="E26" s="35">
        <v>62320.5</v>
      </c>
      <c r="F26" s="23"/>
      <c r="G26" s="24">
        <v>42757</v>
      </c>
      <c r="H26" s="37">
        <v>0</v>
      </c>
      <c r="I26" s="38"/>
      <c r="J26" s="70" t="s">
        <v>73</v>
      </c>
      <c r="K26" s="60">
        <v>900</v>
      </c>
      <c r="L26" s="28" t="s">
        <v>74</v>
      </c>
      <c r="M26" s="29">
        <v>0</v>
      </c>
      <c r="N26" s="45"/>
      <c r="R26" s="71" t="s">
        <v>75</v>
      </c>
      <c r="S26" s="72"/>
      <c r="T26" s="72"/>
    </row>
    <row r="27" spans="1:21" ht="21.75" thickBot="1" x14ac:dyDescent="0.4">
      <c r="A27" s="18">
        <v>42758</v>
      </c>
      <c r="B27" s="34">
        <v>89094</v>
      </c>
      <c r="C27" s="50" t="s">
        <v>76</v>
      </c>
      <c r="D27" s="21">
        <v>42758</v>
      </c>
      <c r="E27" s="35">
        <v>89477</v>
      </c>
      <c r="F27" s="23"/>
      <c r="G27" s="24">
        <v>42758</v>
      </c>
      <c r="H27" s="37">
        <v>0</v>
      </c>
      <c r="I27" s="38"/>
      <c r="J27" s="73">
        <v>42740</v>
      </c>
      <c r="K27" s="60">
        <v>0</v>
      </c>
      <c r="L27" s="28" t="s">
        <v>77</v>
      </c>
      <c r="M27" s="29">
        <v>0</v>
      </c>
      <c r="U27" s="74" t="s">
        <v>78</v>
      </c>
    </row>
    <row r="28" spans="1:21" ht="15.75" thickBot="1" x14ac:dyDescent="0.3">
      <c r="A28" s="18">
        <v>42759</v>
      </c>
      <c r="B28" s="34">
        <v>34715.5</v>
      </c>
      <c r="C28" s="50" t="s">
        <v>79</v>
      </c>
      <c r="D28" s="21">
        <v>42759</v>
      </c>
      <c r="E28" s="35">
        <v>17520</v>
      </c>
      <c r="F28" s="23"/>
      <c r="G28" s="24">
        <v>42759</v>
      </c>
      <c r="H28" s="37">
        <v>0</v>
      </c>
      <c r="I28" s="38"/>
      <c r="J28" s="70" t="s">
        <v>80</v>
      </c>
      <c r="K28" s="60">
        <v>0</v>
      </c>
      <c r="L28" s="75" t="s">
        <v>81</v>
      </c>
      <c r="M28" s="29">
        <v>0</v>
      </c>
    </row>
    <row r="29" spans="1:21" ht="15.75" thickBot="1" x14ac:dyDescent="0.3">
      <c r="A29" s="18">
        <v>42760</v>
      </c>
      <c r="B29" s="34">
        <v>51481</v>
      </c>
      <c r="C29" s="50" t="s">
        <v>173</v>
      </c>
      <c r="D29" s="21">
        <v>42760</v>
      </c>
      <c r="E29" s="35">
        <v>51404.5</v>
      </c>
      <c r="F29" s="23"/>
      <c r="G29" s="24">
        <v>42760</v>
      </c>
      <c r="H29" s="37">
        <v>0</v>
      </c>
      <c r="I29" s="38"/>
      <c r="J29" s="68"/>
      <c r="K29" s="60">
        <v>0</v>
      </c>
      <c r="L29" s="28" t="s">
        <v>174</v>
      </c>
      <c r="M29" s="29">
        <v>0</v>
      </c>
    </row>
    <row r="30" spans="1:21" ht="15.75" thickBot="1" x14ac:dyDescent="0.3">
      <c r="A30" s="18">
        <v>42761</v>
      </c>
      <c r="B30" s="34">
        <v>48374.5</v>
      </c>
      <c r="C30" s="20" t="s">
        <v>179</v>
      </c>
      <c r="D30" s="21">
        <v>42761</v>
      </c>
      <c r="E30" s="35">
        <v>53775</v>
      </c>
      <c r="F30" s="23"/>
      <c r="G30" s="24">
        <v>42761</v>
      </c>
      <c r="H30" s="37">
        <v>0</v>
      </c>
      <c r="I30" s="38"/>
      <c r="J30" s="76" t="s">
        <v>82</v>
      </c>
      <c r="K30" s="60">
        <v>840</v>
      </c>
      <c r="L30" s="75" t="s">
        <v>180</v>
      </c>
      <c r="M30" s="29">
        <v>0</v>
      </c>
    </row>
    <row r="31" spans="1:21" ht="15.75" thickBot="1" x14ac:dyDescent="0.3">
      <c r="A31" s="18">
        <v>42762</v>
      </c>
      <c r="B31" s="34">
        <v>68160.5</v>
      </c>
      <c r="C31" s="20" t="s">
        <v>181</v>
      </c>
      <c r="D31" s="21">
        <v>42762</v>
      </c>
      <c r="E31" s="35">
        <v>67909</v>
      </c>
      <c r="F31" s="23"/>
      <c r="G31" s="24">
        <v>42762</v>
      </c>
      <c r="H31" s="37">
        <v>14</v>
      </c>
      <c r="I31" s="38"/>
      <c r="J31" s="77">
        <v>42755</v>
      </c>
      <c r="K31" s="60">
        <v>0</v>
      </c>
      <c r="L31" s="75" t="s">
        <v>182</v>
      </c>
      <c r="M31" s="29">
        <v>0</v>
      </c>
    </row>
    <row r="32" spans="1:21" ht="15.75" thickBot="1" x14ac:dyDescent="0.3">
      <c r="A32" s="18">
        <v>42763</v>
      </c>
      <c r="B32" s="34">
        <v>92622</v>
      </c>
      <c r="C32" s="57" t="s">
        <v>183</v>
      </c>
      <c r="D32" s="21">
        <v>42763</v>
      </c>
      <c r="E32" s="35">
        <v>97909.5</v>
      </c>
      <c r="F32" s="23"/>
      <c r="G32" s="24">
        <v>42763</v>
      </c>
      <c r="H32" s="37">
        <v>0</v>
      </c>
      <c r="I32" s="38"/>
      <c r="J32" s="76"/>
      <c r="K32" s="40"/>
      <c r="L32" s="28" t="s">
        <v>184</v>
      </c>
      <c r="M32" s="29">
        <v>0</v>
      </c>
    </row>
    <row r="33" spans="1:13" ht="15.75" thickBot="1" x14ac:dyDescent="0.3">
      <c r="A33" s="18">
        <v>42764</v>
      </c>
      <c r="B33" s="34">
        <v>86861.5</v>
      </c>
      <c r="C33" s="48" t="s">
        <v>186</v>
      </c>
      <c r="D33" s="21">
        <v>42764</v>
      </c>
      <c r="E33" s="35">
        <v>85932.5</v>
      </c>
      <c r="F33" s="23"/>
      <c r="G33" s="24">
        <v>42764</v>
      </c>
      <c r="H33" s="37">
        <v>0</v>
      </c>
      <c r="I33" s="38"/>
      <c r="J33" s="78" t="s">
        <v>83</v>
      </c>
      <c r="K33" s="79">
        <v>2000</v>
      </c>
      <c r="L33" s="28" t="s">
        <v>187</v>
      </c>
      <c r="M33" s="29">
        <v>0</v>
      </c>
    </row>
    <row r="34" spans="1:13" ht="15.75" thickBot="1" x14ac:dyDescent="0.3">
      <c r="A34" s="18">
        <v>42765</v>
      </c>
      <c r="B34" s="34">
        <v>66828</v>
      </c>
      <c r="C34" s="57" t="s">
        <v>189</v>
      </c>
      <c r="D34" s="21">
        <v>42765</v>
      </c>
      <c r="E34" s="35">
        <v>55911</v>
      </c>
      <c r="F34" s="23"/>
      <c r="G34" s="24">
        <v>42765</v>
      </c>
      <c r="H34" s="37">
        <v>32</v>
      </c>
      <c r="I34" s="38"/>
      <c r="J34" s="78" t="s">
        <v>84</v>
      </c>
      <c r="K34" s="79"/>
      <c r="L34" s="80" t="s">
        <v>188</v>
      </c>
      <c r="M34" s="29">
        <v>0</v>
      </c>
    </row>
    <row r="35" spans="1:13" ht="15.75" thickBot="1" x14ac:dyDescent="0.3">
      <c r="A35" s="18">
        <v>42766</v>
      </c>
      <c r="B35" s="34">
        <v>29424</v>
      </c>
      <c r="C35" s="20" t="s">
        <v>190</v>
      </c>
      <c r="D35" s="21">
        <v>42766</v>
      </c>
      <c r="E35" s="35">
        <v>29706</v>
      </c>
      <c r="F35" s="23"/>
      <c r="G35" s="24">
        <v>42766</v>
      </c>
      <c r="H35" s="37">
        <v>110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2004348.3</v>
      </c>
      <c r="D38" s="100" t="s">
        <v>85</v>
      </c>
      <c r="E38" s="101">
        <f>SUM(E5:E37)</f>
        <v>1997463</v>
      </c>
      <c r="G38" s="7" t="s">
        <v>85</v>
      </c>
      <c r="H38" s="4">
        <f>SUM(H5:H37)</f>
        <v>456</v>
      </c>
      <c r="I38" s="4"/>
      <c r="J38" s="102" t="s">
        <v>85</v>
      </c>
      <c r="K38" s="103">
        <f t="shared" ref="K38" si="1">SUM(K5:K37)</f>
        <v>66133.87000000001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479" t="s">
        <v>86</v>
      </c>
      <c r="H40" s="480"/>
      <c r="I40" s="107"/>
      <c r="J40" s="481">
        <f>H38+K38</f>
        <v>66589.87000000001</v>
      </c>
      <c r="K40" s="482"/>
      <c r="L40" s="108"/>
      <c r="M40" s="108"/>
    </row>
    <row r="41" spans="1:13" ht="15.75" x14ac:dyDescent="0.25">
      <c r="A41" s="1"/>
      <c r="B41" s="5"/>
      <c r="C41" s="501" t="s">
        <v>87</v>
      </c>
      <c r="D41" s="501"/>
      <c r="E41" s="109">
        <f>E38-J40</f>
        <v>1930873.13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-2004980.39</v>
      </c>
      <c r="H43" s="500"/>
      <c r="I43" s="500"/>
      <c r="J43" s="500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-74107.260000000009</v>
      </c>
      <c r="H44" s="502" t="s">
        <v>91</v>
      </c>
      <c r="I44" s="502"/>
      <c r="J44" s="503">
        <f>E46</f>
        <v>129048.47</v>
      </c>
      <c r="K44" s="504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203155.73</v>
      </c>
      <c r="H45" s="505" t="s">
        <v>3</v>
      </c>
      <c r="I45" s="505"/>
      <c r="J45" s="490">
        <v>-129301.16</v>
      </c>
      <c r="K45" s="490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129048.47</v>
      </c>
      <c r="I46" s="116"/>
      <c r="J46" s="495">
        <v>0</v>
      </c>
      <c r="K46" s="495"/>
      <c r="L46" s="108"/>
      <c r="M46" s="108"/>
    </row>
    <row r="47" spans="1:13" ht="19.5" thickBot="1" x14ac:dyDescent="0.3">
      <c r="A47" s="1"/>
      <c r="B47" s="5"/>
      <c r="E47" s="109"/>
      <c r="H47" s="496" t="s">
        <v>270</v>
      </c>
      <c r="I47" s="497"/>
      <c r="J47" s="498">
        <f>SUM(J44:K46)</f>
        <v>-252.69000000000233</v>
      </c>
      <c r="K47" s="499"/>
      <c r="L47" s="108"/>
      <c r="M47" s="108"/>
    </row>
    <row r="48" spans="1:13" x14ac:dyDescent="0.25">
      <c r="A48" s="1"/>
      <c r="B48" s="5"/>
      <c r="C48" s="500"/>
      <c r="D48" s="500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23">
    <mergeCell ref="J46:K46"/>
    <mergeCell ref="H47:I47"/>
    <mergeCell ref="J47:K47"/>
    <mergeCell ref="C48:D48"/>
    <mergeCell ref="C41:D41"/>
    <mergeCell ref="H43:J43"/>
    <mergeCell ref="H44:I44"/>
    <mergeCell ref="J44:K44"/>
    <mergeCell ref="H45:I45"/>
    <mergeCell ref="J45:K45"/>
    <mergeCell ref="B1:J1"/>
    <mergeCell ref="G2:I2"/>
    <mergeCell ref="J2:K2"/>
    <mergeCell ref="S3:T3"/>
    <mergeCell ref="D4:E4"/>
    <mergeCell ref="H4:K4"/>
    <mergeCell ref="A3:A4"/>
    <mergeCell ref="Q3:Q4"/>
    <mergeCell ref="R3:R4"/>
    <mergeCell ref="G40:H40"/>
    <mergeCell ref="J40:K40"/>
    <mergeCell ref="J17:J18"/>
    <mergeCell ref="R25:S2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54"/>
  <sheetViews>
    <sheetView topLeftCell="A25" workbookViewId="0">
      <selection activeCell="E39" sqref="E3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3" max="13" width="12.28515625" customWidth="1"/>
    <col min="14" max="14" width="13.85546875" bestFit="1" customWidth="1"/>
    <col min="15" max="15" width="13.7109375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506" t="s">
        <v>95</v>
      </c>
      <c r="D1" s="507"/>
      <c r="E1" s="508"/>
      <c r="F1" s="119"/>
      <c r="H1">
        <v>9581</v>
      </c>
      <c r="I1" s="45">
        <v>31729</v>
      </c>
      <c r="J1" s="154"/>
      <c r="K1" s="343">
        <v>42868</v>
      </c>
      <c r="L1" s="216"/>
      <c r="M1" s="217" t="s">
        <v>141</v>
      </c>
      <c r="N1" s="111"/>
      <c r="O1" s="158"/>
      <c r="R1">
        <v>12175</v>
      </c>
      <c r="S1" s="45">
        <f>7047</f>
        <v>7047</v>
      </c>
      <c r="T1" s="154"/>
      <c r="U1" s="391">
        <v>42886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23959+47473</f>
        <v>71432</v>
      </c>
      <c r="J2" s="291" t="s">
        <v>480</v>
      </c>
      <c r="K2" s="148">
        <v>48031.73</v>
      </c>
      <c r="L2" s="214" t="s">
        <v>143</v>
      </c>
      <c r="M2" s="160">
        <v>3797685</v>
      </c>
      <c r="N2" s="161">
        <v>30000</v>
      </c>
      <c r="O2" s="162">
        <v>42853</v>
      </c>
      <c r="S2" s="45">
        <f>23593+47132.5+5118</f>
        <v>75843.5</v>
      </c>
      <c r="T2" s="366" t="s">
        <v>535</v>
      </c>
      <c r="U2" s="148">
        <v>32414.23</v>
      </c>
      <c r="V2" s="214" t="s">
        <v>143</v>
      </c>
      <c r="W2" s="160">
        <v>3718009</v>
      </c>
      <c r="X2" s="161">
        <v>30640</v>
      </c>
      <c r="Y2" s="162">
        <v>42872</v>
      </c>
    </row>
    <row r="3" spans="1:25" ht="15.75" x14ac:dyDescent="0.25">
      <c r="A3" s="125">
        <v>42856</v>
      </c>
      <c r="B3" s="126" t="s">
        <v>503</v>
      </c>
      <c r="C3" s="127">
        <v>41256.550000000003</v>
      </c>
      <c r="D3" s="128">
        <v>42868</v>
      </c>
      <c r="E3" s="127">
        <v>41256.550000000003</v>
      </c>
      <c r="F3" s="129">
        <f t="shared" ref="F3:F48" si="0">C3-E3</f>
        <v>0</v>
      </c>
      <c r="I3" s="45">
        <f>35745+3616</f>
        <v>39361</v>
      </c>
      <c r="J3" s="291" t="s">
        <v>496</v>
      </c>
      <c r="K3" s="139">
        <v>39360.85</v>
      </c>
      <c r="L3" s="159"/>
      <c r="M3" s="160">
        <v>3797685</v>
      </c>
      <c r="N3" s="161">
        <v>25688</v>
      </c>
      <c r="O3" s="162">
        <v>42853</v>
      </c>
      <c r="S3" s="45">
        <f>41460+25947.5</f>
        <v>67407.5</v>
      </c>
      <c r="T3" s="132" t="s">
        <v>554</v>
      </c>
      <c r="U3" s="133">
        <v>67407.48</v>
      </c>
      <c r="V3" s="159"/>
      <c r="W3" s="160" t="s">
        <v>154</v>
      </c>
      <c r="X3" s="161">
        <v>4703</v>
      </c>
      <c r="Y3" s="162">
        <v>42871</v>
      </c>
    </row>
    <row r="4" spans="1:25" ht="15.75" x14ac:dyDescent="0.25">
      <c r="A4" s="131">
        <v>42857</v>
      </c>
      <c r="B4" s="132" t="s">
        <v>504</v>
      </c>
      <c r="C4" s="133">
        <v>743.4</v>
      </c>
      <c r="D4" s="128">
        <v>42868</v>
      </c>
      <c r="E4" s="133">
        <v>743.4</v>
      </c>
      <c r="F4" s="134">
        <f t="shared" si="0"/>
        <v>0</v>
      </c>
      <c r="I4" s="45">
        <f>7308+26711</f>
        <v>34019</v>
      </c>
      <c r="J4" s="291" t="s">
        <v>497</v>
      </c>
      <c r="K4" s="139">
        <v>34019</v>
      </c>
      <c r="L4" s="163"/>
      <c r="M4" s="160">
        <v>3797687</v>
      </c>
      <c r="N4" s="161">
        <v>50000</v>
      </c>
      <c r="O4" s="162">
        <v>42854</v>
      </c>
      <c r="S4" s="45">
        <v>41938</v>
      </c>
      <c r="T4" s="132" t="s">
        <v>555</v>
      </c>
      <c r="U4" s="133">
        <v>41938</v>
      </c>
      <c r="V4" s="163"/>
      <c r="W4" s="160">
        <v>3718010</v>
      </c>
      <c r="X4" s="161">
        <v>47132.5</v>
      </c>
      <c r="Y4" s="162">
        <v>42873</v>
      </c>
    </row>
    <row r="5" spans="1:25" ht="15.75" x14ac:dyDescent="0.25">
      <c r="A5" s="131">
        <v>42859</v>
      </c>
      <c r="B5" s="132" t="s">
        <v>505</v>
      </c>
      <c r="C5" s="133">
        <v>41024.81</v>
      </c>
      <c r="D5" s="128">
        <v>42868</v>
      </c>
      <c r="E5" s="133">
        <v>41024.81</v>
      </c>
      <c r="F5" s="134">
        <f t="shared" si="0"/>
        <v>0</v>
      </c>
      <c r="I5" s="45">
        <f>18631.5+22625</f>
        <v>41256.5</v>
      </c>
      <c r="J5" s="126" t="s">
        <v>503</v>
      </c>
      <c r="K5" s="127">
        <v>41256.550000000003</v>
      </c>
      <c r="L5" s="164"/>
      <c r="M5" s="160">
        <v>3797688</v>
      </c>
      <c r="N5" s="161">
        <v>33218</v>
      </c>
      <c r="O5" s="162">
        <v>42854</v>
      </c>
      <c r="S5" s="45">
        <f>16340+17407.5</f>
        <v>33747.5</v>
      </c>
      <c r="T5" s="290" t="s">
        <v>556</v>
      </c>
      <c r="U5" s="133">
        <v>34583.440000000002</v>
      </c>
      <c r="V5" s="164"/>
      <c r="W5" s="160">
        <v>3718011</v>
      </c>
      <c r="X5" s="161">
        <v>27578</v>
      </c>
      <c r="Y5" s="162">
        <v>42874</v>
      </c>
    </row>
    <row r="6" spans="1:25" ht="15.75" x14ac:dyDescent="0.25">
      <c r="A6" s="131">
        <v>42859</v>
      </c>
      <c r="B6" s="132" t="s">
        <v>506</v>
      </c>
      <c r="C6" s="133">
        <v>1872.5</v>
      </c>
      <c r="D6" s="128">
        <v>42868</v>
      </c>
      <c r="E6" s="133">
        <v>1872.5</v>
      </c>
      <c r="F6" s="135">
        <f t="shared" si="0"/>
        <v>0</v>
      </c>
      <c r="I6" s="45">
        <v>743.5</v>
      </c>
      <c r="J6" s="132" t="s">
        <v>504</v>
      </c>
      <c r="K6" s="133">
        <v>743.4</v>
      </c>
      <c r="L6" s="277"/>
      <c r="M6" s="160">
        <v>3797689</v>
      </c>
      <c r="N6" s="161">
        <v>40000</v>
      </c>
      <c r="O6" s="162">
        <v>42855</v>
      </c>
      <c r="S6" s="45">
        <v>12274</v>
      </c>
      <c r="T6" s="290" t="s">
        <v>579</v>
      </c>
      <c r="U6" s="133">
        <v>12273.9</v>
      </c>
      <c r="V6" s="277"/>
      <c r="W6" s="160" t="s">
        <v>154</v>
      </c>
      <c r="X6" s="161">
        <v>19000</v>
      </c>
      <c r="Y6" s="162">
        <v>42874</v>
      </c>
    </row>
    <row r="7" spans="1:25" ht="15.75" x14ac:dyDescent="0.25">
      <c r="A7" s="131">
        <v>42859</v>
      </c>
      <c r="B7" s="132" t="s">
        <v>507</v>
      </c>
      <c r="C7" s="133">
        <v>78679.08</v>
      </c>
      <c r="D7" s="128">
        <v>42868</v>
      </c>
      <c r="E7" s="133">
        <v>78679.08</v>
      </c>
      <c r="F7" s="135">
        <f t="shared" si="0"/>
        <v>0</v>
      </c>
      <c r="I7" s="45">
        <f>24800.5+16224.5</f>
        <v>41025</v>
      </c>
      <c r="J7" s="132" t="s">
        <v>505</v>
      </c>
      <c r="K7" s="133">
        <v>41024.81</v>
      </c>
      <c r="L7" s="163"/>
      <c r="M7" s="160">
        <v>3797690</v>
      </c>
      <c r="N7" s="161">
        <v>7500</v>
      </c>
      <c r="O7" s="162">
        <v>42855</v>
      </c>
      <c r="S7" s="45">
        <f>34289+1167.5</f>
        <v>35456.5</v>
      </c>
      <c r="T7" s="290" t="s">
        <v>578</v>
      </c>
      <c r="U7" s="133">
        <v>35456.300000000003</v>
      </c>
      <c r="V7" s="163"/>
      <c r="W7" s="160">
        <v>3718012</v>
      </c>
      <c r="X7" s="161">
        <v>45000</v>
      </c>
      <c r="Y7" s="162">
        <v>42875</v>
      </c>
    </row>
    <row r="8" spans="1:25" ht="15.75" x14ac:dyDescent="0.25">
      <c r="A8" s="131">
        <v>42860</v>
      </c>
      <c r="B8" s="132" t="s">
        <v>508</v>
      </c>
      <c r="C8" s="133">
        <v>34740.35</v>
      </c>
      <c r="D8" s="128">
        <v>42868</v>
      </c>
      <c r="E8" s="133">
        <v>34740.35</v>
      </c>
      <c r="F8" s="135">
        <f t="shared" si="0"/>
        <v>0</v>
      </c>
      <c r="I8" s="45">
        <v>1872.5</v>
      </c>
      <c r="J8" s="132" t="s">
        <v>506</v>
      </c>
      <c r="K8" s="133">
        <v>1872.5</v>
      </c>
      <c r="L8" s="165"/>
      <c r="M8" s="160" t="s">
        <v>154</v>
      </c>
      <c r="N8" s="161">
        <v>7308</v>
      </c>
      <c r="O8" s="162">
        <v>42853</v>
      </c>
      <c r="S8" s="45">
        <v>36310.5</v>
      </c>
      <c r="T8" s="290" t="s">
        <v>580</v>
      </c>
      <c r="U8" s="133">
        <v>36310.559999999998</v>
      </c>
      <c r="V8" s="165"/>
      <c r="W8" s="160">
        <v>3718013</v>
      </c>
      <c r="X8" s="161">
        <v>39225.5</v>
      </c>
      <c r="Y8" s="162">
        <v>42875</v>
      </c>
    </row>
    <row r="9" spans="1:25" ht="15.75" x14ac:dyDescent="0.25">
      <c r="A9" s="131">
        <v>42859</v>
      </c>
      <c r="B9" s="132" t="s">
        <v>509</v>
      </c>
      <c r="C9" s="133">
        <v>30863</v>
      </c>
      <c r="D9" s="128">
        <v>42868</v>
      </c>
      <c r="E9" s="133">
        <v>30863</v>
      </c>
      <c r="F9" s="135">
        <f t="shared" si="0"/>
        <v>0</v>
      </c>
      <c r="I9" s="45">
        <f>9596+5099.5+31205.5+32778</f>
        <v>78679</v>
      </c>
      <c r="J9" s="132" t="s">
        <v>507</v>
      </c>
      <c r="K9" s="133">
        <v>78679.08</v>
      </c>
      <c r="L9" s="163"/>
      <c r="M9" s="160" t="s">
        <v>154</v>
      </c>
      <c r="N9" s="166">
        <v>1458.5</v>
      </c>
      <c r="O9" s="167">
        <v>42857</v>
      </c>
      <c r="S9" s="45">
        <f>16323.5+18349+29681+5204</f>
        <v>69557.5</v>
      </c>
      <c r="T9" s="290" t="s">
        <v>581</v>
      </c>
      <c r="U9" s="133">
        <v>69557.62</v>
      </c>
      <c r="V9" s="163"/>
      <c r="W9" s="160">
        <v>3718014</v>
      </c>
      <c r="X9" s="166">
        <v>50000</v>
      </c>
      <c r="Y9" s="167">
        <v>42876</v>
      </c>
    </row>
    <row r="10" spans="1:25" ht="15.75" x14ac:dyDescent="0.25">
      <c r="A10" s="131">
        <v>42860</v>
      </c>
      <c r="B10" s="132" t="s">
        <v>510</v>
      </c>
      <c r="C10" s="133">
        <v>42011.15</v>
      </c>
      <c r="D10" s="128">
        <v>42868</v>
      </c>
      <c r="E10" s="133">
        <v>42011.15</v>
      </c>
      <c r="F10" s="135">
        <f t="shared" si="0"/>
        <v>0</v>
      </c>
      <c r="I10" s="45">
        <f>4361+30379.5</f>
        <v>34740.5</v>
      </c>
      <c r="J10" s="132" t="s">
        <v>508</v>
      </c>
      <c r="K10" s="133">
        <v>34740.35</v>
      </c>
      <c r="L10" s="168"/>
      <c r="M10" s="160">
        <v>3797691</v>
      </c>
      <c r="N10" s="148">
        <v>42432</v>
      </c>
      <c r="O10" s="167">
        <v>42856</v>
      </c>
      <c r="S10" s="45">
        <f>27185+5282+11196.5</f>
        <v>43663.5</v>
      </c>
      <c r="T10" s="290" t="s">
        <v>582</v>
      </c>
      <c r="U10" s="133">
        <v>43663.68</v>
      </c>
      <c r="V10" s="168"/>
      <c r="W10" s="160">
        <v>3718015</v>
      </c>
      <c r="X10" s="148">
        <v>13970.5</v>
      </c>
      <c r="Y10" s="167">
        <v>42876</v>
      </c>
    </row>
    <row r="11" spans="1:25" ht="17.25" customHeight="1" x14ac:dyDescent="0.25">
      <c r="A11" s="131">
        <v>42861</v>
      </c>
      <c r="B11" s="132" t="s">
        <v>511</v>
      </c>
      <c r="C11" s="133">
        <v>69994.16</v>
      </c>
      <c r="D11" s="128">
        <v>42868</v>
      </c>
      <c r="E11" s="133">
        <v>69994.16</v>
      </c>
      <c r="F11" s="135">
        <f t="shared" si="0"/>
        <v>0</v>
      </c>
      <c r="I11" s="45">
        <v>30863</v>
      </c>
      <c r="J11" s="132" t="s">
        <v>509</v>
      </c>
      <c r="K11" s="133">
        <v>30863</v>
      </c>
      <c r="L11" s="168"/>
      <c r="M11" s="160" t="s">
        <v>154</v>
      </c>
      <c r="N11" s="161">
        <v>5737</v>
      </c>
      <c r="O11" s="162">
        <v>42857</v>
      </c>
      <c r="S11" s="45">
        <v>33164</v>
      </c>
      <c r="T11" s="394" t="s">
        <v>607</v>
      </c>
      <c r="U11" s="392">
        <v>33164.25</v>
      </c>
      <c r="V11" s="395" t="s">
        <v>608</v>
      </c>
      <c r="W11" s="160"/>
      <c r="X11" s="161"/>
      <c r="Y11" s="162"/>
    </row>
    <row r="12" spans="1:25" ht="15.75" x14ac:dyDescent="0.25">
      <c r="A12" s="131">
        <v>42862</v>
      </c>
      <c r="B12" s="132" t="s">
        <v>512</v>
      </c>
      <c r="C12" s="133">
        <v>33426</v>
      </c>
      <c r="D12" s="128">
        <v>42868</v>
      </c>
      <c r="E12" s="133">
        <v>33426</v>
      </c>
      <c r="F12" s="135">
        <f t="shared" si="0"/>
        <v>0</v>
      </c>
      <c r="I12" s="45">
        <f>11571.5+30439.5</f>
        <v>42011</v>
      </c>
      <c r="J12" s="132" t="s">
        <v>510</v>
      </c>
      <c r="K12" s="133">
        <v>42011.15</v>
      </c>
      <c r="L12" s="168"/>
      <c r="M12" s="160">
        <v>3797692</v>
      </c>
      <c r="N12" s="161">
        <v>20000</v>
      </c>
      <c r="O12" s="162">
        <v>42857</v>
      </c>
      <c r="S12" s="45">
        <f>16049</f>
        <v>16049</v>
      </c>
      <c r="T12" s="290" t="s">
        <v>583</v>
      </c>
      <c r="U12" s="133">
        <v>31608.5</v>
      </c>
      <c r="V12" s="168"/>
      <c r="W12" s="160">
        <v>3718016</v>
      </c>
      <c r="X12" s="161">
        <v>38000</v>
      </c>
      <c r="Y12" s="162">
        <v>42877</v>
      </c>
    </row>
    <row r="13" spans="1:25" ht="15.75" x14ac:dyDescent="0.25">
      <c r="A13" s="131">
        <v>42862</v>
      </c>
      <c r="B13" s="132" t="s">
        <v>513</v>
      </c>
      <c r="C13" s="133">
        <v>39836.400000000001</v>
      </c>
      <c r="D13" s="128">
        <v>42868</v>
      </c>
      <c r="E13" s="133">
        <v>39836.400000000001</v>
      </c>
      <c r="F13" s="135">
        <f t="shared" si="0"/>
        <v>0</v>
      </c>
      <c r="I13" s="45">
        <f>66149.5+3844.5</f>
        <v>69994</v>
      </c>
      <c r="J13" s="132" t="s">
        <v>511</v>
      </c>
      <c r="K13" s="133">
        <v>69994.16</v>
      </c>
      <c r="L13" s="168"/>
      <c r="M13" s="160">
        <v>3797693</v>
      </c>
      <c r="N13" s="161">
        <v>7693</v>
      </c>
      <c r="O13" s="162">
        <v>42857</v>
      </c>
      <c r="S13" s="45">
        <v>38104.5</v>
      </c>
      <c r="T13" s="290" t="s">
        <v>584</v>
      </c>
      <c r="U13" s="133">
        <v>38104.36</v>
      </c>
      <c r="V13" s="168"/>
      <c r="W13" s="160">
        <v>3718018</v>
      </c>
      <c r="X13" s="161">
        <v>15801.5</v>
      </c>
      <c r="Y13" s="162">
        <v>42877</v>
      </c>
    </row>
    <row r="14" spans="1:25" ht="15.75" x14ac:dyDescent="0.25">
      <c r="A14" s="131">
        <v>42863</v>
      </c>
      <c r="B14" s="132" t="s">
        <v>514</v>
      </c>
      <c r="C14" s="133">
        <v>46002.36</v>
      </c>
      <c r="D14" s="128">
        <v>42868</v>
      </c>
      <c r="E14" s="133">
        <v>46002.36</v>
      </c>
      <c r="F14" s="135">
        <f t="shared" si="0"/>
        <v>0</v>
      </c>
      <c r="I14" s="45">
        <v>33426</v>
      </c>
      <c r="J14" s="132" t="s">
        <v>512</v>
      </c>
      <c r="K14" s="133">
        <v>33426</v>
      </c>
      <c r="L14" s="168"/>
      <c r="M14" s="160">
        <v>3797694</v>
      </c>
      <c r="N14" s="161">
        <v>20000</v>
      </c>
      <c r="O14" s="162">
        <v>42858</v>
      </c>
      <c r="R14">
        <v>33563.5</v>
      </c>
      <c r="S14" s="45"/>
      <c r="T14" s="393" t="s">
        <v>585</v>
      </c>
      <c r="U14" s="133">
        <v>32981.68</v>
      </c>
      <c r="V14" s="168" t="s">
        <v>159</v>
      </c>
      <c r="W14" s="160" t="s">
        <v>154</v>
      </c>
      <c r="X14" s="161">
        <v>10000</v>
      </c>
      <c r="Y14" s="162">
        <v>42878</v>
      </c>
    </row>
    <row r="15" spans="1:25" ht="15.75" x14ac:dyDescent="0.25">
      <c r="A15" s="131">
        <v>42864</v>
      </c>
      <c r="B15" s="132" t="s">
        <v>515</v>
      </c>
      <c r="C15" s="133">
        <v>472</v>
      </c>
      <c r="D15" s="128">
        <v>42868</v>
      </c>
      <c r="E15" s="133">
        <v>472</v>
      </c>
      <c r="F15" s="135">
        <f t="shared" si="0"/>
        <v>0</v>
      </c>
      <c r="I15" s="45">
        <f>26489+13347.5</f>
        <v>39836.5</v>
      </c>
      <c r="J15" s="132" t="s">
        <v>513</v>
      </c>
      <c r="K15" s="133">
        <v>39836.400000000001</v>
      </c>
      <c r="L15" s="168"/>
      <c r="M15" s="160">
        <v>3797695</v>
      </c>
      <c r="N15" s="161">
        <v>11205.5</v>
      </c>
      <c r="O15" s="162">
        <v>42858</v>
      </c>
      <c r="S15" s="45"/>
      <c r="T15" s="132"/>
      <c r="U15" s="133"/>
      <c r="V15" s="168"/>
      <c r="W15" s="160" t="s">
        <v>154</v>
      </c>
      <c r="X15" s="161">
        <v>8349</v>
      </c>
      <c r="Y15" s="162">
        <v>42879</v>
      </c>
    </row>
    <row r="16" spans="1:25" ht="15.75" x14ac:dyDescent="0.25">
      <c r="A16" s="131">
        <v>42865</v>
      </c>
      <c r="B16" s="132" t="s">
        <v>516</v>
      </c>
      <c r="C16" s="133">
        <v>36318.660000000003</v>
      </c>
      <c r="D16" s="128">
        <v>42868</v>
      </c>
      <c r="E16" s="133">
        <v>36318.660000000003</v>
      </c>
      <c r="F16" s="135">
        <f t="shared" si="0"/>
        <v>0</v>
      </c>
      <c r="I16" s="45">
        <f>38335.5</f>
        <v>38335.5</v>
      </c>
      <c r="J16" s="132" t="s">
        <v>514</v>
      </c>
      <c r="K16" s="133">
        <v>46002.36</v>
      </c>
      <c r="L16" s="197"/>
      <c r="M16" s="198" t="s">
        <v>154</v>
      </c>
      <c r="N16" s="148">
        <v>5099.5</v>
      </c>
      <c r="O16" s="167">
        <v>42857</v>
      </c>
      <c r="S16" s="45"/>
      <c r="T16" s="132"/>
      <c r="U16" s="133"/>
      <c r="V16" s="197"/>
      <c r="W16" s="198" t="s">
        <v>154</v>
      </c>
      <c r="X16" s="148">
        <v>15000</v>
      </c>
      <c r="Y16" s="167">
        <v>42879</v>
      </c>
    </row>
    <row r="17" spans="1:26" ht="15.75" x14ac:dyDescent="0.25">
      <c r="A17" s="131">
        <v>42866</v>
      </c>
      <c r="B17" s="132" t="s">
        <v>517</v>
      </c>
      <c r="C17" s="133">
        <v>37783.760000000002</v>
      </c>
      <c r="D17" s="128" t="s">
        <v>577</v>
      </c>
      <c r="E17" s="133">
        <f>10672+27111.76</f>
        <v>37783.759999999995</v>
      </c>
      <c r="F17" s="135">
        <f t="shared" si="0"/>
        <v>0</v>
      </c>
      <c r="I17" s="45"/>
      <c r="J17" s="132" t="s">
        <v>515</v>
      </c>
      <c r="K17" s="133">
        <v>472</v>
      </c>
      <c r="L17" s="344"/>
      <c r="M17" s="270">
        <v>3797696</v>
      </c>
      <c r="N17" s="148">
        <v>20000</v>
      </c>
      <c r="O17" s="167">
        <v>42859</v>
      </c>
      <c r="S17" s="45"/>
      <c r="T17" s="132"/>
      <c r="U17" s="133"/>
      <c r="V17" s="344"/>
      <c r="W17" s="270" t="s">
        <v>154</v>
      </c>
      <c r="X17" s="148">
        <v>14681</v>
      </c>
      <c r="Y17" s="167">
        <v>42880</v>
      </c>
    </row>
    <row r="18" spans="1:26" ht="15.75" x14ac:dyDescent="0.25">
      <c r="A18" s="131">
        <v>42866</v>
      </c>
      <c r="B18" s="132" t="s">
        <v>518</v>
      </c>
      <c r="C18" s="133">
        <v>32119.56</v>
      </c>
      <c r="D18" s="128">
        <v>42877</v>
      </c>
      <c r="E18" s="133">
        <v>32119.56</v>
      </c>
      <c r="F18" s="135">
        <f t="shared" si="0"/>
        <v>0</v>
      </c>
      <c r="I18" s="45"/>
      <c r="J18" s="132" t="s">
        <v>516</v>
      </c>
      <c r="K18" s="133">
        <v>36318.660000000003</v>
      </c>
      <c r="L18" s="344"/>
      <c r="M18" s="270">
        <v>3797697</v>
      </c>
      <c r="N18" s="148">
        <v>17139</v>
      </c>
      <c r="O18" s="167">
        <v>42859</v>
      </c>
      <c r="S18" s="45"/>
      <c r="T18" s="132"/>
      <c r="U18" s="133"/>
      <c r="V18" s="344"/>
      <c r="W18" s="270" t="s">
        <v>154</v>
      </c>
      <c r="X18" s="148">
        <v>21500</v>
      </c>
      <c r="Y18" s="167">
        <v>42880</v>
      </c>
    </row>
    <row r="19" spans="1:26" ht="15.75" x14ac:dyDescent="0.25">
      <c r="A19" s="131">
        <v>42867</v>
      </c>
      <c r="B19" s="365" t="s">
        <v>529</v>
      </c>
      <c r="C19" s="364">
        <v>40996.28</v>
      </c>
      <c r="D19" s="128">
        <v>42877</v>
      </c>
      <c r="E19" s="364">
        <v>40996.28</v>
      </c>
      <c r="F19" s="135">
        <f t="shared" si="0"/>
        <v>0</v>
      </c>
      <c r="I19" s="179"/>
      <c r="J19" s="132" t="s">
        <v>517</v>
      </c>
      <c r="K19" s="133">
        <v>10672</v>
      </c>
      <c r="L19" s="172" t="s">
        <v>159</v>
      </c>
      <c r="M19" s="198">
        <v>3797698</v>
      </c>
      <c r="N19" s="148">
        <v>30000</v>
      </c>
      <c r="O19" s="167">
        <v>42860</v>
      </c>
      <c r="S19" s="179"/>
      <c r="T19" s="132"/>
      <c r="U19" s="133"/>
      <c r="V19" s="172"/>
      <c r="W19" s="198" t="s">
        <v>154</v>
      </c>
      <c r="X19" s="148">
        <v>10839</v>
      </c>
      <c r="Y19" s="167">
        <v>42881</v>
      </c>
    </row>
    <row r="20" spans="1:26" ht="15.75" x14ac:dyDescent="0.25">
      <c r="A20" s="131">
        <v>42868</v>
      </c>
      <c r="B20" s="132" t="s">
        <v>530</v>
      </c>
      <c r="C20" s="133">
        <v>72371.64</v>
      </c>
      <c r="D20" s="128">
        <v>42877</v>
      </c>
      <c r="E20" s="133">
        <v>72371.64</v>
      </c>
      <c r="F20" s="135">
        <f t="shared" si="0"/>
        <v>0</v>
      </c>
      <c r="I20" s="179">
        <v>0</v>
      </c>
      <c r="J20" s="132"/>
      <c r="K20" s="133"/>
      <c r="L20" s="172"/>
      <c r="M20" s="198">
        <v>3797699</v>
      </c>
      <c r="N20" s="148">
        <v>42814</v>
      </c>
      <c r="O20" s="167">
        <v>42860</v>
      </c>
      <c r="S20" s="179">
        <v>0</v>
      </c>
      <c r="T20" s="132"/>
      <c r="U20" s="133"/>
      <c r="V20" s="172"/>
      <c r="W20" s="198">
        <v>3718019</v>
      </c>
      <c r="X20" s="148">
        <v>35000</v>
      </c>
      <c r="Y20" s="167">
        <v>42881</v>
      </c>
    </row>
    <row r="21" spans="1:26" ht="15.75" x14ac:dyDescent="0.25">
      <c r="A21" s="131">
        <v>42869</v>
      </c>
      <c r="B21" s="132" t="s">
        <v>531</v>
      </c>
      <c r="C21" s="133">
        <v>35501.35</v>
      </c>
      <c r="D21" s="128">
        <v>42877</v>
      </c>
      <c r="E21" s="133">
        <v>35501.35</v>
      </c>
      <c r="F21" s="135">
        <f t="shared" si="0"/>
        <v>0</v>
      </c>
      <c r="I21" s="179">
        <v>0</v>
      </c>
      <c r="J21" s="196"/>
      <c r="K21" s="133">
        <v>0</v>
      </c>
      <c r="L21" s="198"/>
      <c r="M21" s="274">
        <v>3797991</v>
      </c>
      <c r="N21" s="148">
        <v>50000</v>
      </c>
      <c r="O21" s="167">
        <v>42861</v>
      </c>
      <c r="S21" s="179">
        <v>0</v>
      </c>
      <c r="T21" s="196"/>
      <c r="U21" s="133">
        <v>0</v>
      </c>
      <c r="V21" s="198"/>
      <c r="W21" s="274">
        <v>3271802</v>
      </c>
      <c r="X21" s="148">
        <v>25409.5</v>
      </c>
      <c r="Y21" s="167">
        <v>42881</v>
      </c>
    </row>
    <row r="22" spans="1:26" ht="15.75" x14ac:dyDescent="0.25">
      <c r="A22" s="131">
        <v>42870</v>
      </c>
      <c r="B22" s="132" t="s">
        <v>532</v>
      </c>
      <c r="C22" s="133">
        <v>37270</v>
      </c>
      <c r="D22" s="128">
        <v>42877</v>
      </c>
      <c r="E22" s="133">
        <v>37270</v>
      </c>
      <c r="F22" s="135">
        <f t="shared" si="0"/>
        <v>0</v>
      </c>
      <c r="I22" s="179">
        <v>0</v>
      </c>
      <c r="J22" s="209"/>
      <c r="K22" s="196">
        <v>0</v>
      </c>
      <c r="L22" s="209"/>
      <c r="M22" s="210">
        <v>3797992</v>
      </c>
      <c r="N22" s="148">
        <v>46589</v>
      </c>
      <c r="O22" s="167">
        <v>42861</v>
      </c>
      <c r="S22" s="179">
        <v>0</v>
      </c>
      <c r="T22" s="209"/>
      <c r="U22" s="196">
        <v>0</v>
      </c>
      <c r="V22" s="209"/>
      <c r="W22" s="210"/>
      <c r="X22" s="148"/>
      <c r="Y22" s="167"/>
      <c r="Z22">
        <v>2872</v>
      </c>
    </row>
    <row r="23" spans="1:26" ht="15.75" x14ac:dyDescent="0.25">
      <c r="A23" s="131">
        <v>42872</v>
      </c>
      <c r="B23" s="132" t="s">
        <v>533</v>
      </c>
      <c r="C23" s="133">
        <v>32195.88</v>
      </c>
      <c r="D23" s="128">
        <v>42877</v>
      </c>
      <c r="E23" s="133">
        <v>32195.88</v>
      </c>
      <c r="F23" s="135">
        <f t="shared" si="0"/>
        <v>0</v>
      </c>
      <c r="I23" s="179">
        <v>0</v>
      </c>
      <c r="J23" s="209"/>
      <c r="K23" s="196">
        <v>0</v>
      </c>
      <c r="L23" s="209"/>
      <c r="M23" s="210">
        <v>3797993</v>
      </c>
      <c r="N23" s="148">
        <v>35000</v>
      </c>
      <c r="O23" s="167">
        <v>42862</v>
      </c>
      <c r="S23" s="179">
        <v>0</v>
      </c>
      <c r="T23" s="209"/>
      <c r="U23" s="196">
        <v>0</v>
      </c>
      <c r="V23" s="209"/>
      <c r="W23" s="210">
        <v>3797957</v>
      </c>
      <c r="X23" s="148">
        <v>2410</v>
      </c>
      <c r="Y23" s="167">
        <v>42875</v>
      </c>
    </row>
    <row r="24" spans="1:26" ht="15.75" x14ac:dyDescent="0.25">
      <c r="A24" s="131">
        <v>42871</v>
      </c>
      <c r="B24" s="132" t="s">
        <v>534</v>
      </c>
      <c r="C24" s="133">
        <v>75011.62</v>
      </c>
      <c r="D24" s="128">
        <v>42877</v>
      </c>
      <c r="E24" s="133">
        <v>75011.62</v>
      </c>
      <c r="F24" s="135">
        <f t="shared" si="0"/>
        <v>0</v>
      </c>
      <c r="I24" s="179">
        <v>0</v>
      </c>
      <c r="J24" s="209"/>
      <c r="K24" s="196">
        <v>0</v>
      </c>
      <c r="L24" s="209"/>
      <c r="M24" s="210">
        <v>3797994</v>
      </c>
      <c r="N24" s="148">
        <v>28759.5</v>
      </c>
      <c r="O24" s="167">
        <v>42862</v>
      </c>
      <c r="S24" s="179">
        <v>0</v>
      </c>
      <c r="T24" s="209"/>
      <c r="U24" s="196">
        <v>0</v>
      </c>
      <c r="V24" s="209"/>
      <c r="W24" s="210">
        <v>3718022</v>
      </c>
      <c r="X24" s="148">
        <v>35224.5</v>
      </c>
      <c r="Y24" s="167">
        <v>42882</v>
      </c>
    </row>
    <row r="25" spans="1:26" ht="15.75" x14ac:dyDescent="0.25">
      <c r="A25" s="131">
        <v>42873</v>
      </c>
      <c r="B25" s="366" t="s">
        <v>535</v>
      </c>
      <c r="C25" s="339">
        <v>75843.64</v>
      </c>
      <c r="D25" s="128" t="s">
        <v>609</v>
      </c>
      <c r="E25" s="134">
        <f>43429.41+32414.23</f>
        <v>75843.64</v>
      </c>
      <c r="F25" s="135">
        <f t="shared" si="0"/>
        <v>0</v>
      </c>
      <c r="I25" s="179">
        <v>0</v>
      </c>
      <c r="J25" s="209"/>
      <c r="K25" s="196">
        <v>0</v>
      </c>
      <c r="L25" s="209"/>
      <c r="M25" s="210">
        <v>3797996</v>
      </c>
      <c r="N25" s="148">
        <v>51683</v>
      </c>
      <c r="O25" s="167">
        <v>42863</v>
      </c>
      <c r="S25" s="179">
        <v>0</v>
      </c>
      <c r="T25" s="209"/>
      <c r="U25" s="196">
        <v>0</v>
      </c>
      <c r="V25" s="209"/>
      <c r="W25" s="210"/>
      <c r="X25" s="148"/>
      <c r="Y25" s="167"/>
    </row>
    <row r="26" spans="1:26" ht="16.5" thickBot="1" x14ac:dyDescent="0.3">
      <c r="A26" s="131">
        <v>42874</v>
      </c>
      <c r="B26" s="132" t="s">
        <v>554</v>
      </c>
      <c r="C26" s="133">
        <v>67407.48</v>
      </c>
      <c r="D26" s="128">
        <v>42886</v>
      </c>
      <c r="E26" s="133">
        <v>67407.48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  <c r="S26" s="179">
        <v>0</v>
      </c>
      <c r="T26" s="209"/>
      <c r="U26" s="196">
        <v>0</v>
      </c>
      <c r="V26" s="209"/>
      <c r="W26" s="210"/>
      <c r="X26" s="148"/>
      <c r="Y26" s="167"/>
    </row>
    <row r="27" spans="1:26" ht="16.5" thickBot="1" x14ac:dyDescent="0.3">
      <c r="A27" s="131">
        <v>42874</v>
      </c>
      <c r="B27" s="132" t="s">
        <v>555</v>
      </c>
      <c r="C27" s="133">
        <v>41938</v>
      </c>
      <c r="D27" s="128">
        <v>42886</v>
      </c>
      <c r="E27" s="133">
        <v>41938</v>
      </c>
      <c r="F27" s="135">
        <f t="shared" si="0"/>
        <v>0</v>
      </c>
      <c r="I27" s="273">
        <f>SUM(I1:I26)</f>
        <v>629324</v>
      </c>
      <c r="J27" s="271"/>
      <c r="K27" s="275">
        <f>SUM(K2:K26)</f>
        <v>629324</v>
      </c>
      <c r="L27" s="276"/>
      <c r="M27" s="276"/>
      <c r="N27" s="275">
        <f>SUM(N2:N26)</f>
        <v>629324</v>
      </c>
      <c r="O27" s="272"/>
      <c r="S27" s="273">
        <f>SUM(S1:S26)</f>
        <v>510563</v>
      </c>
      <c r="T27" s="271"/>
      <c r="U27" s="275">
        <f>SUM(U2:U26)</f>
        <v>509463.99999999994</v>
      </c>
      <c r="V27" s="276"/>
      <c r="W27" s="276"/>
      <c r="X27" s="275">
        <f>SUM(X2:X26)</f>
        <v>509464</v>
      </c>
      <c r="Y27" s="272"/>
    </row>
    <row r="28" spans="1:26" x14ac:dyDescent="0.25">
      <c r="A28" s="287">
        <v>42876</v>
      </c>
      <c r="B28" s="290" t="s">
        <v>556</v>
      </c>
      <c r="C28" s="133">
        <v>34583.440000000002</v>
      </c>
      <c r="D28" s="128">
        <v>42886</v>
      </c>
      <c r="E28" s="133">
        <v>34583.440000000002</v>
      </c>
      <c r="F28" s="289">
        <f t="shared" si="0"/>
        <v>0</v>
      </c>
    </row>
    <row r="29" spans="1:26" ht="15.75" x14ac:dyDescent="0.25">
      <c r="A29" s="287">
        <v>42876</v>
      </c>
      <c r="B29" s="290" t="s">
        <v>579</v>
      </c>
      <c r="C29" s="133">
        <v>12273.9</v>
      </c>
      <c r="D29" s="128">
        <v>42886</v>
      </c>
      <c r="E29" s="133">
        <v>12273.9</v>
      </c>
      <c r="F29" s="289">
        <f t="shared" si="0"/>
        <v>0</v>
      </c>
      <c r="H29">
        <v>11393</v>
      </c>
      <c r="I29" s="284">
        <f>26921+9397.5</f>
        <v>36318.5</v>
      </c>
    </row>
    <row r="30" spans="1:26" x14ac:dyDescent="0.25">
      <c r="A30" s="287">
        <v>42877</v>
      </c>
      <c r="B30" s="290" t="s">
        <v>578</v>
      </c>
      <c r="C30" s="133">
        <v>35456.300000000003</v>
      </c>
      <c r="D30" s="128">
        <v>42886</v>
      </c>
      <c r="E30" s="133">
        <v>35456.300000000003</v>
      </c>
      <c r="F30" s="289">
        <f t="shared" si="0"/>
        <v>0</v>
      </c>
      <c r="H30">
        <v>11250</v>
      </c>
      <c r="I30" s="4">
        <v>472</v>
      </c>
    </row>
    <row r="31" spans="1:26" ht="23.25" customHeight="1" thickBot="1" x14ac:dyDescent="0.3">
      <c r="A31" s="287">
        <v>42878</v>
      </c>
      <c r="B31" s="290" t="s">
        <v>580</v>
      </c>
      <c r="C31" s="133">
        <v>36310.559999999998</v>
      </c>
      <c r="D31" s="128">
        <v>42886</v>
      </c>
      <c r="E31" s="133">
        <v>36310.559999999998</v>
      </c>
      <c r="F31" s="289">
        <f t="shared" si="0"/>
        <v>0</v>
      </c>
      <c r="H31">
        <v>11030</v>
      </c>
      <c r="I31" s="45">
        <v>7667</v>
      </c>
      <c r="J31" s="154"/>
      <c r="K31" s="390">
        <v>42877</v>
      </c>
      <c r="L31" s="216"/>
      <c r="M31" s="217" t="s">
        <v>141</v>
      </c>
      <c r="N31" s="111"/>
      <c r="O31" s="158"/>
    </row>
    <row r="32" spans="1:26" ht="16.5" thickTop="1" x14ac:dyDescent="0.25">
      <c r="A32" s="287">
        <v>42880</v>
      </c>
      <c r="B32" s="290" t="s">
        <v>581</v>
      </c>
      <c r="C32" s="133">
        <v>69557.62</v>
      </c>
      <c r="D32" s="128">
        <v>42886</v>
      </c>
      <c r="E32" s="133">
        <v>69557.62</v>
      </c>
      <c r="F32" s="289">
        <f t="shared" si="0"/>
        <v>0</v>
      </c>
      <c r="I32" s="45">
        <f>20019.5+17764.5</f>
        <v>37784</v>
      </c>
      <c r="J32" s="291" t="s">
        <v>517</v>
      </c>
      <c r="K32" s="148">
        <v>27111.759999999998</v>
      </c>
      <c r="L32" s="214" t="s">
        <v>143</v>
      </c>
      <c r="M32" s="160">
        <v>3797997</v>
      </c>
      <c r="N32" s="161">
        <v>25060</v>
      </c>
      <c r="O32" s="162">
        <v>42864</v>
      </c>
    </row>
    <row r="33" spans="1:15" ht="15.75" x14ac:dyDescent="0.25">
      <c r="A33" s="287">
        <v>42881</v>
      </c>
      <c r="B33" s="290" t="s">
        <v>582</v>
      </c>
      <c r="C33" s="133">
        <v>43663.68</v>
      </c>
      <c r="D33" s="128">
        <v>42886</v>
      </c>
      <c r="E33" s="133">
        <v>43663.68</v>
      </c>
      <c r="F33" s="289">
        <f t="shared" si="0"/>
        <v>0</v>
      </c>
      <c r="I33" s="45">
        <f>16054.5+16065</f>
        <v>32119.5</v>
      </c>
      <c r="J33" s="132" t="s">
        <v>518</v>
      </c>
      <c r="K33" s="133">
        <v>32119.56</v>
      </c>
      <c r="L33" s="159"/>
      <c r="M33" s="160" t="s">
        <v>154</v>
      </c>
      <c r="N33" s="161">
        <v>10000</v>
      </c>
      <c r="O33" s="162">
        <v>42864</v>
      </c>
    </row>
    <row r="34" spans="1:15" ht="15.75" x14ac:dyDescent="0.25">
      <c r="A34" s="287">
        <v>42881</v>
      </c>
      <c r="B34" s="290" t="s">
        <v>607</v>
      </c>
      <c r="C34" s="133">
        <v>33164.25</v>
      </c>
      <c r="D34" s="128">
        <v>42886</v>
      </c>
      <c r="E34" s="133">
        <v>33164.25</v>
      </c>
      <c r="F34" s="289">
        <f t="shared" si="0"/>
        <v>0</v>
      </c>
      <c r="I34" s="45">
        <f>34948+6048</f>
        <v>40996</v>
      </c>
      <c r="J34" s="365" t="s">
        <v>529</v>
      </c>
      <c r="K34" s="364">
        <v>40996.28</v>
      </c>
      <c r="L34" s="163"/>
      <c r="M34" s="160">
        <v>3797998</v>
      </c>
      <c r="N34" s="161">
        <v>20000</v>
      </c>
      <c r="O34" s="162">
        <v>42865</v>
      </c>
    </row>
    <row r="35" spans="1:15" ht="15.75" x14ac:dyDescent="0.25">
      <c r="A35" s="287">
        <v>42881</v>
      </c>
      <c r="B35" s="290" t="s">
        <v>583</v>
      </c>
      <c r="C35" s="133">
        <v>31608.5</v>
      </c>
      <c r="D35" s="128">
        <v>42886</v>
      </c>
      <c r="E35" s="133">
        <v>31608.5</v>
      </c>
      <c r="F35" s="289">
        <f t="shared" si="0"/>
        <v>0</v>
      </c>
      <c r="I35" s="45">
        <v>72371.5</v>
      </c>
      <c r="J35" s="132" t="s">
        <v>530</v>
      </c>
      <c r="K35" s="133">
        <v>72371.64</v>
      </c>
      <c r="L35" s="164"/>
      <c r="M35" s="160" t="s">
        <v>154</v>
      </c>
      <c r="N35" s="161">
        <v>9417</v>
      </c>
      <c r="O35" s="162">
        <v>42867</v>
      </c>
    </row>
    <row r="36" spans="1:15" ht="15.75" x14ac:dyDescent="0.25">
      <c r="A36" s="287">
        <v>42882</v>
      </c>
      <c r="B36" s="290" t="s">
        <v>584</v>
      </c>
      <c r="C36" s="133">
        <v>38104.36</v>
      </c>
      <c r="D36" s="128">
        <v>42886</v>
      </c>
      <c r="E36" s="133">
        <v>38104.36</v>
      </c>
      <c r="F36" s="289">
        <f t="shared" si="0"/>
        <v>0</v>
      </c>
      <c r="I36" s="45">
        <f>8880.5+14976.5+11644.5</f>
        <v>35501.5</v>
      </c>
      <c r="J36" s="132" t="s">
        <v>531</v>
      </c>
      <c r="K36" s="133">
        <v>35501.35</v>
      </c>
      <c r="L36" s="277"/>
      <c r="M36" s="160">
        <v>3797999</v>
      </c>
      <c r="N36" s="161">
        <v>25000</v>
      </c>
      <c r="O36" s="162">
        <v>42866</v>
      </c>
    </row>
    <row r="37" spans="1:15" ht="15.75" x14ac:dyDescent="0.25">
      <c r="A37" s="287">
        <v>42884</v>
      </c>
      <c r="B37" s="290" t="s">
        <v>585</v>
      </c>
      <c r="C37" s="133">
        <v>33563.5</v>
      </c>
      <c r="D37" s="463" t="s">
        <v>657</v>
      </c>
      <c r="E37" s="138">
        <f>32981.68+581.82</f>
        <v>33563.5</v>
      </c>
      <c r="F37" s="289">
        <f t="shared" si="0"/>
        <v>0</v>
      </c>
      <c r="I37" s="45">
        <v>37270</v>
      </c>
      <c r="J37" s="132" t="s">
        <v>532</v>
      </c>
      <c r="K37" s="133">
        <v>37270</v>
      </c>
      <c r="L37" s="163"/>
      <c r="M37" s="160" t="s">
        <v>154</v>
      </c>
      <c r="N37" s="161">
        <v>8819</v>
      </c>
      <c r="O37" s="162">
        <v>42867</v>
      </c>
    </row>
    <row r="38" spans="1:15" ht="15.75" x14ac:dyDescent="0.25">
      <c r="A38" s="287">
        <v>42884</v>
      </c>
      <c r="B38" s="290" t="s">
        <v>610</v>
      </c>
      <c r="C38" s="133">
        <v>31621</v>
      </c>
      <c r="D38" s="137">
        <v>42901</v>
      </c>
      <c r="E38" s="138">
        <v>31621</v>
      </c>
      <c r="F38" s="289">
        <f t="shared" si="0"/>
        <v>0</v>
      </c>
      <c r="I38" s="45">
        <f>20446</f>
        <v>20446</v>
      </c>
      <c r="J38" s="132" t="s">
        <v>533</v>
      </c>
      <c r="K38" s="133">
        <v>32195.88</v>
      </c>
      <c r="L38" s="165"/>
      <c r="M38" s="160">
        <v>3718000</v>
      </c>
      <c r="N38" s="161">
        <v>20000</v>
      </c>
      <c r="O38" s="162">
        <v>42867</v>
      </c>
    </row>
    <row r="39" spans="1:15" ht="15.75" x14ac:dyDescent="0.25">
      <c r="A39" s="287">
        <v>42885</v>
      </c>
      <c r="B39" s="376" t="s">
        <v>611</v>
      </c>
      <c r="C39" s="339">
        <v>66854.899999999994</v>
      </c>
      <c r="D39" s="137">
        <v>42901</v>
      </c>
      <c r="E39" s="464">
        <v>66854.899999999994</v>
      </c>
      <c r="F39" s="289">
        <f t="shared" si="0"/>
        <v>0</v>
      </c>
      <c r="I39" s="45">
        <f>3659.5+53896.5+10951+6554.5</f>
        <v>75061.5</v>
      </c>
      <c r="J39" s="132" t="s">
        <v>534</v>
      </c>
      <c r="K39" s="133">
        <v>75011.62</v>
      </c>
      <c r="L39" s="163"/>
      <c r="M39" s="160">
        <v>3718001</v>
      </c>
      <c r="N39" s="166">
        <v>31013</v>
      </c>
      <c r="O39" s="167">
        <v>42867</v>
      </c>
    </row>
    <row r="40" spans="1:15" ht="15.75" x14ac:dyDescent="0.25">
      <c r="A40" s="287"/>
      <c r="B40" s="291"/>
      <c r="C40" s="340"/>
      <c r="D40" s="128"/>
      <c r="E40" s="387"/>
      <c r="F40" s="289">
        <f t="shared" si="0"/>
        <v>0</v>
      </c>
      <c r="I40" s="45"/>
      <c r="J40" s="366" t="s">
        <v>535</v>
      </c>
      <c r="K40" s="339">
        <v>43429.41</v>
      </c>
      <c r="L40" s="168" t="s">
        <v>159</v>
      </c>
      <c r="M40" s="160">
        <v>3718002</v>
      </c>
      <c r="N40" s="148">
        <v>45000</v>
      </c>
      <c r="O40" s="167">
        <v>42868</v>
      </c>
    </row>
    <row r="41" spans="1:15" ht="15.75" x14ac:dyDescent="0.25">
      <c r="A41" s="287"/>
      <c r="B41" s="291"/>
      <c r="C41" s="178"/>
      <c r="D41" s="128"/>
      <c r="E41" s="134"/>
      <c r="F41" s="289">
        <f t="shared" si="0"/>
        <v>0</v>
      </c>
      <c r="H41" t="s">
        <v>88</v>
      </c>
      <c r="I41" s="45"/>
      <c r="J41" s="132"/>
      <c r="K41" s="133"/>
      <c r="L41" s="168"/>
      <c r="M41" s="160">
        <v>3718003</v>
      </c>
      <c r="N41" s="161">
        <v>42300</v>
      </c>
      <c r="O41" s="162">
        <v>42868</v>
      </c>
    </row>
    <row r="42" spans="1:15" ht="15.75" x14ac:dyDescent="0.25">
      <c r="A42" s="287"/>
      <c r="B42" s="291"/>
      <c r="C42" s="139"/>
      <c r="D42" s="128"/>
      <c r="E42" s="139"/>
      <c r="F42" s="289">
        <f t="shared" si="0"/>
        <v>0</v>
      </c>
      <c r="I42" s="45"/>
      <c r="J42" s="132"/>
      <c r="K42" s="133"/>
      <c r="L42" s="168"/>
      <c r="M42" s="160">
        <v>3718004</v>
      </c>
      <c r="N42" s="161">
        <v>52574</v>
      </c>
      <c r="O42" s="162">
        <v>42869</v>
      </c>
    </row>
    <row r="43" spans="1:15" ht="15.75" x14ac:dyDescent="0.25">
      <c r="A43" s="287"/>
      <c r="B43" s="291"/>
      <c r="C43" s="139"/>
      <c r="D43" s="128"/>
      <c r="E43" s="139"/>
      <c r="F43" s="166">
        <f t="shared" si="0"/>
        <v>0</v>
      </c>
      <c r="I43" s="45"/>
      <c r="J43" s="290"/>
      <c r="K43" s="133"/>
      <c r="L43" s="168"/>
      <c r="M43" s="160" t="s">
        <v>154</v>
      </c>
      <c r="N43" s="161">
        <v>14976.5</v>
      </c>
      <c r="O43" s="162">
        <v>42863</v>
      </c>
    </row>
    <row r="44" spans="1:15" ht="15.75" x14ac:dyDescent="0.25">
      <c r="A44" s="287"/>
      <c r="B44" s="298"/>
      <c r="C44" s="139"/>
      <c r="D44" s="128"/>
      <c r="E44" s="139"/>
      <c r="F44" s="166">
        <f t="shared" si="0"/>
        <v>0</v>
      </c>
      <c r="I44" s="45"/>
      <c r="J44" s="132"/>
      <c r="K44" s="133"/>
      <c r="L44" s="168"/>
      <c r="M44" s="160">
        <v>3718007</v>
      </c>
      <c r="N44" s="161">
        <v>45500</v>
      </c>
      <c r="O44" s="162">
        <v>42870</v>
      </c>
    </row>
    <row r="45" spans="1:15" ht="15.75" x14ac:dyDescent="0.25">
      <c r="A45" s="287"/>
      <c r="B45" s="291"/>
      <c r="C45" s="139"/>
      <c r="D45" s="128"/>
      <c r="E45" s="139"/>
      <c r="F45" s="166">
        <f t="shared" si="0"/>
        <v>0</v>
      </c>
      <c r="I45" s="45"/>
      <c r="J45" s="132"/>
      <c r="K45" s="133"/>
      <c r="L45" s="168"/>
      <c r="M45" s="160" t="s">
        <v>154</v>
      </c>
      <c r="N45" s="161">
        <v>8396.5</v>
      </c>
      <c r="O45" s="162">
        <v>42872</v>
      </c>
    </row>
    <row r="46" spans="1:15" ht="15.75" x14ac:dyDescent="0.25">
      <c r="A46" s="287"/>
      <c r="B46" s="291"/>
      <c r="C46" s="139"/>
      <c r="D46" s="128"/>
      <c r="E46" s="139"/>
      <c r="F46" s="166">
        <f t="shared" si="0"/>
        <v>0</v>
      </c>
      <c r="I46" s="45"/>
      <c r="J46" s="132"/>
      <c r="K46" s="133"/>
      <c r="L46" s="197"/>
      <c r="M46" s="198">
        <v>3718008</v>
      </c>
      <c r="N46" s="148">
        <v>19000</v>
      </c>
      <c r="O46" s="167">
        <v>42871</v>
      </c>
    </row>
    <row r="47" spans="1:15" ht="15.75" x14ac:dyDescent="0.25">
      <c r="A47" s="287"/>
      <c r="B47" s="291"/>
      <c r="C47" s="139"/>
      <c r="D47" s="128"/>
      <c r="E47" s="148"/>
      <c r="F47" s="166">
        <f t="shared" si="0"/>
        <v>0</v>
      </c>
      <c r="I47" s="45"/>
      <c r="J47" s="132"/>
      <c r="K47" s="133"/>
      <c r="L47" s="344"/>
      <c r="M47" s="270" t="s">
        <v>154</v>
      </c>
      <c r="N47" s="148">
        <v>8000.5</v>
      </c>
      <c r="O47" s="167">
        <v>42872</v>
      </c>
    </row>
    <row r="48" spans="1:15" ht="16.5" thickBot="1" x14ac:dyDescent="0.3">
      <c r="A48" s="131"/>
      <c r="B48" s="291"/>
      <c r="C48" s="139"/>
      <c r="D48" s="209"/>
      <c r="E48" s="139"/>
      <c r="F48" s="166">
        <f t="shared" si="0"/>
        <v>0</v>
      </c>
      <c r="I48" s="45"/>
      <c r="J48" s="132"/>
      <c r="K48" s="133"/>
      <c r="L48" s="344"/>
      <c r="M48" s="270">
        <v>3797940</v>
      </c>
      <c r="N48" s="148">
        <v>10951</v>
      </c>
      <c r="O48" s="167">
        <v>42868</v>
      </c>
    </row>
    <row r="49" spans="1:15" ht="16.5" thickBot="1" x14ac:dyDescent="0.3">
      <c r="A49" s="271"/>
      <c r="B49" s="335"/>
      <c r="C49" s="336">
        <f>SUM(C3:C48)</f>
        <v>1512441.6400000001</v>
      </c>
      <c r="D49" s="335"/>
      <c r="E49" s="275">
        <f>SUM(E3:E48)</f>
        <v>1512441.6400000001</v>
      </c>
      <c r="F49" s="337">
        <f>SUM(F3:F48)</f>
        <v>0</v>
      </c>
      <c r="I49" s="179">
        <v>0</v>
      </c>
      <c r="J49" s="209"/>
      <c r="K49" s="196">
        <v>0</v>
      </c>
      <c r="L49" s="209"/>
      <c r="M49" s="210"/>
      <c r="N49" s="148">
        <v>0</v>
      </c>
      <c r="O49" s="167"/>
    </row>
    <row r="50" spans="1:15" ht="16.5" thickBot="1" x14ac:dyDescent="0.3">
      <c r="I50" s="273">
        <f>SUM(I29:I49)</f>
        <v>396007.5</v>
      </c>
      <c r="J50" s="271"/>
      <c r="K50" s="275">
        <f>SUM(K32:K49)</f>
        <v>396007.5</v>
      </c>
      <c r="L50" s="276"/>
      <c r="M50" s="276"/>
      <c r="N50" s="275">
        <f>SUM(N32:N49)</f>
        <v>396007.5</v>
      </c>
      <c r="O50" s="272"/>
    </row>
    <row r="51" spans="1:15" x14ac:dyDescent="0.25">
      <c r="I51" s="39"/>
      <c r="J51" s="39"/>
      <c r="K51" s="39"/>
      <c r="L51" s="39"/>
      <c r="M51" s="39"/>
      <c r="N51" s="39"/>
      <c r="O51" s="39"/>
    </row>
    <row r="52" spans="1:15" x14ac:dyDescent="0.25">
      <c r="I52" s="39"/>
      <c r="J52" s="39"/>
      <c r="K52" s="39"/>
      <c r="L52" s="39"/>
      <c r="M52" s="39"/>
      <c r="N52" s="39"/>
      <c r="O52" s="39"/>
    </row>
    <row r="53" spans="1:15" x14ac:dyDescent="0.25">
      <c r="I53" s="39"/>
      <c r="J53" s="39"/>
      <c r="K53" s="39"/>
      <c r="L53" s="39"/>
      <c r="M53" s="39"/>
      <c r="N53" s="39"/>
      <c r="O53" s="39"/>
    </row>
    <row r="54" spans="1:15" x14ac:dyDescent="0.25">
      <c r="I54" s="39"/>
      <c r="J54" s="39"/>
      <c r="K54" s="39"/>
      <c r="L54" s="39"/>
      <c r="M54" s="39"/>
      <c r="N54" s="39"/>
      <c r="O54" s="39"/>
    </row>
  </sheetData>
  <sortState ref="A31:C37">
    <sortCondition ref="B31:B37"/>
  </sortState>
  <mergeCells count="1">
    <mergeCell ref="C1:E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68"/>
  <sheetViews>
    <sheetView tabSelected="1" topLeftCell="A10" workbookViewId="0">
      <selection activeCell="O21" sqref="O2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486" t="s">
        <v>625</v>
      </c>
      <c r="C1" s="486"/>
      <c r="D1" s="486"/>
      <c r="E1" s="486"/>
      <c r="F1" s="486"/>
      <c r="G1" s="486"/>
      <c r="H1" s="486"/>
      <c r="I1" s="486"/>
      <c r="J1" s="486"/>
      <c r="L1" s="2" t="s">
        <v>1</v>
      </c>
      <c r="M1" s="3"/>
    </row>
    <row r="2" spans="1:14" ht="15.75" thickBot="1" x14ac:dyDescent="0.3">
      <c r="A2" s="1"/>
      <c r="B2" s="5"/>
      <c r="D2" s="397"/>
      <c r="E2" s="8"/>
      <c r="L2" s="9"/>
      <c r="M2" s="3"/>
    </row>
    <row r="3" spans="1:14" ht="19.5" thickBot="1" x14ac:dyDescent="0.35">
      <c r="A3" s="473" t="s">
        <v>3</v>
      </c>
      <c r="B3" s="10" t="s">
        <v>4</v>
      </c>
      <c r="C3" s="11"/>
      <c r="D3" s="487" t="s">
        <v>2</v>
      </c>
      <c r="E3" s="487"/>
      <c r="F3" s="487"/>
      <c r="G3" s="488">
        <v>2000</v>
      </c>
      <c r="H3" s="488"/>
      <c r="I3" s="5"/>
      <c r="L3" s="9"/>
      <c r="M3" s="3"/>
    </row>
    <row r="4" spans="1:14" ht="20.25" thickTop="1" thickBot="1" x14ac:dyDescent="0.35">
      <c r="A4" s="474"/>
      <c r="B4" s="13">
        <v>118316</v>
      </c>
      <c r="C4" s="14"/>
      <c r="D4" s="491" t="s">
        <v>8</v>
      </c>
      <c r="E4" s="492"/>
      <c r="H4" s="493" t="s">
        <v>9</v>
      </c>
      <c r="I4" s="494"/>
      <c r="J4" s="494"/>
      <c r="K4" s="494"/>
      <c r="L4" s="15" t="s">
        <v>10</v>
      </c>
      <c r="M4" s="16" t="s">
        <v>11</v>
      </c>
    </row>
    <row r="5" spans="1:14" ht="16.5" thickTop="1" thickBot="1" x14ac:dyDescent="0.3">
      <c r="A5" s="412">
        <v>42887</v>
      </c>
      <c r="B5" s="413">
        <v>37292.5</v>
      </c>
      <c r="C5" s="20" t="s">
        <v>632</v>
      </c>
      <c r="D5" s="433">
        <v>42887</v>
      </c>
      <c r="E5" s="434">
        <v>40482.5</v>
      </c>
      <c r="F5" s="23"/>
      <c r="G5" s="24">
        <v>42887</v>
      </c>
      <c r="H5" s="439">
        <v>0</v>
      </c>
      <c r="I5" s="26"/>
      <c r="J5" s="451"/>
      <c r="K5" s="451"/>
      <c r="L5" s="442" t="s">
        <v>631</v>
      </c>
      <c r="M5" s="29">
        <v>0</v>
      </c>
      <c r="N5" s="30"/>
    </row>
    <row r="6" spans="1:14" ht="15.75" thickBot="1" x14ac:dyDescent="0.3">
      <c r="A6" s="414">
        <v>42888</v>
      </c>
      <c r="B6" s="415">
        <v>51862.5</v>
      </c>
      <c r="C6" s="20" t="s">
        <v>632</v>
      </c>
      <c r="D6" s="435">
        <v>42888</v>
      </c>
      <c r="E6" s="436">
        <v>52732.5</v>
      </c>
      <c r="F6" s="36"/>
      <c r="G6" s="24">
        <v>42888</v>
      </c>
      <c r="H6" s="440">
        <v>0</v>
      </c>
      <c r="I6" s="38"/>
      <c r="J6" s="106" t="s">
        <v>15</v>
      </c>
      <c r="K6" s="452">
        <v>0</v>
      </c>
      <c r="L6" s="443" t="s">
        <v>637</v>
      </c>
      <c r="M6" s="29">
        <v>0</v>
      </c>
      <c r="N6" s="30"/>
    </row>
    <row r="7" spans="1:14" ht="15.75" thickBot="1" x14ac:dyDescent="0.3">
      <c r="A7" s="414">
        <v>42889</v>
      </c>
      <c r="B7" s="415">
        <v>76967</v>
      </c>
      <c r="C7" s="20" t="s">
        <v>639</v>
      </c>
      <c r="D7" s="435">
        <v>42889</v>
      </c>
      <c r="E7" s="436">
        <v>77467</v>
      </c>
      <c r="F7" s="23"/>
      <c r="G7" s="24">
        <v>42889</v>
      </c>
      <c r="H7" s="440">
        <v>0</v>
      </c>
      <c r="I7" s="38"/>
      <c r="J7" s="459" t="s">
        <v>18</v>
      </c>
      <c r="K7" s="453">
        <v>0</v>
      </c>
      <c r="L7" s="443" t="s">
        <v>640</v>
      </c>
      <c r="M7" s="29">
        <v>0</v>
      </c>
      <c r="N7" s="45"/>
    </row>
    <row r="8" spans="1:14" ht="15.75" thickBot="1" x14ac:dyDescent="0.3">
      <c r="A8" s="414">
        <v>42890</v>
      </c>
      <c r="B8" s="415">
        <v>71263.5</v>
      </c>
      <c r="C8" s="48" t="s">
        <v>644</v>
      </c>
      <c r="D8" s="435">
        <v>42890</v>
      </c>
      <c r="E8" s="436">
        <v>71577.5</v>
      </c>
      <c r="F8" s="23"/>
      <c r="G8" s="24">
        <v>42890</v>
      </c>
      <c r="H8" s="440">
        <v>10</v>
      </c>
      <c r="I8" s="38"/>
      <c r="J8" s="106" t="s">
        <v>22</v>
      </c>
      <c r="K8" s="454">
        <f>7187.5+7187.5+7187.5+7187.5</f>
        <v>28750</v>
      </c>
      <c r="L8" s="444" t="s">
        <v>643</v>
      </c>
      <c r="M8" s="29">
        <v>0</v>
      </c>
      <c r="N8" s="45"/>
    </row>
    <row r="9" spans="1:14" ht="15.75" thickBot="1" x14ac:dyDescent="0.3">
      <c r="A9" s="414">
        <v>42891</v>
      </c>
      <c r="B9" s="415">
        <v>49383</v>
      </c>
      <c r="C9" s="50" t="s">
        <v>647</v>
      </c>
      <c r="D9" s="435">
        <v>42891</v>
      </c>
      <c r="E9" s="436">
        <v>52913</v>
      </c>
      <c r="F9" s="23"/>
      <c r="G9" s="24">
        <v>42891</v>
      </c>
      <c r="H9" s="440">
        <v>0</v>
      </c>
      <c r="I9" s="38" t="s">
        <v>642</v>
      </c>
      <c r="J9" s="106" t="s">
        <v>633</v>
      </c>
      <c r="K9" s="191">
        <v>8448.86</v>
      </c>
      <c r="L9" s="444" t="s">
        <v>648</v>
      </c>
      <c r="M9" s="29">
        <v>0</v>
      </c>
      <c r="N9" s="30"/>
    </row>
    <row r="10" spans="1:14" ht="15.75" thickBot="1" x14ac:dyDescent="0.3">
      <c r="A10" s="414">
        <v>42892</v>
      </c>
      <c r="B10" s="415">
        <v>18737.5</v>
      </c>
      <c r="C10" s="48" t="s">
        <v>646</v>
      </c>
      <c r="D10" s="435">
        <v>42892</v>
      </c>
      <c r="E10" s="436">
        <v>18732.5</v>
      </c>
      <c r="F10" s="23"/>
      <c r="G10" s="24">
        <v>42892</v>
      </c>
      <c r="H10" s="440">
        <v>0</v>
      </c>
      <c r="I10" s="51" t="s">
        <v>667</v>
      </c>
      <c r="J10" s="106" t="s">
        <v>634</v>
      </c>
      <c r="K10" s="191">
        <v>7205.25</v>
      </c>
      <c r="L10" s="443" t="s">
        <v>645</v>
      </c>
      <c r="M10" s="29">
        <v>0</v>
      </c>
      <c r="N10" s="45"/>
    </row>
    <row r="11" spans="1:14" ht="15.75" thickBot="1" x14ac:dyDescent="0.3">
      <c r="A11" s="414">
        <v>42893</v>
      </c>
      <c r="B11" s="415">
        <v>40863</v>
      </c>
      <c r="C11" s="48" t="s">
        <v>650</v>
      </c>
      <c r="D11" s="435">
        <v>42893</v>
      </c>
      <c r="E11" s="436">
        <v>33627</v>
      </c>
      <c r="F11" s="23"/>
      <c r="G11" s="24">
        <v>0</v>
      </c>
      <c r="H11" s="440">
        <v>0</v>
      </c>
      <c r="I11" s="51" t="s">
        <v>685</v>
      </c>
      <c r="J11" s="106" t="s">
        <v>635</v>
      </c>
      <c r="K11" s="191">
        <v>7986.96</v>
      </c>
      <c r="L11" s="443" t="s">
        <v>649</v>
      </c>
      <c r="M11" s="29">
        <v>0</v>
      </c>
      <c r="N11" s="30"/>
    </row>
    <row r="12" spans="1:14" ht="15.75" thickBot="1" x14ac:dyDescent="0.3">
      <c r="A12" s="414">
        <v>42894</v>
      </c>
      <c r="B12" s="415">
        <v>44955.5</v>
      </c>
      <c r="C12" s="48" t="s">
        <v>652</v>
      </c>
      <c r="D12" s="435">
        <v>42894</v>
      </c>
      <c r="E12" s="436">
        <v>45056.5</v>
      </c>
      <c r="F12" s="23"/>
      <c r="G12" s="24">
        <v>42894</v>
      </c>
      <c r="H12" s="440">
        <v>101</v>
      </c>
      <c r="I12" s="38" t="s">
        <v>712</v>
      </c>
      <c r="J12" s="106" t="s">
        <v>636</v>
      </c>
      <c r="K12" s="191">
        <v>7901.11</v>
      </c>
      <c r="L12" s="443" t="s">
        <v>651</v>
      </c>
      <c r="M12" s="29">
        <v>0</v>
      </c>
      <c r="N12" s="30"/>
    </row>
    <row r="13" spans="1:14" ht="15.75" thickBot="1" x14ac:dyDescent="0.3">
      <c r="A13" s="414">
        <v>42895</v>
      </c>
      <c r="B13" s="415">
        <v>40836</v>
      </c>
      <c r="C13" s="48" t="s">
        <v>654</v>
      </c>
      <c r="D13" s="435">
        <v>42895</v>
      </c>
      <c r="E13" s="436">
        <v>44100.5</v>
      </c>
      <c r="F13" s="23"/>
      <c r="G13" s="24">
        <v>42895</v>
      </c>
      <c r="H13" s="440">
        <v>0</v>
      </c>
      <c r="I13" s="38"/>
      <c r="J13" s="368"/>
      <c r="K13" s="452">
        <v>0</v>
      </c>
      <c r="L13" s="443" t="s">
        <v>653</v>
      </c>
      <c r="M13" s="29">
        <v>0</v>
      </c>
      <c r="N13" s="45"/>
    </row>
    <row r="14" spans="1:14" ht="15.75" thickBot="1" x14ac:dyDescent="0.3">
      <c r="A14" s="414">
        <v>42896</v>
      </c>
      <c r="B14" s="415">
        <v>63870</v>
      </c>
      <c r="C14" s="50" t="s">
        <v>656</v>
      </c>
      <c r="D14" s="435">
        <v>42896</v>
      </c>
      <c r="E14" s="436">
        <v>63870</v>
      </c>
      <c r="F14" s="23"/>
      <c r="G14" s="24">
        <v>42896</v>
      </c>
      <c r="H14" s="440">
        <v>0</v>
      </c>
      <c r="I14" s="38"/>
      <c r="J14" s="460"/>
      <c r="K14" s="452">
        <v>0</v>
      </c>
      <c r="L14" s="443" t="s">
        <v>655</v>
      </c>
      <c r="M14" s="29">
        <v>0</v>
      </c>
      <c r="N14" s="45"/>
    </row>
    <row r="15" spans="1:14" ht="15.75" thickBot="1" x14ac:dyDescent="0.3">
      <c r="A15" s="414">
        <v>42897</v>
      </c>
      <c r="B15" s="415">
        <v>71333</v>
      </c>
      <c r="C15" s="50" t="s">
        <v>665</v>
      </c>
      <c r="D15" s="435">
        <v>42897</v>
      </c>
      <c r="E15" s="436">
        <v>71362</v>
      </c>
      <c r="F15" s="23"/>
      <c r="G15" s="24">
        <v>42897</v>
      </c>
      <c r="H15" s="440">
        <v>10</v>
      </c>
      <c r="I15" s="38"/>
      <c r="J15" s="368" t="s">
        <v>44</v>
      </c>
      <c r="K15" s="452">
        <v>0</v>
      </c>
      <c r="L15" s="443" t="s">
        <v>664</v>
      </c>
      <c r="M15" s="465">
        <v>19</v>
      </c>
      <c r="N15" s="45" t="s">
        <v>666</v>
      </c>
    </row>
    <row r="16" spans="1:14" ht="15.75" thickBot="1" x14ac:dyDescent="0.3">
      <c r="A16" s="414">
        <v>42898</v>
      </c>
      <c r="B16" s="415">
        <v>35832.5</v>
      </c>
      <c r="C16" s="50" t="s">
        <v>669</v>
      </c>
      <c r="D16" s="435">
        <v>42898</v>
      </c>
      <c r="E16" s="436">
        <v>35832.5</v>
      </c>
      <c r="F16" s="23"/>
      <c r="G16" s="24">
        <v>42898</v>
      </c>
      <c r="H16" s="440">
        <v>0</v>
      </c>
      <c r="I16" s="38"/>
      <c r="J16" s="54"/>
      <c r="K16" s="455">
        <v>0</v>
      </c>
      <c r="L16" s="443" t="s">
        <v>668</v>
      </c>
      <c r="M16" s="29">
        <v>0</v>
      </c>
      <c r="N16" s="45"/>
    </row>
    <row r="17" spans="1:14" ht="15.75" customHeight="1" thickBot="1" x14ac:dyDescent="0.3">
      <c r="A17" s="414">
        <v>42899</v>
      </c>
      <c r="B17" s="415">
        <v>13874</v>
      </c>
      <c r="C17" s="50" t="s">
        <v>671</v>
      </c>
      <c r="D17" s="435">
        <v>42899</v>
      </c>
      <c r="E17" s="436">
        <v>11837</v>
      </c>
      <c r="F17" s="23"/>
      <c r="G17" s="24">
        <v>42899</v>
      </c>
      <c r="H17" s="440">
        <v>0</v>
      </c>
      <c r="I17" s="38"/>
      <c r="J17" s="509" t="s">
        <v>721</v>
      </c>
      <c r="K17" s="455">
        <v>4640</v>
      </c>
      <c r="L17" s="443" t="s">
        <v>670</v>
      </c>
      <c r="M17" s="29">
        <v>0</v>
      </c>
      <c r="N17" s="45"/>
    </row>
    <row r="18" spans="1:14" ht="15.75" thickBot="1" x14ac:dyDescent="0.3">
      <c r="A18" s="414">
        <v>42900</v>
      </c>
      <c r="B18" s="415">
        <v>34242</v>
      </c>
      <c r="C18" s="48" t="s">
        <v>671</v>
      </c>
      <c r="D18" s="435">
        <v>42900</v>
      </c>
      <c r="E18" s="436">
        <v>34242</v>
      </c>
      <c r="F18" s="23"/>
      <c r="G18" s="24">
        <v>42900</v>
      </c>
      <c r="H18" s="440">
        <v>0</v>
      </c>
      <c r="I18" s="56"/>
      <c r="J18" s="510"/>
      <c r="K18" s="456"/>
      <c r="L18" s="445" t="s">
        <v>672</v>
      </c>
      <c r="M18" s="29">
        <v>0</v>
      </c>
      <c r="N18" s="45"/>
    </row>
    <row r="19" spans="1:14" ht="15.75" thickBot="1" x14ac:dyDescent="0.3">
      <c r="A19" s="414">
        <v>42901</v>
      </c>
      <c r="B19" s="415">
        <v>47080.5</v>
      </c>
      <c r="C19" s="50" t="s">
        <v>673</v>
      </c>
      <c r="D19" s="435">
        <v>42901</v>
      </c>
      <c r="E19" s="436">
        <v>47080.5</v>
      </c>
      <c r="F19" s="23"/>
      <c r="G19" s="24">
        <v>42901</v>
      </c>
      <c r="H19" s="440">
        <v>0</v>
      </c>
      <c r="I19" s="38"/>
      <c r="J19" s="368" t="s">
        <v>54</v>
      </c>
      <c r="K19" s="456">
        <v>0</v>
      </c>
      <c r="L19" s="443" t="s">
        <v>674</v>
      </c>
      <c r="M19" s="29">
        <v>0</v>
      </c>
      <c r="N19" s="45"/>
    </row>
    <row r="20" spans="1:14" ht="15.75" thickBot="1" x14ac:dyDescent="0.3">
      <c r="A20" s="414">
        <v>42902</v>
      </c>
      <c r="B20" s="415">
        <v>57081</v>
      </c>
      <c r="C20" s="57" t="s">
        <v>675</v>
      </c>
      <c r="D20" s="435">
        <v>42902</v>
      </c>
      <c r="E20" s="436">
        <v>61656</v>
      </c>
      <c r="F20" s="23"/>
      <c r="G20" s="24">
        <v>42902</v>
      </c>
      <c r="H20" s="440">
        <v>0</v>
      </c>
      <c r="I20" s="58"/>
      <c r="J20" s="59" t="s">
        <v>57</v>
      </c>
      <c r="K20" s="109">
        <v>0</v>
      </c>
      <c r="L20" s="443" t="s">
        <v>676</v>
      </c>
      <c r="M20" s="29">
        <v>0</v>
      </c>
      <c r="N20" s="45"/>
    </row>
    <row r="21" spans="1:14" ht="15.75" thickBot="1" x14ac:dyDescent="0.3">
      <c r="A21" s="414">
        <v>42903</v>
      </c>
      <c r="B21" s="415">
        <v>62296</v>
      </c>
      <c r="C21" s="57" t="s">
        <v>679</v>
      </c>
      <c r="D21" s="435">
        <v>42903</v>
      </c>
      <c r="E21" s="436">
        <v>63784.5</v>
      </c>
      <c r="F21" s="23"/>
      <c r="G21" s="24">
        <v>42903</v>
      </c>
      <c r="H21" s="440">
        <v>5</v>
      </c>
      <c r="I21" s="450" t="s">
        <v>638</v>
      </c>
      <c r="J21" s="63"/>
      <c r="K21" s="109">
        <v>500</v>
      </c>
      <c r="L21" s="443" t="s">
        <v>678</v>
      </c>
      <c r="M21" s="29">
        <v>0</v>
      </c>
      <c r="N21" s="45"/>
    </row>
    <row r="22" spans="1:14" ht="15.75" thickBot="1" x14ac:dyDescent="0.3">
      <c r="A22" s="414">
        <v>42904</v>
      </c>
      <c r="B22" s="415">
        <v>60045.5</v>
      </c>
      <c r="C22" s="50" t="s">
        <v>687</v>
      </c>
      <c r="D22" s="435">
        <v>42904</v>
      </c>
      <c r="E22" s="436">
        <v>58858</v>
      </c>
      <c r="F22" s="23"/>
      <c r="G22" s="24">
        <v>42904</v>
      </c>
      <c r="H22" s="440">
        <v>40</v>
      </c>
      <c r="I22" s="58"/>
      <c r="J22" s="449">
        <v>42889</v>
      </c>
      <c r="K22" s="109">
        <v>0</v>
      </c>
      <c r="L22" s="443" t="s">
        <v>686</v>
      </c>
      <c r="M22" s="29">
        <v>0</v>
      </c>
      <c r="N22" s="45"/>
    </row>
    <row r="23" spans="1:14" ht="15.75" thickBot="1" x14ac:dyDescent="0.3">
      <c r="A23" s="414">
        <v>42905</v>
      </c>
      <c r="B23" s="415">
        <v>69182.5</v>
      </c>
      <c r="C23" s="50" t="s">
        <v>699</v>
      </c>
      <c r="D23" s="435">
        <v>42905</v>
      </c>
      <c r="E23" s="436">
        <v>69182.5</v>
      </c>
      <c r="F23" s="23"/>
      <c r="G23" s="24">
        <v>42905</v>
      </c>
      <c r="H23" s="440">
        <v>0</v>
      </c>
      <c r="I23" s="38"/>
      <c r="J23" s="63"/>
      <c r="K23" s="109">
        <v>0</v>
      </c>
      <c r="L23" s="443" t="s">
        <v>698</v>
      </c>
      <c r="M23" s="29">
        <v>0</v>
      </c>
      <c r="N23" s="45"/>
    </row>
    <row r="24" spans="1:14" ht="15.75" thickBot="1" x14ac:dyDescent="0.3">
      <c r="A24" s="414">
        <v>42906</v>
      </c>
      <c r="B24" s="415">
        <v>41090</v>
      </c>
      <c r="C24" s="50" t="s">
        <v>702</v>
      </c>
      <c r="D24" s="435">
        <v>42906</v>
      </c>
      <c r="E24" s="436">
        <v>38385.5</v>
      </c>
      <c r="F24" s="23"/>
      <c r="G24" s="24">
        <v>42906</v>
      </c>
      <c r="H24" s="440">
        <v>10</v>
      </c>
      <c r="I24" s="38"/>
      <c r="J24" s="359" t="s">
        <v>66</v>
      </c>
      <c r="K24" s="109">
        <v>800</v>
      </c>
      <c r="L24" s="443" t="s">
        <v>703</v>
      </c>
      <c r="M24" s="29">
        <v>0</v>
      </c>
      <c r="N24" s="45"/>
    </row>
    <row r="25" spans="1:14" ht="15.75" thickBot="1" x14ac:dyDescent="0.3">
      <c r="A25" s="414">
        <v>42907</v>
      </c>
      <c r="B25" s="415">
        <v>49522</v>
      </c>
      <c r="C25" s="57" t="s">
        <v>705</v>
      </c>
      <c r="D25" s="435">
        <v>42907</v>
      </c>
      <c r="E25" s="436">
        <v>49325</v>
      </c>
      <c r="F25" s="23"/>
      <c r="G25" s="24">
        <v>42907</v>
      </c>
      <c r="H25" s="440">
        <v>8</v>
      </c>
      <c r="I25" s="38"/>
      <c r="J25" s="68">
        <v>42888</v>
      </c>
      <c r="K25" s="109">
        <v>0</v>
      </c>
      <c r="L25" s="443" t="s">
        <v>704</v>
      </c>
      <c r="M25" s="29">
        <v>0</v>
      </c>
      <c r="N25" s="45"/>
    </row>
    <row r="26" spans="1:14" ht="15.75" thickBot="1" x14ac:dyDescent="0.3">
      <c r="A26" s="414">
        <v>42908</v>
      </c>
      <c r="B26" s="415">
        <v>40941</v>
      </c>
      <c r="C26" s="50" t="s">
        <v>707</v>
      </c>
      <c r="D26" s="435">
        <v>42908</v>
      </c>
      <c r="E26" s="436">
        <v>37802</v>
      </c>
      <c r="F26" s="23"/>
      <c r="G26" s="24">
        <v>42908</v>
      </c>
      <c r="H26" s="440">
        <v>0</v>
      </c>
      <c r="I26" s="38"/>
      <c r="J26" s="360" t="s">
        <v>73</v>
      </c>
      <c r="K26" s="109">
        <v>900</v>
      </c>
      <c r="L26" s="443" t="s">
        <v>706</v>
      </c>
      <c r="M26" s="29">
        <v>0</v>
      </c>
      <c r="N26" s="45"/>
    </row>
    <row r="27" spans="1:14" ht="15.75" thickBot="1" x14ac:dyDescent="0.3">
      <c r="A27" s="414">
        <v>42909</v>
      </c>
      <c r="B27" s="415">
        <v>64191.5</v>
      </c>
      <c r="C27" s="50" t="s">
        <v>709</v>
      </c>
      <c r="D27" s="435">
        <v>42909</v>
      </c>
      <c r="E27" s="436">
        <v>64224.5</v>
      </c>
      <c r="F27" s="23"/>
      <c r="G27" s="24">
        <v>42909</v>
      </c>
      <c r="H27" s="440">
        <v>33</v>
      </c>
      <c r="I27" s="38"/>
      <c r="J27" s="68">
        <v>42891</v>
      </c>
      <c r="K27" s="109">
        <v>0</v>
      </c>
      <c r="L27" s="443" t="s">
        <v>708</v>
      </c>
      <c r="M27" s="29">
        <v>0</v>
      </c>
    </row>
    <row r="28" spans="1:14" ht="15.75" thickBot="1" x14ac:dyDescent="0.3">
      <c r="A28" s="414">
        <v>42910</v>
      </c>
      <c r="B28" s="415">
        <v>69725</v>
      </c>
      <c r="C28" s="50" t="s">
        <v>711</v>
      </c>
      <c r="D28" s="435">
        <v>42910</v>
      </c>
      <c r="E28" s="436">
        <v>71101</v>
      </c>
      <c r="F28" s="23"/>
      <c r="G28" s="24">
        <v>42910</v>
      </c>
      <c r="H28" s="440">
        <v>25</v>
      </c>
      <c r="I28" s="38"/>
      <c r="J28" s="358" t="s">
        <v>442</v>
      </c>
      <c r="K28" s="109">
        <v>0</v>
      </c>
      <c r="L28" s="446" t="s">
        <v>710</v>
      </c>
      <c r="M28" s="29">
        <v>0</v>
      </c>
    </row>
    <row r="29" spans="1:14" ht="15.75" thickBot="1" x14ac:dyDescent="0.3">
      <c r="A29" s="414">
        <v>42911</v>
      </c>
      <c r="B29" s="415">
        <v>56678</v>
      </c>
      <c r="C29" s="50" t="s">
        <v>714</v>
      </c>
      <c r="D29" s="435">
        <v>42911</v>
      </c>
      <c r="E29" s="436">
        <v>57088</v>
      </c>
      <c r="F29" s="23"/>
      <c r="G29" s="24">
        <v>42911</v>
      </c>
      <c r="H29" s="440">
        <v>10</v>
      </c>
      <c r="I29" s="38"/>
      <c r="J29" s="68"/>
      <c r="K29" s="109">
        <v>0</v>
      </c>
      <c r="L29" s="443" t="s">
        <v>713</v>
      </c>
      <c r="M29" s="29">
        <v>0</v>
      </c>
    </row>
    <row r="30" spans="1:14" ht="15.75" thickBot="1" x14ac:dyDescent="0.3">
      <c r="A30" s="414">
        <v>42912</v>
      </c>
      <c r="B30" s="415"/>
      <c r="C30" s="57"/>
      <c r="D30" s="435">
        <v>42912</v>
      </c>
      <c r="E30" s="436"/>
      <c r="F30" s="23"/>
      <c r="G30" s="24">
        <v>42912</v>
      </c>
      <c r="H30" s="440"/>
      <c r="I30" s="38"/>
      <c r="J30" s="461" t="s">
        <v>82</v>
      </c>
      <c r="K30" s="109">
        <v>0</v>
      </c>
      <c r="L30" s="446"/>
      <c r="M30" s="29">
        <v>0</v>
      </c>
    </row>
    <row r="31" spans="1:14" ht="15.75" thickBot="1" x14ac:dyDescent="0.3">
      <c r="A31" s="414">
        <v>42913</v>
      </c>
      <c r="B31" s="415"/>
      <c r="C31" s="57"/>
      <c r="D31" s="435">
        <v>42913</v>
      </c>
      <c r="E31" s="436"/>
      <c r="F31" s="23"/>
      <c r="G31" s="24">
        <v>42913</v>
      </c>
      <c r="H31" s="440"/>
      <c r="I31" s="38"/>
      <c r="J31" s="68"/>
      <c r="K31" s="109">
        <v>0</v>
      </c>
      <c r="L31" s="446"/>
      <c r="M31" s="29">
        <v>0</v>
      </c>
    </row>
    <row r="32" spans="1:14" ht="15.75" thickBot="1" x14ac:dyDescent="0.3">
      <c r="A32" s="414">
        <v>42914</v>
      </c>
      <c r="B32" s="415"/>
      <c r="C32" s="48"/>
      <c r="D32" s="435">
        <v>42914</v>
      </c>
      <c r="E32" s="436"/>
      <c r="F32" s="23"/>
      <c r="G32" s="24">
        <v>42914</v>
      </c>
      <c r="H32" s="440"/>
      <c r="I32" s="38"/>
      <c r="J32" s="461"/>
      <c r="K32" s="452"/>
      <c r="L32" s="443"/>
      <c r="M32" s="29">
        <v>0</v>
      </c>
    </row>
    <row r="33" spans="1:13" ht="15.75" thickBot="1" x14ac:dyDescent="0.3">
      <c r="A33" s="414">
        <v>42915</v>
      </c>
      <c r="B33" s="415"/>
      <c r="C33" s="48"/>
      <c r="D33" s="435">
        <v>42915</v>
      </c>
      <c r="E33" s="436"/>
      <c r="F33" s="23"/>
      <c r="G33" s="24">
        <v>42915</v>
      </c>
      <c r="H33" s="440"/>
      <c r="I33" s="38"/>
      <c r="J33" s="190"/>
      <c r="K33" s="191"/>
      <c r="L33" s="443"/>
      <c r="M33" s="29">
        <v>0</v>
      </c>
    </row>
    <row r="34" spans="1:13" ht="15.75" thickBot="1" x14ac:dyDescent="0.3">
      <c r="A34" s="414">
        <v>42916</v>
      </c>
      <c r="B34" s="415"/>
      <c r="C34" s="57"/>
      <c r="D34" s="435">
        <v>42916</v>
      </c>
      <c r="E34" s="436"/>
      <c r="F34" s="23"/>
      <c r="G34" s="24">
        <v>42916</v>
      </c>
      <c r="H34" s="440"/>
      <c r="I34" s="38"/>
      <c r="J34" s="190"/>
      <c r="K34" s="191"/>
      <c r="L34" s="447"/>
      <c r="M34" s="29">
        <v>0</v>
      </c>
    </row>
    <row r="35" spans="1:13" ht="15.75" thickBot="1" x14ac:dyDescent="0.3">
      <c r="A35" s="417"/>
      <c r="B35" s="418"/>
      <c r="C35" s="20"/>
      <c r="D35" s="435"/>
      <c r="E35" s="436"/>
      <c r="F35" s="23"/>
      <c r="G35" s="24"/>
      <c r="H35" s="440"/>
      <c r="I35" s="38"/>
      <c r="J35" s="461"/>
      <c r="K35" s="452"/>
      <c r="L35" s="448"/>
      <c r="M35" s="29">
        <v>0</v>
      </c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19</v>
      </c>
    </row>
    <row r="38" spans="1:13" x14ac:dyDescent="0.25">
      <c r="A38" s="98" t="s">
        <v>85</v>
      </c>
      <c r="B38" s="99">
        <f>SUM(B5:B37)</f>
        <v>1269145</v>
      </c>
      <c r="D38" s="100" t="s">
        <v>85</v>
      </c>
      <c r="E38" s="101">
        <f>SUM(E5:E37)</f>
        <v>1272320</v>
      </c>
      <c r="G38" s="397" t="s">
        <v>85</v>
      </c>
      <c r="H38" s="4">
        <f>SUM(H5:H37)</f>
        <v>252</v>
      </c>
      <c r="I38" s="4"/>
      <c r="J38" s="102" t="s">
        <v>85</v>
      </c>
      <c r="K38" s="103">
        <f t="shared" ref="K38" si="0">SUM(K5:K37)</f>
        <v>67132.179999999993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479" t="s">
        <v>86</v>
      </c>
      <c r="H40" s="480"/>
      <c r="I40" s="396"/>
      <c r="J40" s="481">
        <f>H38+K38</f>
        <v>67384.179999999993</v>
      </c>
      <c r="K40" s="482"/>
      <c r="L40" s="108"/>
      <c r="M40" s="108"/>
    </row>
    <row r="41" spans="1:13" ht="15.75" x14ac:dyDescent="0.25">
      <c r="A41" s="1"/>
      <c r="B41" s="5"/>
      <c r="C41" s="501" t="s">
        <v>87</v>
      </c>
      <c r="D41" s="501"/>
      <c r="E41" s="109">
        <f>E38-J40</f>
        <v>1204935.82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0</v>
      </c>
      <c r="H43" s="500"/>
      <c r="I43" s="500"/>
      <c r="J43" s="500"/>
      <c r="K43" s="103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1204935.82</v>
      </c>
      <c r="H44" s="502" t="s">
        <v>91</v>
      </c>
      <c r="I44" s="502"/>
      <c r="J44" s="503">
        <f>E46</f>
        <v>1204935.82</v>
      </c>
      <c r="K44" s="504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0</v>
      </c>
      <c r="H45" s="505" t="s">
        <v>3</v>
      </c>
      <c r="I45" s="505"/>
      <c r="J45" s="490">
        <v>0</v>
      </c>
      <c r="K45" s="490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1204935.82</v>
      </c>
      <c r="I46" s="116"/>
      <c r="J46" s="495">
        <v>0</v>
      </c>
      <c r="K46" s="495"/>
      <c r="L46" s="108"/>
      <c r="M46" s="108"/>
    </row>
    <row r="47" spans="1:13" ht="19.5" thickBot="1" x14ac:dyDescent="0.3">
      <c r="A47" s="1"/>
      <c r="B47" s="5"/>
      <c r="E47" s="109"/>
      <c r="H47" s="496" t="s">
        <v>94</v>
      </c>
      <c r="I47" s="497"/>
      <c r="J47" s="498">
        <f>SUM(J44:K46)</f>
        <v>1204935.82</v>
      </c>
      <c r="K47" s="499"/>
      <c r="L47" s="108"/>
      <c r="M47" s="108"/>
    </row>
    <row r="48" spans="1:13" x14ac:dyDescent="0.25">
      <c r="A48" s="1"/>
      <c r="B48" s="5"/>
      <c r="C48" s="500"/>
      <c r="D48" s="500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D3:F3"/>
    <mergeCell ref="G3:H3"/>
    <mergeCell ref="A3:A4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Y51"/>
  <sheetViews>
    <sheetView topLeftCell="A28" workbookViewId="0">
      <selection activeCell="A44" sqref="A44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4" max="14" width="13.85546875" bestFit="1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506" t="s">
        <v>95</v>
      </c>
      <c r="D1" s="507"/>
      <c r="E1" s="508"/>
      <c r="F1" s="119"/>
      <c r="I1" s="45"/>
      <c r="J1" s="154"/>
      <c r="K1" s="343">
        <v>42901</v>
      </c>
      <c r="L1" s="216"/>
      <c r="M1" s="217" t="s">
        <v>141</v>
      </c>
      <c r="N1" s="111"/>
      <c r="O1" s="158"/>
      <c r="R1">
        <v>16661</v>
      </c>
      <c r="S1" s="45">
        <v>3424</v>
      </c>
      <c r="T1" s="154"/>
      <c r="U1" s="466">
        <v>42915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2520+4483</f>
        <v>7003</v>
      </c>
      <c r="J2" s="290" t="s">
        <v>585</v>
      </c>
      <c r="K2" s="133">
        <v>581.82000000000005</v>
      </c>
      <c r="L2" s="214" t="s">
        <v>143</v>
      </c>
      <c r="M2" s="160" t="s">
        <v>154</v>
      </c>
      <c r="N2" s="161">
        <v>2520</v>
      </c>
      <c r="O2" s="162">
        <v>42880</v>
      </c>
      <c r="S2" s="45">
        <v>52471</v>
      </c>
      <c r="T2" s="366" t="s">
        <v>681</v>
      </c>
      <c r="U2" s="133">
        <v>49474.29</v>
      </c>
      <c r="V2" s="214" t="s">
        <v>143</v>
      </c>
      <c r="W2" s="160">
        <v>3718352</v>
      </c>
      <c r="X2" s="161">
        <v>58500</v>
      </c>
      <c r="Y2" s="162">
        <v>42905</v>
      </c>
    </row>
    <row r="3" spans="1:25" ht="15.75" x14ac:dyDescent="0.25">
      <c r="A3" s="125">
        <v>42887</v>
      </c>
      <c r="B3" s="126" t="s">
        <v>612</v>
      </c>
      <c r="C3" s="127">
        <v>101162.18</v>
      </c>
      <c r="D3" s="128">
        <v>42901</v>
      </c>
      <c r="E3" s="127">
        <v>101162.18</v>
      </c>
      <c r="F3" s="129">
        <f t="shared" ref="F3:F48" si="0">C3-E3</f>
        <v>0</v>
      </c>
      <c r="I3" s="45">
        <v>31621</v>
      </c>
      <c r="J3" s="290" t="s">
        <v>610</v>
      </c>
      <c r="K3" s="133">
        <v>31621</v>
      </c>
      <c r="L3" s="159"/>
      <c r="M3" s="160">
        <v>3718024</v>
      </c>
      <c r="N3" s="161">
        <v>32365.5</v>
      </c>
      <c r="O3" s="162">
        <v>42883</v>
      </c>
      <c r="S3" s="45">
        <f>13287.5+4095+16770</f>
        <v>34152.5</v>
      </c>
      <c r="T3" s="393" t="s">
        <v>689</v>
      </c>
      <c r="U3" s="133">
        <v>34152.5</v>
      </c>
      <c r="V3" s="159"/>
      <c r="W3" s="160">
        <v>3718353</v>
      </c>
      <c r="X3" s="161">
        <v>10682.5</v>
      </c>
      <c r="Y3" s="162">
        <v>42905</v>
      </c>
    </row>
    <row r="4" spans="1:25" ht="15.75" x14ac:dyDescent="0.25">
      <c r="A4" s="131">
        <v>42887</v>
      </c>
      <c r="B4" s="132" t="s">
        <v>613</v>
      </c>
      <c r="C4" s="133">
        <v>414.96</v>
      </c>
      <c r="D4" s="128">
        <v>42901</v>
      </c>
      <c r="E4" s="133">
        <v>414.96</v>
      </c>
      <c r="F4" s="134">
        <f t="shared" si="0"/>
        <v>0</v>
      </c>
      <c r="I4" s="45">
        <f>36261.5+30000+593.5</f>
        <v>66855</v>
      </c>
      <c r="J4" s="376" t="s">
        <v>611</v>
      </c>
      <c r="K4" s="339">
        <v>66854.899999999994</v>
      </c>
      <c r="L4" s="163"/>
      <c r="M4" s="160">
        <v>3718023</v>
      </c>
      <c r="N4" s="161">
        <v>40000</v>
      </c>
      <c r="O4" s="162">
        <v>42883</v>
      </c>
      <c r="S4" s="45">
        <f>19914+3344+10033.5</f>
        <v>33291.5</v>
      </c>
      <c r="T4" s="132" t="s">
        <v>682</v>
      </c>
      <c r="U4" s="133">
        <v>33291.300000000003</v>
      </c>
      <c r="V4" s="163"/>
      <c r="W4" s="160">
        <v>3718354</v>
      </c>
      <c r="X4" s="161">
        <v>25000</v>
      </c>
      <c r="Y4" s="162">
        <v>42906</v>
      </c>
    </row>
    <row r="5" spans="1:25" ht="15.75" x14ac:dyDescent="0.25">
      <c r="A5" s="131">
        <v>42888</v>
      </c>
      <c r="B5" s="132" t="s">
        <v>614</v>
      </c>
      <c r="C5" s="133">
        <v>32081.759999999998</v>
      </c>
      <c r="D5" s="128">
        <v>42901</v>
      </c>
      <c r="E5" s="133">
        <v>32081.759999999998</v>
      </c>
      <c r="F5" s="134">
        <f t="shared" si="0"/>
        <v>0</v>
      </c>
      <c r="I5" s="45">
        <f>37292.5+51862.5+12007</f>
        <v>101162</v>
      </c>
      <c r="J5" s="126" t="s">
        <v>612</v>
      </c>
      <c r="K5" s="127">
        <v>101162.18</v>
      </c>
      <c r="L5" s="164"/>
      <c r="M5" s="160">
        <v>3718027</v>
      </c>
      <c r="N5" s="161">
        <v>30000</v>
      </c>
      <c r="O5" s="162">
        <v>42886</v>
      </c>
      <c r="S5" s="45">
        <v>33021.5</v>
      </c>
      <c r="T5" s="367" t="s">
        <v>683</v>
      </c>
      <c r="U5" s="133">
        <v>33021.449999999997</v>
      </c>
      <c r="V5" s="164"/>
      <c r="W5" s="160">
        <v>3718355</v>
      </c>
      <c r="X5" s="161">
        <v>11684</v>
      </c>
      <c r="Y5" s="162">
        <v>42906</v>
      </c>
    </row>
    <row r="6" spans="1:25" ht="15.75" x14ac:dyDescent="0.25">
      <c r="A6" s="131">
        <v>42888</v>
      </c>
      <c r="B6" s="132" t="s">
        <v>615</v>
      </c>
      <c r="C6" s="133">
        <v>5388.2</v>
      </c>
      <c r="D6" s="128">
        <v>42901</v>
      </c>
      <c r="E6" s="133">
        <v>5388.2</v>
      </c>
      <c r="F6" s="135">
        <f t="shared" si="0"/>
        <v>0</v>
      </c>
      <c r="I6" s="45">
        <v>415</v>
      </c>
      <c r="J6" s="132" t="s">
        <v>613</v>
      </c>
      <c r="K6" s="133">
        <v>414.96</v>
      </c>
      <c r="L6" s="277"/>
      <c r="M6" s="160" t="s">
        <v>154</v>
      </c>
      <c r="N6" s="161">
        <v>593.5</v>
      </c>
      <c r="O6" s="162">
        <v>42887</v>
      </c>
      <c r="S6" s="45">
        <f>3123+3139+30787</f>
        <v>37049</v>
      </c>
      <c r="T6" s="290" t="s">
        <v>684</v>
      </c>
      <c r="U6" s="133">
        <v>37049.21</v>
      </c>
      <c r="V6" s="277"/>
      <c r="W6" s="160" t="s">
        <v>154</v>
      </c>
      <c r="X6" s="161">
        <v>4095</v>
      </c>
      <c r="Y6" s="162">
        <v>42902</v>
      </c>
    </row>
    <row r="7" spans="1:25" ht="15.75" x14ac:dyDescent="0.25">
      <c r="A7" s="131">
        <v>42888</v>
      </c>
      <c r="B7" s="132" t="s">
        <v>616</v>
      </c>
      <c r="C7" s="133">
        <v>925</v>
      </c>
      <c r="D7" s="128">
        <v>42901</v>
      </c>
      <c r="E7" s="133">
        <v>925</v>
      </c>
      <c r="F7" s="135">
        <f t="shared" si="0"/>
        <v>0</v>
      </c>
      <c r="I7" s="45">
        <v>32082</v>
      </c>
      <c r="J7" s="132" t="s">
        <v>614</v>
      </c>
      <c r="K7" s="133">
        <v>32081.759999999998</v>
      </c>
      <c r="L7" s="163"/>
      <c r="M7" s="160">
        <v>3718028</v>
      </c>
      <c r="N7" s="161">
        <v>25000</v>
      </c>
      <c r="O7" s="162">
        <v>42887</v>
      </c>
      <c r="S7" s="45">
        <f>7015+33388</f>
        <v>40403</v>
      </c>
      <c r="T7" s="290" t="s">
        <v>690</v>
      </c>
      <c r="U7" s="133">
        <v>40402.980000000003</v>
      </c>
      <c r="V7" s="163"/>
      <c r="W7" s="160">
        <v>3718356</v>
      </c>
      <c r="X7" s="161">
        <v>30000</v>
      </c>
      <c r="Y7" s="162">
        <v>42907</v>
      </c>
    </row>
    <row r="8" spans="1:25" ht="15.75" x14ac:dyDescent="0.25">
      <c r="A8" s="131">
        <v>42889</v>
      </c>
      <c r="B8" s="132" t="s">
        <v>617</v>
      </c>
      <c r="C8" s="133">
        <v>39724.080000000002</v>
      </c>
      <c r="D8" s="128">
        <v>42901</v>
      </c>
      <c r="E8" s="133">
        <v>39724.080000000002</v>
      </c>
      <c r="F8" s="135">
        <f t="shared" si="0"/>
        <v>0</v>
      </c>
      <c r="I8" s="45">
        <v>5398</v>
      </c>
      <c r="J8" s="132" t="s">
        <v>615</v>
      </c>
      <c r="K8" s="133">
        <v>5388.2</v>
      </c>
      <c r="L8" s="165"/>
      <c r="M8" s="160" t="s">
        <v>154</v>
      </c>
      <c r="N8" s="166">
        <v>12292.5</v>
      </c>
      <c r="O8" s="167">
        <v>42888</v>
      </c>
      <c r="S8" s="45">
        <f>30803.5+909</f>
        <v>31712.5</v>
      </c>
      <c r="T8" s="290" t="s">
        <v>691</v>
      </c>
      <c r="U8" s="133">
        <v>31712.400000000001</v>
      </c>
      <c r="V8" s="165"/>
      <c r="W8" s="160">
        <v>3718357</v>
      </c>
      <c r="X8" s="166">
        <v>16178</v>
      </c>
      <c r="Y8" s="167">
        <v>42907</v>
      </c>
    </row>
    <row r="9" spans="1:25" ht="15.75" x14ac:dyDescent="0.25">
      <c r="A9" s="131">
        <v>42889</v>
      </c>
      <c r="B9" s="132" t="s">
        <v>618</v>
      </c>
      <c r="C9" s="133">
        <v>33195.599999999999</v>
      </c>
      <c r="D9" s="128">
        <v>42909</v>
      </c>
      <c r="E9" s="133">
        <v>33195.599999999999</v>
      </c>
      <c r="F9" s="135">
        <f t="shared" si="0"/>
        <v>0</v>
      </c>
      <c r="I9" s="45">
        <v>925</v>
      </c>
      <c r="J9" s="132" t="s">
        <v>616</v>
      </c>
      <c r="K9" s="133">
        <v>925</v>
      </c>
      <c r="L9" s="163"/>
      <c r="M9" s="160" t="s">
        <v>154</v>
      </c>
      <c r="N9" s="148">
        <v>15000</v>
      </c>
      <c r="O9" s="167">
        <v>42888</v>
      </c>
      <c r="S9" s="45">
        <v>34778.199999999997</v>
      </c>
      <c r="T9" s="290" t="s">
        <v>692</v>
      </c>
      <c r="U9" s="133">
        <v>34778.199999999997</v>
      </c>
      <c r="V9" s="163"/>
      <c r="W9" s="160" t="s">
        <v>154</v>
      </c>
      <c r="X9" s="148">
        <v>1380.5</v>
      </c>
      <c r="Y9" s="167">
        <v>42907</v>
      </c>
    </row>
    <row r="10" spans="1:25" ht="15.75" x14ac:dyDescent="0.25">
      <c r="A10" s="131">
        <v>42890</v>
      </c>
      <c r="B10" s="132" t="s">
        <v>619</v>
      </c>
      <c r="C10" s="133">
        <v>49889.16</v>
      </c>
      <c r="D10" s="128">
        <v>42901</v>
      </c>
      <c r="E10" s="133">
        <v>49889.16</v>
      </c>
      <c r="F10" s="135">
        <f t="shared" si="0"/>
        <v>0</v>
      </c>
      <c r="I10" s="45">
        <f>26140+4302+9282</f>
        <v>39724</v>
      </c>
      <c r="J10" s="132" t="s">
        <v>617</v>
      </c>
      <c r="K10" s="133">
        <v>39724.080000000002</v>
      </c>
      <c r="L10" s="168"/>
      <c r="M10" s="160">
        <v>3718029</v>
      </c>
      <c r="N10" s="161">
        <v>36862.5</v>
      </c>
      <c r="O10" s="162">
        <v>42888</v>
      </c>
      <c r="S10" s="45">
        <v>2220</v>
      </c>
      <c r="T10" s="290" t="s">
        <v>693</v>
      </c>
      <c r="U10" s="133">
        <v>2220</v>
      </c>
      <c r="V10" s="168"/>
      <c r="W10" s="160" t="s">
        <v>154</v>
      </c>
      <c r="X10" s="161">
        <v>1963.5</v>
      </c>
      <c r="Y10" s="162">
        <v>42905</v>
      </c>
    </row>
    <row r="11" spans="1:25" ht="15.75" x14ac:dyDescent="0.25">
      <c r="A11" s="131">
        <v>42891</v>
      </c>
      <c r="B11" s="132" t="s">
        <v>620</v>
      </c>
      <c r="C11" s="133">
        <v>31847.8</v>
      </c>
      <c r="D11" s="128">
        <v>42901</v>
      </c>
      <c r="E11" s="133">
        <v>31847.8</v>
      </c>
      <c r="F11" s="135">
        <f t="shared" si="0"/>
        <v>0</v>
      </c>
      <c r="I11" s="45"/>
      <c r="J11" s="132"/>
      <c r="K11" s="133"/>
      <c r="L11" s="168"/>
      <c r="M11" s="160">
        <v>3718030</v>
      </c>
      <c r="N11" s="161">
        <v>35000</v>
      </c>
      <c r="O11" s="162">
        <v>42889</v>
      </c>
      <c r="S11" s="45">
        <v>17767.2</v>
      </c>
      <c r="T11" s="469" t="s">
        <v>694</v>
      </c>
      <c r="U11" s="339">
        <v>17767.2</v>
      </c>
      <c r="V11" s="168"/>
      <c r="W11" s="160">
        <v>3718358</v>
      </c>
      <c r="X11" s="161">
        <v>25000</v>
      </c>
      <c r="Y11" s="162">
        <v>42908</v>
      </c>
    </row>
    <row r="12" spans="1:25" ht="15.75" x14ac:dyDescent="0.25">
      <c r="A12" s="131">
        <v>42892</v>
      </c>
      <c r="B12" s="132" t="s">
        <v>621</v>
      </c>
      <c r="C12" s="133">
        <v>32112.400000000001</v>
      </c>
      <c r="D12" s="128">
        <v>42901</v>
      </c>
      <c r="E12" s="133">
        <v>32112.400000000001</v>
      </c>
      <c r="F12" s="135">
        <f t="shared" si="0"/>
        <v>0</v>
      </c>
      <c r="I12" s="45">
        <v>49889</v>
      </c>
      <c r="J12" s="132" t="s">
        <v>619</v>
      </c>
      <c r="K12" s="133">
        <v>49889.16</v>
      </c>
      <c r="L12" s="168"/>
      <c r="M12" s="160">
        <v>3718031</v>
      </c>
      <c r="N12" s="161">
        <v>41967</v>
      </c>
      <c r="O12" s="162">
        <v>42889</v>
      </c>
      <c r="S12" s="45">
        <f>14050.6+16825.52</f>
        <v>30876.120000000003</v>
      </c>
      <c r="T12" s="468" t="s">
        <v>695</v>
      </c>
      <c r="U12" s="178">
        <v>30876.12</v>
      </c>
      <c r="V12" s="168"/>
      <c r="W12" s="160">
        <v>3718359</v>
      </c>
      <c r="X12" s="161">
        <v>12802</v>
      </c>
      <c r="Y12" s="162">
        <v>42908</v>
      </c>
    </row>
    <row r="13" spans="1:25" ht="15.75" x14ac:dyDescent="0.25">
      <c r="A13" s="131">
        <v>42893</v>
      </c>
      <c r="B13" s="132" t="s">
        <v>626</v>
      </c>
      <c r="C13" s="133">
        <v>37579.64</v>
      </c>
      <c r="D13" s="128">
        <v>42901</v>
      </c>
      <c r="E13" s="133">
        <v>37579.64</v>
      </c>
      <c r="F13" s="135">
        <f t="shared" si="0"/>
        <v>0</v>
      </c>
      <c r="I13" s="45">
        <f>7790.5+24057.5</f>
        <v>31848</v>
      </c>
      <c r="J13" s="132" t="s">
        <v>620</v>
      </c>
      <c r="K13" s="133">
        <v>31847.8</v>
      </c>
      <c r="L13" s="168"/>
      <c r="M13" s="160">
        <v>3718032</v>
      </c>
      <c r="N13" s="161">
        <v>45000</v>
      </c>
      <c r="O13" s="162">
        <v>42890</v>
      </c>
      <c r="S13" s="45">
        <v>34184.160000000003</v>
      </c>
      <c r="T13" s="468" t="s">
        <v>696</v>
      </c>
      <c r="U13" s="178">
        <v>34184.160000000003</v>
      </c>
      <c r="V13" s="168"/>
      <c r="W13" s="160" t="s">
        <v>154</v>
      </c>
      <c r="X13" s="161">
        <v>3139</v>
      </c>
      <c r="Y13" s="162">
        <v>42908</v>
      </c>
    </row>
    <row r="14" spans="1:25" ht="15.75" x14ac:dyDescent="0.25">
      <c r="A14" s="131">
        <v>42894</v>
      </c>
      <c r="B14" s="132" t="s">
        <v>627</v>
      </c>
      <c r="C14" s="133">
        <v>48456.28</v>
      </c>
      <c r="D14" s="128">
        <v>42901</v>
      </c>
      <c r="E14" s="133">
        <v>48456.28</v>
      </c>
      <c r="F14" s="135">
        <f t="shared" si="0"/>
        <v>0</v>
      </c>
      <c r="I14" s="45">
        <f>25325.5+6787</f>
        <v>32112.5</v>
      </c>
      <c r="J14" s="132" t="s">
        <v>621</v>
      </c>
      <c r="K14" s="133">
        <v>32112.400000000001</v>
      </c>
      <c r="L14" s="168"/>
      <c r="M14" s="160">
        <v>3718033</v>
      </c>
      <c r="N14" s="161">
        <v>21961.5</v>
      </c>
      <c r="O14" s="162">
        <v>42890</v>
      </c>
      <c r="S14" s="45">
        <v>5668.32</v>
      </c>
      <c r="T14" s="468" t="s">
        <v>697</v>
      </c>
      <c r="U14" s="178">
        <v>12089.19</v>
      </c>
      <c r="V14" s="470" t="s">
        <v>159</v>
      </c>
      <c r="W14" s="160">
        <v>3718360</v>
      </c>
      <c r="X14" s="161">
        <v>35000</v>
      </c>
      <c r="Y14" s="162">
        <v>42909</v>
      </c>
    </row>
    <row r="15" spans="1:25" ht="15.75" x14ac:dyDescent="0.25">
      <c r="A15" s="131">
        <v>42895</v>
      </c>
      <c r="B15" s="132" t="s">
        <v>628</v>
      </c>
      <c r="C15" s="133">
        <v>70769.759999999995</v>
      </c>
      <c r="D15" s="211" t="s">
        <v>688</v>
      </c>
      <c r="E15" s="133">
        <f>17164.32+53605.44</f>
        <v>70769.760000000009</v>
      </c>
      <c r="F15" s="135">
        <f t="shared" si="0"/>
        <v>0</v>
      </c>
      <c r="I15" s="45">
        <f>11950.5+7236+18383</f>
        <v>37569.5</v>
      </c>
      <c r="J15" s="132" t="s">
        <v>626</v>
      </c>
      <c r="K15" s="133">
        <v>37579.64</v>
      </c>
      <c r="L15" s="168"/>
      <c r="M15" s="160" t="s">
        <v>154</v>
      </c>
      <c r="N15" s="161">
        <v>1112</v>
      </c>
      <c r="O15" s="162">
        <v>42884</v>
      </c>
      <c r="S15" s="45"/>
      <c r="T15" s="469"/>
      <c r="U15" s="339"/>
      <c r="V15" s="168"/>
      <c r="W15" s="160">
        <v>3718361</v>
      </c>
      <c r="X15" s="161">
        <v>29191.5</v>
      </c>
      <c r="Y15" s="162">
        <v>42909</v>
      </c>
    </row>
    <row r="16" spans="1:25" ht="15.75" x14ac:dyDescent="0.25">
      <c r="A16" s="131">
        <v>42896</v>
      </c>
      <c r="B16" s="132" t="s">
        <v>630</v>
      </c>
      <c r="C16" s="133">
        <v>53708.18</v>
      </c>
      <c r="D16" s="128">
        <v>42909</v>
      </c>
      <c r="E16" s="133">
        <v>53708.18</v>
      </c>
      <c r="F16" s="135">
        <f t="shared" si="0"/>
        <v>0</v>
      </c>
      <c r="I16" s="45">
        <f>15244+34212.5</f>
        <v>49456.5</v>
      </c>
      <c r="J16" s="132" t="s">
        <v>627</v>
      </c>
      <c r="K16" s="133">
        <v>49456.28</v>
      </c>
      <c r="L16" s="197"/>
      <c r="M16" s="198" t="s">
        <v>154</v>
      </c>
      <c r="N16" s="148">
        <v>3190</v>
      </c>
      <c r="O16" s="167">
        <v>42887</v>
      </c>
      <c r="S16" s="45"/>
      <c r="T16" s="291"/>
      <c r="U16" s="178"/>
      <c r="V16" s="197"/>
      <c r="W16" s="198">
        <v>37183692</v>
      </c>
      <c r="X16" s="148">
        <v>40000</v>
      </c>
      <c r="Y16" s="167">
        <v>42910</v>
      </c>
    </row>
    <row r="17" spans="1:25" ht="15.75" x14ac:dyDescent="0.25">
      <c r="A17" s="131">
        <v>42897</v>
      </c>
      <c r="B17" s="132" t="s">
        <v>629</v>
      </c>
      <c r="C17" s="133">
        <v>19807.900000000001</v>
      </c>
      <c r="D17" s="128">
        <v>42909</v>
      </c>
      <c r="E17" s="133">
        <v>19807.900000000001</v>
      </c>
      <c r="F17" s="135">
        <f t="shared" si="0"/>
        <v>0</v>
      </c>
      <c r="I17" s="45">
        <v>10743</v>
      </c>
      <c r="J17" s="132" t="s">
        <v>628</v>
      </c>
      <c r="K17" s="133">
        <v>17164.32</v>
      </c>
      <c r="L17" s="344" t="s">
        <v>159</v>
      </c>
      <c r="M17" s="270">
        <v>3718034</v>
      </c>
      <c r="N17" s="148">
        <v>49383</v>
      </c>
      <c r="O17" s="167">
        <v>42891</v>
      </c>
      <c r="S17" s="45"/>
      <c r="T17" s="291"/>
      <c r="U17" s="340"/>
      <c r="V17" s="344"/>
      <c r="W17" s="270">
        <v>3718363</v>
      </c>
      <c r="X17" s="148">
        <v>29725</v>
      </c>
      <c r="Y17" s="167">
        <v>42910</v>
      </c>
    </row>
    <row r="18" spans="1:25" ht="15.75" x14ac:dyDescent="0.25">
      <c r="A18" s="131">
        <v>42898</v>
      </c>
      <c r="B18" s="132" t="s">
        <v>658</v>
      </c>
      <c r="C18" s="133">
        <v>4754.0200000000004</v>
      </c>
      <c r="D18" s="128">
        <v>42909</v>
      </c>
      <c r="E18" s="133">
        <v>4754.0200000000004</v>
      </c>
      <c r="F18" s="135">
        <f t="shared" si="0"/>
        <v>0</v>
      </c>
      <c r="I18" s="45"/>
      <c r="J18" s="132"/>
      <c r="K18" s="133"/>
      <c r="L18" s="344"/>
      <c r="M18" s="270" t="s">
        <v>154</v>
      </c>
      <c r="N18" s="148">
        <v>15000</v>
      </c>
      <c r="O18" s="167">
        <v>42892</v>
      </c>
      <c r="S18" s="45"/>
      <c r="T18" s="291"/>
      <c r="U18" s="178"/>
      <c r="V18" s="344"/>
      <c r="W18" s="270">
        <v>3718364</v>
      </c>
      <c r="X18" s="148">
        <v>40000</v>
      </c>
      <c r="Y18" s="167">
        <v>42911</v>
      </c>
    </row>
    <row r="19" spans="1:25" ht="15.75" x14ac:dyDescent="0.25">
      <c r="A19" s="131">
        <v>42900</v>
      </c>
      <c r="B19" s="365" t="s">
        <v>659</v>
      </c>
      <c r="C19" s="364">
        <v>35588.720000000001</v>
      </c>
      <c r="D19" s="128">
        <v>42909</v>
      </c>
      <c r="E19" s="364">
        <v>35588.720000000001</v>
      </c>
      <c r="F19" s="135">
        <f t="shared" si="0"/>
        <v>0</v>
      </c>
      <c r="I19" s="179"/>
      <c r="J19" s="132"/>
      <c r="K19" s="133"/>
      <c r="L19" s="172"/>
      <c r="M19" s="198" t="s">
        <v>154</v>
      </c>
      <c r="N19" s="148">
        <v>3737.5</v>
      </c>
      <c r="O19" s="167">
        <v>42893</v>
      </c>
      <c r="S19" s="179"/>
      <c r="T19" s="467"/>
      <c r="U19" s="196"/>
      <c r="V19" s="172"/>
      <c r="W19" s="198">
        <v>3718365</v>
      </c>
      <c r="X19" s="148">
        <v>16678</v>
      </c>
      <c r="Y19" s="167">
        <v>42911</v>
      </c>
    </row>
    <row r="20" spans="1:25" ht="16.5" thickBot="1" x14ac:dyDescent="0.3">
      <c r="A20" s="131">
        <v>42901</v>
      </c>
      <c r="B20" s="132" t="s">
        <v>661</v>
      </c>
      <c r="C20" s="133">
        <v>127684.22</v>
      </c>
      <c r="D20" s="128">
        <v>42909</v>
      </c>
      <c r="E20" s="133">
        <v>127684.22</v>
      </c>
      <c r="F20" s="135">
        <f t="shared" si="0"/>
        <v>0</v>
      </c>
      <c r="I20" s="179"/>
      <c r="J20" s="132"/>
      <c r="K20" s="133"/>
      <c r="L20" s="172"/>
      <c r="M20" s="198" t="s">
        <v>154</v>
      </c>
      <c r="N20" s="148">
        <v>20000</v>
      </c>
      <c r="O20" s="167">
        <v>42893</v>
      </c>
      <c r="S20" s="179"/>
      <c r="T20" s="132"/>
      <c r="U20" s="133"/>
      <c r="V20" s="172"/>
      <c r="W20" s="198"/>
      <c r="X20" s="148">
        <v>0</v>
      </c>
      <c r="Y20" s="167"/>
    </row>
    <row r="21" spans="1:25" ht="16.5" thickBot="1" x14ac:dyDescent="0.3">
      <c r="A21" s="131">
        <v>42902</v>
      </c>
      <c r="B21" s="132" t="s">
        <v>662</v>
      </c>
      <c r="C21" s="133">
        <v>39316.83</v>
      </c>
      <c r="D21" s="128">
        <v>42909</v>
      </c>
      <c r="E21" s="133">
        <v>39316.83</v>
      </c>
      <c r="F21" s="135">
        <f t="shared" si="0"/>
        <v>0</v>
      </c>
      <c r="I21" s="179">
        <v>0</v>
      </c>
      <c r="J21" s="196"/>
      <c r="K21" s="133">
        <v>0</v>
      </c>
      <c r="L21" s="198"/>
      <c r="M21" s="274" t="s">
        <v>154</v>
      </c>
      <c r="N21" s="148">
        <v>10127</v>
      </c>
      <c r="O21" s="167">
        <v>42894</v>
      </c>
      <c r="S21" s="273">
        <f>SUM(S1:S20)</f>
        <v>391019.00000000006</v>
      </c>
      <c r="T21" s="271"/>
      <c r="U21" s="275">
        <f>SUM(U2:U20)</f>
        <v>391019.00000000006</v>
      </c>
      <c r="V21" s="275"/>
      <c r="W21" s="275"/>
      <c r="X21" s="275">
        <f>SUM(X2:X20)</f>
        <v>391019</v>
      </c>
      <c r="Y21" s="272"/>
    </row>
    <row r="22" spans="1:25" ht="15.75" x14ac:dyDescent="0.25">
      <c r="A22" s="131">
        <v>42903</v>
      </c>
      <c r="B22" s="132" t="s">
        <v>663</v>
      </c>
      <c r="C22" s="133">
        <v>69872.240000000005</v>
      </c>
      <c r="D22" s="128">
        <v>42909</v>
      </c>
      <c r="E22" s="133">
        <v>69872.240000000005</v>
      </c>
      <c r="F22" s="135">
        <f t="shared" si="0"/>
        <v>0</v>
      </c>
      <c r="I22" s="179">
        <v>0</v>
      </c>
      <c r="J22" s="209"/>
      <c r="K22" s="196">
        <v>0</v>
      </c>
      <c r="L22" s="209"/>
      <c r="M22" s="210" t="s">
        <v>154</v>
      </c>
      <c r="N22" s="148">
        <v>3500</v>
      </c>
      <c r="O22" s="167">
        <v>42893</v>
      </c>
    </row>
    <row r="23" spans="1:25" ht="15.75" x14ac:dyDescent="0.25">
      <c r="A23" s="131">
        <v>42902</v>
      </c>
      <c r="B23" s="132"/>
      <c r="C23" s="222">
        <v>1089</v>
      </c>
      <c r="D23" s="254" t="s">
        <v>677</v>
      </c>
      <c r="E23" s="222">
        <v>1089</v>
      </c>
      <c r="F23" s="135">
        <f t="shared" si="0"/>
        <v>0</v>
      </c>
      <c r="I23" s="179">
        <v>0</v>
      </c>
      <c r="J23" s="209"/>
      <c r="K23" s="196">
        <v>0</v>
      </c>
      <c r="L23" s="209"/>
      <c r="M23" s="210" t="s">
        <v>154</v>
      </c>
      <c r="N23" s="148">
        <v>7236</v>
      </c>
      <c r="O23" s="167">
        <v>42891</v>
      </c>
    </row>
    <row r="24" spans="1:25" ht="15.75" x14ac:dyDescent="0.25">
      <c r="A24" s="131">
        <v>42905</v>
      </c>
      <c r="B24" s="132" t="s">
        <v>680</v>
      </c>
      <c r="C24" s="133">
        <v>44871.64</v>
      </c>
      <c r="D24" s="128">
        <v>42909</v>
      </c>
      <c r="E24" s="133">
        <v>44871.64</v>
      </c>
      <c r="F24" s="135">
        <f t="shared" si="0"/>
        <v>0</v>
      </c>
      <c r="I24" s="179">
        <v>0</v>
      </c>
      <c r="J24" s="209"/>
      <c r="K24" s="196">
        <v>0</v>
      </c>
      <c r="L24" s="209"/>
      <c r="M24" s="210">
        <v>3718035</v>
      </c>
      <c r="N24" s="148">
        <v>27955.5</v>
      </c>
      <c r="O24" s="167">
        <v>42894</v>
      </c>
    </row>
    <row r="25" spans="1:25" ht="15.75" x14ac:dyDescent="0.25">
      <c r="A25" s="131">
        <v>42907</v>
      </c>
      <c r="B25" s="366" t="s">
        <v>681</v>
      </c>
      <c r="C25" s="339">
        <v>52471</v>
      </c>
      <c r="D25" s="211" t="s">
        <v>715</v>
      </c>
      <c r="E25" s="134">
        <f>2996.71+49474.29</f>
        <v>52471</v>
      </c>
      <c r="F25" s="135">
        <f t="shared" si="0"/>
        <v>0</v>
      </c>
      <c r="I25" s="179">
        <v>0</v>
      </c>
      <c r="J25" s="209"/>
      <c r="K25" s="196">
        <v>0</v>
      </c>
      <c r="L25" s="209"/>
      <c r="M25" s="210" t="s">
        <v>154</v>
      </c>
      <c r="N25" s="148">
        <v>17000</v>
      </c>
      <c r="O25" s="167">
        <v>42894</v>
      </c>
    </row>
    <row r="26" spans="1:25" ht="16.5" thickBot="1" x14ac:dyDescent="0.3">
      <c r="A26" s="131">
        <v>42907</v>
      </c>
      <c r="B26" s="393" t="s">
        <v>689</v>
      </c>
      <c r="C26" s="133">
        <v>34152.5</v>
      </c>
      <c r="D26" s="128">
        <v>42915</v>
      </c>
      <c r="E26" s="133">
        <v>34152.5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</row>
    <row r="27" spans="1:25" ht="16.5" thickBot="1" x14ac:dyDescent="0.3">
      <c r="A27" s="131">
        <v>42908</v>
      </c>
      <c r="B27" s="132" t="s">
        <v>682</v>
      </c>
      <c r="C27" s="133">
        <v>33291.300000000003</v>
      </c>
      <c r="D27" s="128">
        <v>42915</v>
      </c>
      <c r="E27" s="133">
        <v>33291.300000000003</v>
      </c>
      <c r="F27" s="135">
        <f t="shared" si="0"/>
        <v>0</v>
      </c>
      <c r="I27" s="273">
        <f>SUM(I1:I26)</f>
        <v>496803.5</v>
      </c>
      <c r="J27" s="271"/>
      <c r="K27" s="275">
        <f>SUM(K2:K26)</f>
        <v>496803.50000000006</v>
      </c>
      <c r="L27" s="276"/>
      <c r="M27" s="276"/>
      <c r="N27" s="275">
        <f>SUM(N2:N26)</f>
        <v>496803.5</v>
      </c>
      <c r="O27" s="272"/>
    </row>
    <row r="28" spans="1:25" x14ac:dyDescent="0.25">
      <c r="A28" s="287">
        <v>42908</v>
      </c>
      <c r="B28" s="367" t="s">
        <v>683</v>
      </c>
      <c r="C28" s="133">
        <v>33021.449999999997</v>
      </c>
      <c r="D28" s="128">
        <v>42915</v>
      </c>
      <c r="E28" s="133">
        <v>33021.449999999997</v>
      </c>
      <c r="F28" s="289">
        <f t="shared" si="0"/>
        <v>0</v>
      </c>
    </row>
    <row r="29" spans="1:25" x14ac:dyDescent="0.25">
      <c r="A29" s="287">
        <v>42908</v>
      </c>
      <c r="B29" s="290" t="s">
        <v>684</v>
      </c>
      <c r="C29" s="133">
        <v>37049.21</v>
      </c>
      <c r="D29" s="128">
        <v>42915</v>
      </c>
      <c r="E29" s="133">
        <v>37049.21</v>
      </c>
      <c r="F29" s="289">
        <f t="shared" si="0"/>
        <v>0</v>
      </c>
    </row>
    <row r="30" spans="1:25" x14ac:dyDescent="0.25">
      <c r="A30" s="287">
        <v>42909</v>
      </c>
      <c r="B30" s="290" t="s">
        <v>690</v>
      </c>
      <c r="C30" s="133">
        <v>40402.980000000003</v>
      </c>
      <c r="D30" s="128">
        <v>42915</v>
      </c>
      <c r="E30" s="133">
        <v>40402.980000000003</v>
      </c>
      <c r="F30" s="289">
        <f t="shared" si="0"/>
        <v>0</v>
      </c>
    </row>
    <row r="31" spans="1:25" ht="16.5" thickBot="1" x14ac:dyDescent="0.3">
      <c r="A31" s="287">
        <v>42909</v>
      </c>
      <c r="B31" s="290" t="s">
        <v>691</v>
      </c>
      <c r="C31" s="133">
        <v>31712.400000000001</v>
      </c>
      <c r="D31" s="128">
        <v>42915</v>
      </c>
      <c r="E31" s="133">
        <v>31712.400000000001</v>
      </c>
      <c r="F31" s="289">
        <f t="shared" si="0"/>
        <v>0</v>
      </c>
      <c r="I31" s="45"/>
      <c r="J31" s="154"/>
      <c r="K31" s="361">
        <v>42909</v>
      </c>
      <c r="L31" s="216"/>
      <c r="M31" s="217" t="s">
        <v>141</v>
      </c>
      <c r="N31" s="111"/>
      <c r="O31" s="158"/>
    </row>
    <row r="32" spans="1:25" ht="16.5" thickTop="1" x14ac:dyDescent="0.25">
      <c r="A32" s="287">
        <v>42910</v>
      </c>
      <c r="B32" s="290" t="s">
        <v>692</v>
      </c>
      <c r="C32" s="133">
        <v>34778.199999999997</v>
      </c>
      <c r="D32" s="128">
        <v>42915</v>
      </c>
      <c r="E32" s="133">
        <v>34778.199999999997</v>
      </c>
      <c r="F32" s="289">
        <f t="shared" si="0"/>
        <v>0</v>
      </c>
      <c r="I32" s="45">
        <v>33195.5</v>
      </c>
      <c r="J32" s="132" t="s">
        <v>618</v>
      </c>
      <c r="K32" s="133">
        <v>33195.599999999999</v>
      </c>
      <c r="L32" s="214"/>
      <c r="M32" s="160">
        <v>3718036</v>
      </c>
      <c r="N32" s="161">
        <v>40836</v>
      </c>
      <c r="O32" s="162">
        <v>42895</v>
      </c>
    </row>
    <row r="33" spans="1:15" ht="15.75" x14ac:dyDescent="0.25">
      <c r="A33" s="287">
        <v>42910</v>
      </c>
      <c r="B33" s="290" t="s">
        <v>693</v>
      </c>
      <c r="C33" s="133">
        <v>2220</v>
      </c>
      <c r="D33" s="128">
        <v>42915</v>
      </c>
      <c r="E33" s="133">
        <v>2220</v>
      </c>
      <c r="F33" s="289">
        <f t="shared" si="0"/>
        <v>0</v>
      </c>
      <c r="I33" s="45">
        <f>40836+19191</f>
        <v>60027</v>
      </c>
      <c r="J33" s="132" t="s">
        <v>628</v>
      </c>
      <c r="K33" s="133">
        <v>53605.440000000002</v>
      </c>
      <c r="L33" s="159" t="s">
        <v>143</v>
      </c>
      <c r="M33" s="160">
        <v>3718037</v>
      </c>
      <c r="N33" s="161">
        <v>50000</v>
      </c>
      <c r="O33" s="162">
        <v>42896</v>
      </c>
    </row>
    <row r="34" spans="1:15" ht="15.75" x14ac:dyDescent="0.25">
      <c r="A34" s="287">
        <v>42911</v>
      </c>
      <c r="B34" s="469" t="s">
        <v>694</v>
      </c>
      <c r="C34" s="339">
        <v>17767.2</v>
      </c>
      <c r="D34" s="128">
        <v>42915</v>
      </c>
      <c r="E34" s="339">
        <v>17767.2</v>
      </c>
      <c r="F34" s="289">
        <f t="shared" si="0"/>
        <v>0</v>
      </c>
      <c r="I34" s="45">
        <f>44679+9029</f>
        <v>53708</v>
      </c>
      <c r="J34" s="132" t="s">
        <v>630</v>
      </c>
      <c r="K34" s="133">
        <v>53708.18</v>
      </c>
      <c r="L34" s="163"/>
      <c r="M34" s="160" t="s">
        <v>154</v>
      </c>
      <c r="N34" s="161">
        <v>13870</v>
      </c>
      <c r="O34" s="162">
        <v>42898</v>
      </c>
    </row>
    <row r="35" spans="1:15" ht="15.75" x14ac:dyDescent="0.25">
      <c r="A35" s="287">
        <v>42912</v>
      </c>
      <c r="B35" s="468" t="s">
        <v>695</v>
      </c>
      <c r="C35" s="178">
        <v>30876.12</v>
      </c>
      <c r="D35" s="128">
        <v>42915</v>
      </c>
      <c r="E35" s="178">
        <v>30876.12</v>
      </c>
      <c r="F35" s="289">
        <f t="shared" si="0"/>
        <v>0</v>
      </c>
      <c r="I35" s="45">
        <v>19808</v>
      </c>
      <c r="J35" s="132" t="s">
        <v>629</v>
      </c>
      <c r="K35" s="133">
        <v>19807.900000000001</v>
      </c>
      <c r="L35" s="164"/>
      <c r="M35" s="160">
        <v>3718038</v>
      </c>
      <c r="N35" s="161">
        <v>50000</v>
      </c>
      <c r="O35" s="162">
        <v>42897</v>
      </c>
    </row>
    <row r="36" spans="1:15" ht="15.75" x14ac:dyDescent="0.25">
      <c r="A36" s="287">
        <v>42912</v>
      </c>
      <c r="B36" s="468" t="s">
        <v>696</v>
      </c>
      <c r="C36" s="178">
        <v>34184.160000000003</v>
      </c>
      <c r="D36" s="128">
        <v>42915</v>
      </c>
      <c r="E36" s="178">
        <v>34184.160000000003</v>
      </c>
      <c r="F36" s="289">
        <f t="shared" si="0"/>
        <v>0</v>
      </c>
      <c r="I36" s="45">
        <v>4754</v>
      </c>
      <c r="J36" s="132" t="s">
        <v>658</v>
      </c>
      <c r="K36" s="133">
        <v>4754.0200000000004</v>
      </c>
      <c r="L36" s="277"/>
      <c r="M36" s="160">
        <v>3718039</v>
      </c>
      <c r="N36" s="161">
        <v>21333</v>
      </c>
      <c r="O36" s="162">
        <v>42897</v>
      </c>
    </row>
    <row r="37" spans="1:15" ht="15.75" x14ac:dyDescent="0.25">
      <c r="A37" s="287">
        <v>42913</v>
      </c>
      <c r="B37" s="468" t="s">
        <v>697</v>
      </c>
      <c r="C37" s="178">
        <v>39432.199999999997</v>
      </c>
      <c r="D37" s="128">
        <v>42915</v>
      </c>
      <c r="E37" s="471">
        <v>12089.19</v>
      </c>
      <c r="F37" s="472">
        <f t="shared" si="0"/>
        <v>27343.009999999995</v>
      </c>
      <c r="I37" s="45">
        <f>9300.5+26288</f>
        <v>35588.5</v>
      </c>
      <c r="J37" s="365" t="s">
        <v>659</v>
      </c>
      <c r="K37" s="364">
        <v>35588.720000000001</v>
      </c>
      <c r="L37" s="163"/>
      <c r="M37" s="160">
        <v>3718040</v>
      </c>
      <c r="N37" s="161">
        <v>35832.5</v>
      </c>
      <c r="O37" s="162">
        <v>42898</v>
      </c>
    </row>
    <row r="38" spans="1:15" ht="15.75" x14ac:dyDescent="0.25">
      <c r="A38" s="287">
        <v>42904</v>
      </c>
      <c r="B38" s="290" t="s">
        <v>700</v>
      </c>
      <c r="C38" s="133">
        <v>311</v>
      </c>
      <c r="D38" s="128" t="s">
        <v>701</v>
      </c>
      <c r="E38" s="133">
        <v>311</v>
      </c>
      <c r="F38" s="289">
        <f t="shared" si="0"/>
        <v>0</v>
      </c>
      <c r="I38" s="45">
        <f>4790.5+2037+11837+34242+45991.5+28786</f>
        <v>127684</v>
      </c>
      <c r="J38" s="132" t="s">
        <v>661</v>
      </c>
      <c r="K38" s="133">
        <v>127684.22</v>
      </c>
      <c r="L38" s="165"/>
      <c r="M38" s="160">
        <v>3718041</v>
      </c>
      <c r="N38" s="166">
        <v>11837</v>
      </c>
      <c r="O38" s="167">
        <v>42899</v>
      </c>
    </row>
    <row r="39" spans="1:15" ht="15.75" x14ac:dyDescent="0.25">
      <c r="A39" s="287">
        <v>42914</v>
      </c>
      <c r="B39" s="467" t="s">
        <v>716</v>
      </c>
      <c r="C39" s="133">
        <v>40971.08</v>
      </c>
      <c r="D39" s="128"/>
      <c r="E39" s="339"/>
      <c r="F39" s="289">
        <f t="shared" si="0"/>
        <v>40971.08</v>
      </c>
      <c r="I39" s="45">
        <f>28295+480+10542</f>
        <v>39317</v>
      </c>
      <c r="J39" s="132" t="s">
        <v>662</v>
      </c>
      <c r="K39" s="133">
        <v>39316.83</v>
      </c>
      <c r="L39" s="163"/>
      <c r="M39" s="160" t="s">
        <v>158</v>
      </c>
      <c r="N39" s="148">
        <v>2037</v>
      </c>
      <c r="O39" s="167">
        <v>42895</v>
      </c>
    </row>
    <row r="40" spans="1:15" ht="15.75" x14ac:dyDescent="0.25">
      <c r="A40" s="287">
        <v>42915</v>
      </c>
      <c r="B40" s="467" t="s">
        <v>717</v>
      </c>
      <c r="C40" s="127">
        <v>98686.66</v>
      </c>
      <c r="D40" s="128"/>
      <c r="E40" s="387"/>
      <c r="F40" s="289">
        <f t="shared" si="0"/>
        <v>98686.66</v>
      </c>
      <c r="I40" s="45">
        <f>51274+17370.5+1227.5</f>
        <v>69872</v>
      </c>
      <c r="J40" s="132" t="s">
        <v>663</v>
      </c>
      <c r="K40" s="133">
        <v>69872.240000000005</v>
      </c>
      <c r="L40" s="168"/>
      <c r="M40" s="160">
        <v>3718042</v>
      </c>
      <c r="N40" s="161">
        <v>34242</v>
      </c>
      <c r="O40" s="162">
        <v>42900</v>
      </c>
    </row>
    <row r="41" spans="1:15" ht="15.75" x14ac:dyDescent="0.25">
      <c r="A41" s="287">
        <v>42915</v>
      </c>
      <c r="B41" s="467" t="s">
        <v>718</v>
      </c>
      <c r="C41" s="133">
        <v>515</v>
      </c>
      <c r="D41" s="128"/>
      <c r="E41" s="134"/>
      <c r="F41" s="289">
        <f t="shared" si="0"/>
        <v>515</v>
      </c>
      <c r="I41" s="45">
        <v>41447.5</v>
      </c>
      <c r="J41" s="132" t="s">
        <v>680</v>
      </c>
      <c r="K41" s="133">
        <v>44871.64</v>
      </c>
      <c r="L41" s="168"/>
      <c r="M41" s="160">
        <v>3713043</v>
      </c>
      <c r="N41" s="161">
        <v>25000</v>
      </c>
      <c r="O41" s="162">
        <v>42901</v>
      </c>
    </row>
    <row r="42" spans="1:15" ht="15.75" x14ac:dyDescent="0.25">
      <c r="A42" s="287">
        <v>42916</v>
      </c>
      <c r="B42" s="467" t="s">
        <v>719</v>
      </c>
      <c r="C42" s="196">
        <v>1585.2</v>
      </c>
      <c r="D42" s="128"/>
      <c r="E42" s="139"/>
      <c r="F42" s="289">
        <f t="shared" si="0"/>
        <v>1585.2</v>
      </c>
      <c r="I42" s="45"/>
      <c r="J42" s="366" t="s">
        <v>681</v>
      </c>
      <c r="K42" s="339">
        <v>2996.71</v>
      </c>
      <c r="L42" s="168" t="s">
        <v>159</v>
      </c>
      <c r="M42" s="160">
        <v>3718044</v>
      </c>
      <c r="N42" s="161">
        <v>20991.5</v>
      </c>
      <c r="O42" s="162">
        <v>42901</v>
      </c>
    </row>
    <row r="43" spans="1:15" ht="15.75" x14ac:dyDescent="0.25">
      <c r="A43" s="287">
        <v>42916</v>
      </c>
      <c r="B43" s="291" t="s">
        <v>720</v>
      </c>
      <c r="C43" s="139">
        <v>44907</v>
      </c>
      <c r="D43" s="128"/>
      <c r="E43" s="139"/>
      <c r="F43" s="166">
        <f t="shared" si="0"/>
        <v>44907</v>
      </c>
      <c r="I43" s="45"/>
      <c r="J43" s="132"/>
      <c r="K43" s="133"/>
      <c r="L43" s="168"/>
      <c r="M43" s="160">
        <v>3718045</v>
      </c>
      <c r="N43" s="161">
        <v>30000</v>
      </c>
      <c r="O43" s="162">
        <v>42902</v>
      </c>
    </row>
    <row r="44" spans="1:15" ht="15.75" x14ac:dyDescent="0.25">
      <c r="A44" s="287"/>
      <c r="B44" s="298"/>
      <c r="C44" s="139"/>
      <c r="D44" s="128"/>
      <c r="E44" s="139"/>
      <c r="F44" s="166">
        <f t="shared" si="0"/>
        <v>0</v>
      </c>
      <c r="I44" s="45"/>
      <c r="J44" s="132"/>
      <c r="K44" s="133"/>
      <c r="L44" s="168"/>
      <c r="M44" s="160">
        <v>3718046</v>
      </c>
      <c r="N44" s="161">
        <v>27081</v>
      </c>
      <c r="O44" s="162">
        <v>42902</v>
      </c>
    </row>
    <row r="45" spans="1:15" ht="15.75" x14ac:dyDescent="0.25">
      <c r="A45" s="287"/>
      <c r="B45" s="291"/>
      <c r="C45" s="139"/>
      <c r="D45" s="128"/>
      <c r="E45" s="139"/>
      <c r="F45" s="166">
        <f t="shared" si="0"/>
        <v>0</v>
      </c>
      <c r="I45" s="45"/>
      <c r="J45" s="132"/>
      <c r="K45" s="133"/>
      <c r="L45" s="168"/>
      <c r="M45" s="160">
        <v>3718047</v>
      </c>
      <c r="N45" s="161">
        <v>40000</v>
      </c>
      <c r="O45" s="162">
        <v>42903</v>
      </c>
    </row>
    <row r="46" spans="1:15" ht="15.75" x14ac:dyDescent="0.25">
      <c r="A46" s="287"/>
      <c r="B46" s="291"/>
      <c r="C46" s="139"/>
      <c r="D46" s="128"/>
      <c r="E46" s="139"/>
      <c r="F46" s="166">
        <f t="shared" si="0"/>
        <v>0</v>
      </c>
      <c r="I46" s="45"/>
      <c r="J46" s="132"/>
      <c r="K46" s="133"/>
      <c r="L46" s="197"/>
      <c r="M46" s="198">
        <v>3718048</v>
      </c>
      <c r="N46" s="148">
        <v>22000</v>
      </c>
      <c r="O46" s="167">
        <v>42903</v>
      </c>
    </row>
    <row r="47" spans="1:15" ht="15.75" x14ac:dyDescent="0.25">
      <c r="A47" s="287"/>
      <c r="B47" s="291"/>
      <c r="C47" s="139"/>
      <c r="D47" s="128"/>
      <c r="E47" s="148"/>
      <c r="F47" s="166">
        <f t="shared" si="0"/>
        <v>0</v>
      </c>
      <c r="I47" s="45"/>
      <c r="J47" s="132"/>
      <c r="K47" s="133"/>
      <c r="L47" s="344"/>
      <c r="M47" s="270" t="s">
        <v>154</v>
      </c>
      <c r="N47" s="148">
        <v>296</v>
      </c>
      <c r="O47" s="167">
        <v>42905</v>
      </c>
    </row>
    <row r="48" spans="1:15" ht="16.5" thickBot="1" x14ac:dyDescent="0.3">
      <c r="A48" s="131"/>
      <c r="B48" s="291"/>
      <c r="C48" s="139"/>
      <c r="D48" s="209"/>
      <c r="E48" s="139"/>
      <c r="F48" s="166">
        <f t="shared" si="0"/>
        <v>0</v>
      </c>
      <c r="I48" s="45"/>
      <c r="J48" s="132"/>
      <c r="K48" s="133"/>
      <c r="L48" s="344"/>
      <c r="M48" s="270">
        <v>3718351</v>
      </c>
      <c r="N48" s="148">
        <v>13818</v>
      </c>
      <c r="O48" s="167">
        <v>42904</v>
      </c>
    </row>
    <row r="49" spans="1:15" ht="16.5" thickBot="1" x14ac:dyDescent="0.3">
      <c r="A49" s="271"/>
      <c r="B49" s="335"/>
      <c r="C49" s="336">
        <f>SUM(C3:C48)</f>
        <v>1488574.2299999997</v>
      </c>
      <c r="D49" s="335"/>
      <c r="E49" s="275">
        <f>SUM(E3:E48)</f>
        <v>1274566.2799999998</v>
      </c>
      <c r="F49" s="337">
        <f>SUM(F3:F48)</f>
        <v>214007.95</v>
      </c>
      <c r="I49" s="179"/>
      <c r="J49" s="132"/>
      <c r="K49" s="133"/>
      <c r="L49" s="172"/>
      <c r="M49" s="198">
        <v>3718049</v>
      </c>
      <c r="N49" s="148">
        <v>45000</v>
      </c>
      <c r="O49" s="167">
        <v>42904</v>
      </c>
    </row>
    <row r="50" spans="1:15" ht="16.5" thickBot="1" x14ac:dyDescent="0.3">
      <c r="I50" s="179"/>
      <c r="J50" s="132"/>
      <c r="K50" s="133"/>
      <c r="L50" s="172"/>
      <c r="M50" s="198" t="s">
        <v>154</v>
      </c>
      <c r="N50" s="148">
        <v>1227.5</v>
      </c>
      <c r="O50" s="167">
        <v>42898</v>
      </c>
    </row>
    <row r="51" spans="1:15" ht="16.5" thickBot="1" x14ac:dyDescent="0.3">
      <c r="I51" s="273">
        <f>SUM(I31:I50)</f>
        <v>485401.5</v>
      </c>
      <c r="J51" s="271"/>
      <c r="K51" s="275">
        <f>SUM(K32:K50)</f>
        <v>485401.5</v>
      </c>
      <c r="L51" s="276"/>
      <c r="M51" s="276"/>
      <c r="N51" s="275">
        <f>SUM(N32:N50)</f>
        <v>485401.5</v>
      </c>
      <c r="O51" s="272"/>
    </row>
  </sheetData>
  <sortState ref="A26:C42">
    <sortCondition ref="B26:B42"/>
  </sortState>
  <mergeCells count="1">
    <mergeCell ref="C1:E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86"/>
  <sheetViews>
    <sheetView topLeftCell="A25" workbookViewId="0">
      <selection activeCell="H47" sqref="H47"/>
    </sheetView>
  </sheetViews>
  <sheetFormatPr baseColWidth="10" defaultRowHeight="15" x14ac:dyDescent="0.25"/>
  <cols>
    <col min="1" max="1" width="11.42578125" style="1"/>
    <col min="2" max="2" width="11.42578125" style="118"/>
    <col min="3" max="4" width="14.140625" style="5" bestFit="1" customWidth="1"/>
    <col min="5" max="5" width="17.28515625" style="45" customWidth="1"/>
    <col min="6" max="6" width="14.140625" style="119" bestFit="1" customWidth="1"/>
    <col min="7" max="7" width="11.42578125" style="23"/>
    <col min="10" max="10" width="15.5703125" bestFit="1" customWidth="1"/>
    <col min="12" max="12" width="14.140625" customWidth="1"/>
    <col min="15" max="15" width="14.140625" bestFit="1" customWidth="1"/>
    <col min="21" max="21" width="13.85546875" bestFit="1" customWidth="1"/>
    <col min="23" max="23" width="12.5703125" bestFit="1" customWidth="1"/>
    <col min="26" max="26" width="12.5703125" bestFit="1" customWidth="1"/>
  </cols>
  <sheetData>
    <row r="1" spans="1:27" ht="19.5" thickBot="1" x14ac:dyDescent="0.35">
      <c r="C1" s="506" t="s">
        <v>95</v>
      </c>
      <c r="D1" s="507"/>
      <c r="E1" s="508"/>
      <c r="J1" s="119"/>
      <c r="K1" s="128"/>
      <c r="L1" s="150">
        <v>42751</v>
      </c>
      <c r="M1" s="151"/>
      <c r="N1" s="152" t="s">
        <v>141</v>
      </c>
      <c r="O1" s="38"/>
      <c r="P1" s="23"/>
      <c r="T1" t="s">
        <v>177</v>
      </c>
      <c r="U1" s="119">
        <v>34181</v>
      </c>
      <c r="V1" s="193"/>
      <c r="W1" s="194">
        <v>42756</v>
      </c>
      <c r="X1" s="151"/>
      <c r="Y1" s="152" t="s">
        <v>141</v>
      </c>
      <c r="Z1" s="38"/>
      <c r="AA1" s="23"/>
    </row>
    <row r="2" spans="1:27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153">
        <v>1073</v>
      </c>
      <c r="K2" s="154">
        <v>19119</v>
      </c>
      <c r="L2" s="155"/>
      <c r="M2" s="155"/>
      <c r="N2" s="156"/>
      <c r="O2" s="157"/>
      <c r="P2" s="158"/>
      <c r="T2" t="s">
        <v>178</v>
      </c>
      <c r="U2" s="45">
        <f>7068+25673</f>
        <v>32741</v>
      </c>
      <c r="V2" s="154"/>
      <c r="W2" s="155"/>
      <c r="X2" s="155"/>
      <c r="Y2" s="156"/>
      <c r="Z2" s="157"/>
      <c r="AA2" s="158"/>
    </row>
    <row r="3" spans="1:27" ht="15.75" x14ac:dyDescent="0.25">
      <c r="A3" s="125">
        <v>42738</v>
      </c>
      <c r="B3" s="126" t="s">
        <v>101</v>
      </c>
      <c r="C3" s="127">
        <v>77107.899999999994</v>
      </c>
      <c r="D3" s="128">
        <v>42751</v>
      </c>
      <c r="E3" s="127">
        <v>77107.899999999994</v>
      </c>
      <c r="F3" s="129">
        <f t="shared" ref="F3:F47" si="0">C3-E3</f>
        <v>0</v>
      </c>
      <c r="G3" s="130"/>
      <c r="J3" s="153">
        <f>34400+8912+59073</f>
        <v>102385</v>
      </c>
      <c r="K3" s="132" t="s">
        <v>142</v>
      </c>
      <c r="L3" s="133">
        <v>66762.84</v>
      </c>
      <c r="M3" s="159" t="s">
        <v>143</v>
      </c>
      <c r="N3" s="160">
        <v>3378018</v>
      </c>
      <c r="O3" s="161">
        <v>60000</v>
      </c>
      <c r="P3" s="162">
        <v>42728</v>
      </c>
      <c r="U3" s="45">
        <f>3139+1871.5+7148.5+45280+3136.5+8803+498</f>
        <v>69876.5</v>
      </c>
      <c r="V3" s="132" t="s">
        <v>110</v>
      </c>
      <c r="W3" s="133">
        <v>68287.17</v>
      </c>
      <c r="X3" s="159" t="s">
        <v>175</v>
      </c>
      <c r="Y3" s="160">
        <v>3378051</v>
      </c>
      <c r="Z3" s="161">
        <v>50000</v>
      </c>
      <c r="AA3" s="162">
        <v>42746</v>
      </c>
    </row>
    <row r="4" spans="1:27" ht="15.75" x14ac:dyDescent="0.25">
      <c r="A4" s="131">
        <v>42740</v>
      </c>
      <c r="B4" s="132" t="s">
        <v>102</v>
      </c>
      <c r="C4" s="133">
        <v>75399.679999999993</v>
      </c>
      <c r="D4" s="128">
        <v>42751</v>
      </c>
      <c r="E4" s="133">
        <v>75399.679999999993</v>
      </c>
      <c r="F4" s="134">
        <f t="shared" si="0"/>
        <v>0</v>
      </c>
      <c r="G4" s="130"/>
      <c r="J4" s="153">
        <v>16009</v>
      </c>
      <c r="K4" s="132" t="s">
        <v>144</v>
      </c>
      <c r="L4" s="133">
        <v>16009.23</v>
      </c>
      <c r="M4" s="159" t="s">
        <v>143</v>
      </c>
      <c r="N4" s="160">
        <v>3378019</v>
      </c>
      <c r="O4" s="161">
        <v>42641</v>
      </c>
      <c r="P4" s="162">
        <v>42728</v>
      </c>
      <c r="U4" s="45">
        <f>47562.5+3355+406.5+52409</f>
        <v>103733</v>
      </c>
      <c r="V4" s="132" t="s">
        <v>111</v>
      </c>
      <c r="W4" s="133">
        <v>103733</v>
      </c>
      <c r="X4" s="159"/>
      <c r="Y4" s="160">
        <v>3378052</v>
      </c>
      <c r="Z4" s="161">
        <v>22000</v>
      </c>
      <c r="AA4" s="162">
        <v>42746</v>
      </c>
    </row>
    <row r="5" spans="1:27" ht="15.75" x14ac:dyDescent="0.25">
      <c r="A5" s="131">
        <v>42740</v>
      </c>
      <c r="B5" s="132" t="s">
        <v>103</v>
      </c>
      <c r="C5" s="133">
        <v>69576.800000000003</v>
      </c>
      <c r="D5" s="128">
        <v>42751</v>
      </c>
      <c r="E5" s="133">
        <v>69576.800000000003</v>
      </c>
      <c r="F5" s="134">
        <f t="shared" si="0"/>
        <v>0</v>
      </c>
      <c r="G5" s="130"/>
      <c r="J5" s="153">
        <v>40707.5</v>
      </c>
      <c r="K5" s="132" t="s">
        <v>145</v>
      </c>
      <c r="L5" s="133">
        <v>40707.300000000003</v>
      </c>
      <c r="M5" s="163"/>
      <c r="N5" s="160">
        <v>3378020</v>
      </c>
      <c r="O5" s="161">
        <v>65000</v>
      </c>
      <c r="P5" s="162">
        <v>42730</v>
      </c>
      <c r="U5" s="45">
        <v>40986</v>
      </c>
      <c r="V5" s="132" t="s">
        <v>112</v>
      </c>
      <c r="W5" s="133">
        <v>40986.1</v>
      </c>
      <c r="X5" s="163"/>
      <c r="Y5" s="160">
        <v>3378053</v>
      </c>
      <c r="Z5" s="161">
        <v>54300</v>
      </c>
      <c r="AA5" s="162">
        <v>42747</v>
      </c>
    </row>
    <row r="6" spans="1:27" ht="15.75" x14ac:dyDescent="0.25">
      <c r="A6" s="131">
        <v>42742</v>
      </c>
      <c r="B6" s="132" t="s">
        <v>104</v>
      </c>
      <c r="C6" s="133">
        <v>37778.47</v>
      </c>
      <c r="D6" s="128">
        <v>42751</v>
      </c>
      <c r="E6" s="133">
        <v>37778.47</v>
      </c>
      <c r="F6" s="135">
        <f t="shared" si="0"/>
        <v>0</v>
      </c>
      <c r="G6" s="45"/>
      <c r="J6" s="153">
        <v>35273</v>
      </c>
      <c r="K6" s="132" t="s">
        <v>146</v>
      </c>
      <c r="L6" s="133">
        <v>35273.279999999999</v>
      </c>
      <c r="M6" s="164"/>
      <c r="N6" s="160">
        <v>3378317</v>
      </c>
      <c r="O6" s="161">
        <v>10000</v>
      </c>
      <c r="P6" s="162">
        <v>42730</v>
      </c>
      <c r="U6" s="45">
        <v>32171</v>
      </c>
      <c r="V6" s="132" t="s">
        <v>113</v>
      </c>
      <c r="W6" s="133">
        <v>32170.799999999999</v>
      </c>
      <c r="X6" s="164"/>
      <c r="Y6" s="160" t="s">
        <v>154</v>
      </c>
      <c r="Z6" s="161">
        <v>10000</v>
      </c>
      <c r="AA6" s="162">
        <v>42748</v>
      </c>
    </row>
    <row r="7" spans="1:27" ht="15.75" x14ac:dyDescent="0.25">
      <c r="A7" s="131">
        <v>42742</v>
      </c>
      <c r="B7" s="132" t="s">
        <v>105</v>
      </c>
      <c r="C7" s="133">
        <v>34012.99</v>
      </c>
      <c r="D7" s="128">
        <v>42751</v>
      </c>
      <c r="E7" s="133">
        <v>34012.99</v>
      </c>
      <c r="F7" s="135">
        <f t="shared" si="0"/>
        <v>0</v>
      </c>
      <c r="J7" s="153">
        <f>24546.5+1067.5+12962</f>
        <v>38576</v>
      </c>
      <c r="K7" s="132" t="s">
        <v>147</v>
      </c>
      <c r="L7" s="133">
        <v>38575.800000000003</v>
      </c>
      <c r="M7" s="163"/>
      <c r="N7" s="160">
        <v>3378021</v>
      </c>
      <c r="O7" s="161">
        <v>21267.5</v>
      </c>
      <c r="P7" s="162">
        <v>42730</v>
      </c>
      <c r="U7" s="45">
        <f>672.5+3127+20077+96873+1437.5+14252</f>
        <v>136439</v>
      </c>
      <c r="V7" s="132" t="s">
        <v>114</v>
      </c>
      <c r="W7" s="133">
        <v>136438.9</v>
      </c>
      <c r="X7" s="163"/>
      <c r="Y7" s="160">
        <v>3378054</v>
      </c>
      <c r="Z7" s="161">
        <v>50000</v>
      </c>
      <c r="AA7" s="162">
        <v>42748</v>
      </c>
    </row>
    <row r="8" spans="1:27" ht="15.75" x14ac:dyDescent="0.25">
      <c r="A8" s="131">
        <v>42743</v>
      </c>
      <c r="B8" s="132" t="s">
        <v>106</v>
      </c>
      <c r="C8" s="133">
        <v>32737.97</v>
      </c>
      <c r="D8" s="128">
        <v>42751</v>
      </c>
      <c r="E8" s="133">
        <v>32737.97</v>
      </c>
      <c r="F8" s="135">
        <f t="shared" si="0"/>
        <v>0</v>
      </c>
      <c r="G8" s="136"/>
      <c r="J8" s="153">
        <v>34918.5</v>
      </c>
      <c r="K8" s="132" t="s">
        <v>148</v>
      </c>
      <c r="L8" s="133">
        <v>34918.32</v>
      </c>
      <c r="M8" s="163"/>
      <c r="N8" s="160">
        <v>3378022</v>
      </c>
      <c r="O8" s="161">
        <v>50000</v>
      </c>
      <c r="P8" s="162">
        <v>42731</v>
      </c>
      <c r="U8" s="45">
        <v>856.8</v>
      </c>
      <c r="V8" s="132" t="s">
        <v>115</v>
      </c>
      <c r="W8" s="133">
        <v>856.8</v>
      </c>
      <c r="X8" s="163"/>
      <c r="Y8" s="160">
        <v>3378055</v>
      </c>
      <c r="Z8" s="161">
        <v>90000</v>
      </c>
      <c r="AA8" s="162">
        <v>42749</v>
      </c>
    </row>
    <row r="9" spans="1:27" ht="15.75" x14ac:dyDescent="0.25">
      <c r="A9" s="131">
        <v>42743</v>
      </c>
      <c r="B9" s="132" t="s">
        <v>107</v>
      </c>
      <c r="C9" s="133">
        <v>34443.879999999997</v>
      </c>
      <c r="D9" s="128">
        <v>42751</v>
      </c>
      <c r="E9" s="133">
        <v>34443.879999999997</v>
      </c>
      <c r="F9" s="135">
        <f t="shared" si="0"/>
        <v>0</v>
      </c>
      <c r="G9" s="136"/>
      <c r="J9" s="153">
        <v>8944</v>
      </c>
      <c r="K9" s="132" t="s">
        <v>149</v>
      </c>
      <c r="L9" s="133">
        <v>8943.98</v>
      </c>
      <c r="M9" s="165"/>
      <c r="N9" s="160">
        <v>3378023</v>
      </c>
      <c r="O9" s="161">
        <v>30000</v>
      </c>
      <c r="P9" s="162">
        <v>42731</v>
      </c>
      <c r="U9" s="45">
        <v>20592.72</v>
      </c>
      <c r="V9" s="132" t="s">
        <v>116</v>
      </c>
      <c r="W9" s="133">
        <v>20592.72</v>
      </c>
      <c r="X9" s="165"/>
      <c r="Y9" s="160">
        <v>3378056</v>
      </c>
      <c r="Z9" s="161">
        <v>30000</v>
      </c>
      <c r="AA9" s="162">
        <v>42749</v>
      </c>
    </row>
    <row r="10" spans="1:27" ht="15.75" x14ac:dyDescent="0.25">
      <c r="A10" s="131">
        <v>42743</v>
      </c>
      <c r="B10" s="132" t="s">
        <v>108</v>
      </c>
      <c r="C10" s="133">
        <v>34180.97</v>
      </c>
      <c r="D10" s="128">
        <v>42751</v>
      </c>
      <c r="E10" s="133">
        <v>34180.97</v>
      </c>
      <c r="F10" s="135">
        <f t="shared" si="0"/>
        <v>0</v>
      </c>
      <c r="J10" s="153">
        <v>3805</v>
      </c>
      <c r="K10" s="132" t="s">
        <v>150</v>
      </c>
      <c r="L10" s="133">
        <v>3804.8</v>
      </c>
      <c r="M10" s="163"/>
      <c r="N10" s="160">
        <v>3378024</v>
      </c>
      <c r="O10" s="166">
        <v>17247.5</v>
      </c>
      <c r="P10" s="167">
        <v>42731</v>
      </c>
      <c r="U10" s="45">
        <v>2025.9</v>
      </c>
      <c r="V10" s="132" t="s">
        <v>117</v>
      </c>
      <c r="W10" s="133">
        <v>2025.9</v>
      </c>
      <c r="X10" s="163"/>
      <c r="Y10" s="160" t="s">
        <v>154</v>
      </c>
      <c r="Z10" s="166">
        <v>10000</v>
      </c>
      <c r="AA10" s="167">
        <v>42749</v>
      </c>
    </row>
    <row r="11" spans="1:27" ht="15.75" x14ac:dyDescent="0.25">
      <c r="A11" s="131">
        <v>42744</v>
      </c>
      <c r="B11" s="132" t="s">
        <v>109</v>
      </c>
      <c r="C11" s="133">
        <v>141113.29999999999</v>
      </c>
      <c r="D11" s="128">
        <v>42751</v>
      </c>
      <c r="E11" s="133">
        <v>141113.29999999999</v>
      </c>
      <c r="F11" s="135">
        <f t="shared" si="0"/>
        <v>0</v>
      </c>
      <c r="J11" s="153">
        <f>34570.5+1097.5+566.5+8097.5</f>
        <v>44332</v>
      </c>
      <c r="K11" s="132" t="s">
        <v>151</v>
      </c>
      <c r="L11" s="133">
        <v>44332.05</v>
      </c>
      <c r="M11" s="168"/>
      <c r="N11" s="160">
        <v>3378025</v>
      </c>
      <c r="O11" s="148">
        <v>30000</v>
      </c>
      <c r="P11" s="167">
        <v>42732</v>
      </c>
      <c r="U11" s="45">
        <f>33272.58+12600+865.5</f>
        <v>46738.080000000002</v>
      </c>
      <c r="V11" s="132" t="s">
        <v>118</v>
      </c>
      <c r="W11" s="133">
        <v>70529.320000000007</v>
      </c>
      <c r="X11" s="168"/>
      <c r="Y11" s="160">
        <v>3378057</v>
      </c>
      <c r="Z11" s="148">
        <v>50000</v>
      </c>
      <c r="AA11" s="167">
        <v>42750</v>
      </c>
    </row>
    <row r="12" spans="1:27" ht="15.75" x14ac:dyDescent="0.25">
      <c r="A12" s="131">
        <v>42746</v>
      </c>
      <c r="B12" s="132" t="s">
        <v>110</v>
      </c>
      <c r="C12" s="133">
        <v>69876.600000000006</v>
      </c>
      <c r="D12" s="128" t="s">
        <v>160</v>
      </c>
      <c r="E12" s="133">
        <f>1589.43+68287.17</f>
        <v>69876.599999999991</v>
      </c>
      <c r="F12" s="135">
        <f t="shared" si="0"/>
        <v>0</v>
      </c>
      <c r="J12" s="153">
        <f>28165+1148+9427+1130+4521</f>
        <v>44391</v>
      </c>
      <c r="K12" s="132" t="s">
        <v>152</v>
      </c>
      <c r="L12" s="133">
        <v>44391.02</v>
      </c>
      <c r="M12" s="168"/>
      <c r="N12" s="160">
        <v>3378026</v>
      </c>
      <c r="O12" s="161">
        <v>39648</v>
      </c>
      <c r="P12" s="162">
        <v>42732</v>
      </c>
      <c r="U12" s="45">
        <v>0</v>
      </c>
      <c r="V12" s="132" t="s">
        <v>119</v>
      </c>
      <c r="W12" s="133">
        <v>45793.79</v>
      </c>
      <c r="X12" s="168" t="s">
        <v>159</v>
      </c>
      <c r="Y12" s="160">
        <v>3378058</v>
      </c>
      <c r="Z12" s="161">
        <v>50000</v>
      </c>
      <c r="AA12" s="162">
        <v>42750</v>
      </c>
    </row>
    <row r="13" spans="1:27" ht="15.75" x14ac:dyDescent="0.25">
      <c r="A13" s="131">
        <v>42747</v>
      </c>
      <c r="B13" s="132" t="s">
        <v>111</v>
      </c>
      <c r="C13" s="133">
        <v>103733</v>
      </c>
      <c r="D13" s="128">
        <v>42756</v>
      </c>
      <c r="E13" s="133">
        <v>103733</v>
      </c>
      <c r="F13" s="135">
        <f t="shared" si="0"/>
        <v>0</v>
      </c>
      <c r="J13" s="153">
        <f>70879+973+51991</f>
        <v>123843</v>
      </c>
      <c r="K13" s="132" t="s">
        <v>153</v>
      </c>
      <c r="L13" s="133">
        <v>123843.05</v>
      </c>
      <c r="M13" s="168"/>
      <c r="N13" s="160" t="s">
        <v>154</v>
      </c>
      <c r="O13" s="161">
        <v>10000</v>
      </c>
      <c r="P13" s="162">
        <v>42733</v>
      </c>
      <c r="U13" s="45">
        <v>0</v>
      </c>
      <c r="V13" s="132"/>
      <c r="W13" s="133"/>
      <c r="X13" s="168"/>
      <c r="Y13" s="160" t="s">
        <v>154</v>
      </c>
      <c r="Z13" s="161">
        <v>20077</v>
      </c>
      <c r="AA13" s="162">
        <v>42747</v>
      </c>
    </row>
    <row r="14" spans="1:27" ht="15.75" x14ac:dyDescent="0.25">
      <c r="A14" s="131">
        <v>42748</v>
      </c>
      <c r="B14" s="132" t="s">
        <v>112</v>
      </c>
      <c r="C14" s="133">
        <v>40986.1</v>
      </c>
      <c r="D14" s="128">
        <v>42756</v>
      </c>
      <c r="E14" s="133">
        <v>40986.1</v>
      </c>
      <c r="F14" s="135">
        <f t="shared" si="0"/>
        <v>0</v>
      </c>
      <c r="J14" s="153">
        <f>86009+586.5+21562.5+43718</f>
        <v>151876</v>
      </c>
      <c r="K14" s="132" t="s">
        <v>155</v>
      </c>
      <c r="L14" s="133">
        <v>151875.92000000001</v>
      </c>
      <c r="M14" s="168"/>
      <c r="N14" s="160">
        <v>3378028</v>
      </c>
      <c r="O14" s="161">
        <v>31530</v>
      </c>
      <c r="P14" s="162">
        <v>42733</v>
      </c>
      <c r="U14" s="45">
        <v>0</v>
      </c>
      <c r="V14" s="132"/>
      <c r="W14" s="133"/>
      <c r="X14" s="168"/>
      <c r="Y14" s="160">
        <v>3378059</v>
      </c>
      <c r="Z14" s="161">
        <v>51000</v>
      </c>
      <c r="AA14" s="162">
        <v>42751</v>
      </c>
    </row>
    <row r="15" spans="1:27" ht="15.75" x14ac:dyDescent="0.25">
      <c r="A15" s="131">
        <v>42748</v>
      </c>
      <c r="B15" s="132" t="s">
        <v>113</v>
      </c>
      <c r="C15" s="133">
        <v>32170.799999999999</v>
      </c>
      <c r="D15" s="128">
        <v>42756</v>
      </c>
      <c r="E15" s="133">
        <v>32170.799999999999</v>
      </c>
      <c r="F15" s="135">
        <f t="shared" si="0"/>
        <v>0</v>
      </c>
      <c r="J15" s="153">
        <f>62082+1034.5+135209.5</f>
        <v>198326</v>
      </c>
      <c r="K15" s="132" t="s">
        <v>156</v>
      </c>
      <c r="L15" s="133">
        <v>198326.02</v>
      </c>
      <c r="M15" s="168"/>
      <c r="N15" s="160">
        <v>3378027</v>
      </c>
      <c r="O15" s="161">
        <v>35000</v>
      </c>
      <c r="P15" s="162">
        <v>42733</v>
      </c>
      <c r="U15" s="45">
        <v>0</v>
      </c>
      <c r="V15" s="132"/>
      <c r="W15" s="133"/>
      <c r="X15" s="168"/>
      <c r="Y15" s="160">
        <v>3378337</v>
      </c>
      <c r="Z15" s="161">
        <v>20000</v>
      </c>
      <c r="AA15" s="162">
        <v>42751</v>
      </c>
    </row>
    <row r="16" spans="1:27" ht="15.75" x14ac:dyDescent="0.25">
      <c r="A16" s="131">
        <v>42749</v>
      </c>
      <c r="B16" s="132" t="s">
        <v>114</v>
      </c>
      <c r="C16" s="133">
        <v>136438.9</v>
      </c>
      <c r="D16" s="128">
        <v>42756</v>
      </c>
      <c r="E16" s="133">
        <v>136438.9</v>
      </c>
      <c r="F16" s="135">
        <f t="shared" si="0"/>
        <v>0</v>
      </c>
      <c r="J16" s="153">
        <f>5740.5+1177+767.5</f>
        <v>7685</v>
      </c>
      <c r="K16" s="169" t="s">
        <v>157</v>
      </c>
      <c r="L16" s="139">
        <v>7685</v>
      </c>
      <c r="M16" s="168"/>
      <c r="N16" s="160">
        <v>3378029</v>
      </c>
      <c r="O16" s="161">
        <v>79000</v>
      </c>
      <c r="P16" s="162">
        <v>42734</v>
      </c>
      <c r="U16" s="45">
        <v>0</v>
      </c>
      <c r="V16" s="169"/>
      <c r="W16" s="139"/>
      <c r="X16" s="168"/>
      <c r="Y16" s="160" t="s">
        <v>154</v>
      </c>
      <c r="Z16" s="161">
        <v>3000</v>
      </c>
      <c r="AA16" s="162">
        <v>42751</v>
      </c>
    </row>
    <row r="17" spans="1:27" ht="15.75" x14ac:dyDescent="0.25">
      <c r="A17" s="131">
        <v>42749</v>
      </c>
      <c r="B17" s="132" t="s">
        <v>115</v>
      </c>
      <c r="C17" s="133">
        <v>856.8</v>
      </c>
      <c r="D17" s="128">
        <v>42756</v>
      </c>
      <c r="E17" s="133">
        <v>856.8</v>
      </c>
      <c r="F17" s="135">
        <f t="shared" si="0"/>
        <v>0</v>
      </c>
      <c r="J17" s="170">
        <f>31636.5+5796+1091.5+3586+40914+794.5+26017.5</f>
        <v>109836</v>
      </c>
      <c r="K17" s="126" t="s">
        <v>101</v>
      </c>
      <c r="L17" s="127">
        <v>77107.899999999994</v>
      </c>
      <c r="M17" s="171"/>
      <c r="N17" s="160">
        <v>3378030</v>
      </c>
      <c r="O17" s="161">
        <v>58973</v>
      </c>
      <c r="P17" s="162">
        <v>42734</v>
      </c>
      <c r="U17" s="45">
        <v>0</v>
      </c>
      <c r="V17" s="195"/>
      <c r="W17" s="196"/>
      <c r="X17" s="197"/>
      <c r="Y17" s="198" t="s">
        <v>154</v>
      </c>
      <c r="Z17" s="148">
        <v>11037</v>
      </c>
      <c r="AA17" s="167">
        <v>42751</v>
      </c>
    </row>
    <row r="18" spans="1:27" ht="16.5" thickBot="1" x14ac:dyDescent="0.3">
      <c r="A18" s="131">
        <v>42751</v>
      </c>
      <c r="B18" s="132" t="s">
        <v>116</v>
      </c>
      <c r="C18" s="133">
        <v>20592.72</v>
      </c>
      <c r="D18" s="128">
        <v>42756</v>
      </c>
      <c r="E18" s="133">
        <v>20592.72</v>
      </c>
      <c r="F18" s="135">
        <f t="shared" si="0"/>
        <v>0</v>
      </c>
      <c r="J18" s="153">
        <f>23482.5+1283+37027+1237+12370.5</f>
        <v>75400</v>
      </c>
      <c r="K18" s="132" t="s">
        <v>102</v>
      </c>
      <c r="L18" s="133">
        <v>75399.679999999993</v>
      </c>
      <c r="M18" s="168"/>
      <c r="N18" s="160" t="s">
        <v>154</v>
      </c>
      <c r="O18" s="161">
        <v>2211.5</v>
      </c>
      <c r="P18" s="162">
        <v>42723</v>
      </c>
      <c r="U18" s="179">
        <v>0</v>
      </c>
      <c r="V18" s="199"/>
      <c r="W18" s="200">
        <v>0</v>
      </c>
      <c r="X18" s="182"/>
      <c r="Y18" s="183"/>
      <c r="Z18" s="201"/>
      <c r="AA18" s="202"/>
    </row>
    <row r="19" spans="1:27" ht="16.5" thickTop="1" x14ac:dyDescent="0.25">
      <c r="A19" s="131">
        <v>42751</v>
      </c>
      <c r="B19" s="132" t="s">
        <v>117</v>
      </c>
      <c r="C19" s="133">
        <v>2025.9</v>
      </c>
      <c r="D19" s="128">
        <v>42756</v>
      </c>
      <c r="E19" s="133">
        <v>2025.9</v>
      </c>
      <c r="F19" s="135">
        <f t="shared" si="0"/>
        <v>0</v>
      </c>
      <c r="J19" s="153">
        <v>69577</v>
      </c>
      <c r="K19" s="132" t="s">
        <v>103</v>
      </c>
      <c r="L19" s="133">
        <v>69576.800000000003</v>
      </c>
      <c r="M19" s="172"/>
      <c r="N19" s="160" t="s">
        <v>154</v>
      </c>
      <c r="O19" s="161">
        <v>9722</v>
      </c>
      <c r="P19" s="162">
        <v>42725</v>
      </c>
      <c r="T19" t="s">
        <v>176</v>
      </c>
      <c r="U19" s="38">
        <f>SUM(U1:U18)</f>
        <v>520341.00000000006</v>
      </c>
      <c r="V19" s="130"/>
      <c r="W19" s="108">
        <f>SUM(W3:W18)</f>
        <v>521414.5</v>
      </c>
      <c r="X19" s="186"/>
      <c r="Y19" s="187"/>
      <c r="Z19" s="38">
        <f>SUM(Z3:Z18)</f>
        <v>521414</v>
      </c>
      <c r="AA19" s="128"/>
    </row>
    <row r="20" spans="1:27" x14ac:dyDescent="0.25">
      <c r="A20" s="131">
        <v>42751</v>
      </c>
      <c r="B20" s="132" t="s">
        <v>118</v>
      </c>
      <c r="C20" s="133">
        <v>70529.320000000007</v>
      </c>
      <c r="D20" s="128">
        <v>42756</v>
      </c>
      <c r="E20" s="133">
        <v>70529.320000000007</v>
      </c>
      <c r="F20" s="135">
        <f t="shared" si="0"/>
        <v>0</v>
      </c>
      <c r="J20" s="153">
        <f>5815.5+1340.5+30622.5</f>
        <v>37778.5</v>
      </c>
      <c r="K20" s="132" t="s">
        <v>104</v>
      </c>
      <c r="L20" s="133">
        <v>37778.47</v>
      </c>
      <c r="M20" s="128"/>
      <c r="N20" s="173" t="s">
        <v>158</v>
      </c>
      <c r="O20" s="135">
        <v>3472.5</v>
      </c>
      <c r="P20" s="162">
        <v>42727</v>
      </c>
    </row>
    <row r="21" spans="1:27" x14ac:dyDescent="0.25">
      <c r="A21" s="131">
        <v>42753</v>
      </c>
      <c r="B21" s="132" t="s">
        <v>119</v>
      </c>
      <c r="C21" s="133">
        <v>63723.95</v>
      </c>
      <c r="D21" s="128" t="s">
        <v>161</v>
      </c>
      <c r="E21" s="133">
        <f>45793.79+17930.16</f>
        <v>63723.95</v>
      </c>
      <c r="F21" s="135">
        <f t="shared" si="0"/>
        <v>0</v>
      </c>
      <c r="J21" s="153">
        <v>34013</v>
      </c>
      <c r="K21" s="132" t="s">
        <v>105</v>
      </c>
      <c r="L21" s="133">
        <v>34012.99</v>
      </c>
      <c r="M21" s="128"/>
      <c r="N21" s="173" t="s">
        <v>154</v>
      </c>
      <c r="O21" s="135">
        <v>2806.5</v>
      </c>
      <c r="P21" s="162">
        <v>42731</v>
      </c>
    </row>
    <row r="22" spans="1:27" ht="15.75" x14ac:dyDescent="0.25">
      <c r="A22" s="131">
        <v>42753</v>
      </c>
      <c r="B22" s="132" t="s">
        <v>120</v>
      </c>
      <c r="C22" s="133">
        <v>30564.6</v>
      </c>
      <c r="D22" s="128">
        <v>42763</v>
      </c>
      <c r="E22" s="133">
        <v>30564.6</v>
      </c>
      <c r="F22" s="135">
        <f t="shared" si="0"/>
        <v>0</v>
      </c>
      <c r="J22" s="153">
        <v>32738</v>
      </c>
      <c r="K22" s="132" t="s">
        <v>106</v>
      </c>
      <c r="L22" s="133">
        <v>32737.97</v>
      </c>
      <c r="M22" s="172"/>
      <c r="N22" s="160" t="s">
        <v>154</v>
      </c>
      <c r="O22" s="161">
        <v>3350</v>
      </c>
      <c r="P22" s="162">
        <v>42732</v>
      </c>
    </row>
    <row r="23" spans="1:27" ht="15.75" x14ac:dyDescent="0.25">
      <c r="A23" s="131">
        <v>42754</v>
      </c>
      <c r="B23" s="132" t="s">
        <v>121</v>
      </c>
      <c r="C23" s="133">
        <v>158826.79999999999</v>
      </c>
      <c r="D23" s="128">
        <v>42763</v>
      </c>
      <c r="E23" s="133">
        <v>158826.79999999999</v>
      </c>
      <c r="F23" s="135">
        <f t="shared" si="0"/>
        <v>0</v>
      </c>
      <c r="J23" s="153">
        <f>1286+2541+30617</f>
        <v>34444</v>
      </c>
      <c r="K23" s="132" t="s">
        <v>107</v>
      </c>
      <c r="L23" s="133">
        <v>34443.879999999997</v>
      </c>
      <c r="M23" s="172"/>
      <c r="N23" s="160" t="s">
        <v>154</v>
      </c>
      <c r="O23" s="161">
        <v>15000</v>
      </c>
      <c r="P23" s="162">
        <v>42739</v>
      </c>
    </row>
    <row r="24" spans="1:27" ht="15.75" x14ac:dyDescent="0.25">
      <c r="A24" s="131">
        <v>42755</v>
      </c>
      <c r="B24" s="132" t="s">
        <v>122</v>
      </c>
      <c r="C24" s="133">
        <v>102944</v>
      </c>
      <c r="D24" s="128">
        <v>42763</v>
      </c>
      <c r="E24" s="133">
        <v>102944</v>
      </c>
      <c r="F24" s="135">
        <f t="shared" si="0"/>
        <v>0</v>
      </c>
      <c r="J24" s="45"/>
      <c r="K24" s="132" t="s">
        <v>108</v>
      </c>
      <c r="L24" s="133">
        <v>34180.97</v>
      </c>
      <c r="M24" s="172"/>
      <c r="N24" s="160">
        <v>3378032</v>
      </c>
      <c r="O24" s="161">
        <v>37386.5</v>
      </c>
      <c r="P24" s="162">
        <v>42735</v>
      </c>
      <c r="U24" s="119"/>
      <c r="V24" s="128"/>
      <c r="W24" s="203">
        <v>42763</v>
      </c>
      <c r="X24" s="151"/>
      <c r="Y24" s="152" t="s">
        <v>141</v>
      </c>
      <c r="Z24" s="38"/>
      <c r="AA24" s="23"/>
    </row>
    <row r="25" spans="1:27" ht="16.5" thickBot="1" x14ac:dyDescent="0.3">
      <c r="A25" s="131">
        <v>42756</v>
      </c>
      <c r="B25" s="132" t="s">
        <v>123</v>
      </c>
      <c r="C25" s="133">
        <v>43358.84</v>
      </c>
      <c r="D25" s="128">
        <v>42763</v>
      </c>
      <c r="E25" s="133">
        <v>43358.84</v>
      </c>
      <c r="F25" s="135">
        <f t="shared" si="0"/>
        <v>0</v>
      </c>
      <c r="J25" s="153">
        <f>45583+14150+2250+44450+1939</f>
        <v>108372</v>
      </c>
      <c r="K25" s="132" t="s">
        <v>109</v>
      </c>
      <c r="L25" s="133">
        <v>141113.29999999999</v>
      </c>
      <c r="M25" s="172"/>
      <c r="N25" s="160">
        <v>3378031</v>
      </c>
      <c r="O25" s="161">
        <v>55000</v>
      </c>
      <c r="P25" s="162">
        <v>42735</v>
      </c>
      <c r="U25" s="45">
        <v>23791</v>
      </c>
      <c r="V25" s="154">
        <v>22425</v>
      </c>
      <c r="W25" s="155"/>
      <c r="X25" s="155"/>
      <c r="Y25" s="156"/>
      <c r="Z25" s="157"/>
      <c r="AA25" s="158"/>
    </row>
    <row r="26" spans="1:27" ht="16.5" thickTop="1" x14ac:dyDescent="0.25">
      <c r="A26" s="131">
        <v>42757</v>
      </c>
      <c r="B26" s="132" t="s">
        <v>124</v>
      </c>
      <c r="C26" s="133">
        <v>87338.15</v>
      </c>
      <c r="D26" s="128">
        <v>42763</v>
      </c>
      <c r="E26" s="133">
        <v>87338.15</v>
      </c>
      <c r="F26" s="135">
        <f t="shared" si="0"/>
        <v>0</v>
      </c>
      <c r="J26" s="45"/>
      <c r="K26" s="132" t="s">
        <v>110</v>
      </c>
      <c r="L26" s="133">
        <v>1589.43</v>
      </c>
      <c r="M26" s="172" t="s">
        <v>159</v>
      </c>
      <c r="N26" s="160">
        <v>3378034</v>
      </c>
      <c r="O26" s="161">
        <v>74400</v>
      </c>
      <c r="P26" s="162">
        <v>42737</v>
      </c>
      <c r="U26" s="45">
        <f>14243.5+893+3458+45129.5</f>
        <v>63724</v>
      </c>
      <c r="V26" s="132" t="s">
        <v>119</v>
      </c>
      <c r="W26" s="133">
        <v>17930.16</v>
      </c>
      <c r="X26" s="159" t="s">
        <v>143</v>
      </c>
      <c r="Y26" s="160" t="s">
        <v>154</v>
      </c>
      <c r="Z26" s="161">
        <v>1000</v>
      </c>
      <c r="AA26" s="162">
        <v>42752</v>
      </c>
    </row>
    <row r="27" spans="1:27" ht="15.75" x14ac:dyDescent="0.25">
      <c r="A27" s="131">
        <v>42758</v>
      </c>
      <c r="B27" s="132" t="s">
        <v>125</v>
      </c>
      <c r="C27" s="133">
        <v>4057.9</v>
      </c>
      <c r="D27" s="128">
        <v>42763</v>
      </c>
      <c r="E27" s="133">
        <v>4057.9</v>
      </c>
      <c r="F27" s="135">
        <f t="shared" si="0"/>
        <v>0</v>
      </c>
      <c r="J27" s="45"/>
      <c r="K27" s="174"/>
      <c r="L27" s="139"/>
      <c r="M27" s="172"/>
      <c r="N27" s="160">
        <v>3378033</v>
      </c>
      <c r="O27" s="161">
        <v>57270</v>
      </c>
      <c r="P27" s="162">
        <v>42737</v>
      </c>
      <c r="U27" s="45">
        <f>23169.5+2918.5+4476.5</f>
        <v>30564.5</v>
      </c>
      <c r="V27" s="132" t="s">
        <v>120</v>
      </c>
      <c r="W27" s="133">
        <v>30564.6</v>
      </c>
      <c r="X27" s="159"/>
      <c r="Y27" s="160">
        <v>3378338</v>
      </c>
      <c r="Z27" s="161">
        <v>20000</v>
      </c>
      <c r="AA27" s="162">
        <v>42752</v>
      </c>
    </row>
    <row r="28" spans="1:27" ht="15.75" x14ac:dyDescent="0.25">
      <c r="A28" s="131">
        <v>42758</v>
      </c>
      <c r="B28" s="132" t="s">
        <v>126</v>
      </c>
      <c r="C28" s="133">
        <v>48854.35</v>
      </c>
      <c r="D28" s="128">
        <v>42763</v>
      </c>
      <c r="E28" s="133">
        <v>48854.35</v>
      </c>
      <c r="F28" s="135">
        <f t="shared" si="0"/>
        <v>0</v>
      </c>
      <c r="J28" s="45"/>
      <c r="K28" s="174"/>
      <c r="L28" s="139"/>
      <c r="M28" s="172"/>
      <c r="N28" s="160" t="s">
        <v>154</v>
      </c>
      <c r="O28" s="161">
        <v>10300</v>
      </c>
      <c r="P28" s="162">
        <v>42737</v>
      </c>
      <c r="U28" s="45">
        <f>7841.5+58939.5+8040+76586+563+6857</f>
        <v>158827</v>
      </c>
      <c r="V28" s="132" t="s">
        <v>121</v>
      </c>
      <c r="W28" s="133">
        <v>158826.79999999999</v>
      </c>
      <c r="X28" s="163"/>
      <c r="Y28" s="160">
        <v>3378339</v>
      </c>
      <c r="Z28" s="161">
        <v>17900</v>
      </c>
      <c r="AA28" s="162">
        <v>42752</v>
      </c>
    </row>
    <row r="29" spans="1:27" ht="15.75" x14ac:dyDescent="0.25">
      <c r="A29" s="131">
        <v>42760</v>
      </c>
      <c r="B29" s="132" t="s">
        <v>127</v>
      </c>
      <c r="C29" s="133">
        <v>35863.199999999997</v>
      </c>
      <c r="D29" s="128">
        <v>42763</v>
      </c>
      <c r="E29" s="133">
        <v>35863.199999999997</v>
      </c>
      <c r="F29" s="135">
        <f t="shared" si="0"/>
        <v>0</v>
      </c>
      <c r="J29" s="45"/>
      <c r="K29" s="174"/>
      <c r="L29" s="139"/>
      <c r="M29" s="172"/>
      <c r="N29" s="160">
        <v>3378035</v>
      </c>
      <c r="O29" s="161">
        <v>24000</v>
      </c>
      <c r="P29" s="162">
        <v>42738</v>
      </c>
      <c r="U29" s="45">
        <f>79839.5+821+22283.5</f>
        <v>102944</v>
      </c>
      <c r="V29" s="132" t="s">
        <v>122</v>
      </c>
      <c r="W29" s="133">
        <v>102944</v>
      </c>
      <c r="X29" s="164"/>
      <c r="Y29" s="160" t="s">
        <v>154</v>
      </c>
      <c r="Z29" s="161">
        <v>2500</v>
      </c>
      <c r="AA29" s="162">
        <v>42753</v>
      </c>
    </row>
    <row r="30" spans="1:27" ht="15.75" x14ac:dyDescent="0.25">
      <c r="A30" s="131">
        <v>42760</v>
      </c>
      <c r="B30" s="132" t="s">
        <v>128</v>
      </c>
      <c r="C30" s="133">
        <v>32299.200000000001</v>
      </c>
      <c r="D30" s="128">
        <v>42763</v>
      </c>
      <c r="E30" s="133">
        <v>32299.200000000001</v>
      </c>
      <c r="F30" s="135">
        <f t="shared" si="0"/>
        <v>0</v>
      </c>
      <c r="J30" s="45"/>
      <c r="K30" s="175"/>
      <c r="L30" s="127"/>
      <c r="M30" s="172"/>
      <c r="N30" s="160">
        <v>3378036</v>
      </c>
      <c r="O30" s="161">
        <v>15377</v>
      </c>
      <c r="P30" s="162">
        <v>42738</v>
      </c>
      <c r="U30" s="45">
        <f>33669.5+9689.5</f>
        <v>43359</v>
      </c>
      <c r="V30" s="132" t="s">
        <v>123</v>
      </c>
      <c r="W30" s="133">
        <v>43358.84</v>
      </c>
      <c r="X30" s="163"/>
      <c r="Y30" s="160">
        <v>3378340</v>
      </c>
      <c r="Z30" s="161">
        <v>50000</v>
      </c>
      <c r="AA30" s="162">
        <v>42753</v>
      </c>
    </row>
    <row r="31" spans="1:27" ht="15.75" x14ac:dyDescent="0.25">
      <c r="A31" s="131">
        <v>42761</v>
      </c>
      <c r="B31" s="132" t="s">
        <v>129</v>
      </c>
      <c r="C31" s="133">
        <v>33948</v>
      </c>
      <c r="D31" s="128" t="s">
        <v>218</v>
      </c>
      <c r="E31" s="138">
        <f>25649.3+8298.7</f>
        <v>33948</v>
      </c>
      <c r="F31" s="135">
        <f t="shared" si="0"/>
        <v>0</v>
      </c>
      <c r="J31" s="45"/>
      <c r="K31" s="176"/>
      <c r="L31" s="133"/>
      <c r="M31" s="172"/>
      <c r="N31" s="160">
        <v>3378037</v>
      </c>
      <c r="O31" s="161">
        <v>27000</v>
      </c>
      <c r="P31" s="162">
        <v>42739</v>
      </c>
      <c r="U31" s="45">
        <f>79404.5+7933.5</f>
        <v>87338</v>
      </c>
      <c r="V31" s="132" t="s">
        <v>124</v>
      </c>
      <c r="W31" s="133">
        <v>87338.15</v>
      </c>
      <c r="X31" s="163"/>
      <c r="Y31" s="160">
        <v>3378341</v>
      </c>
      <c r="Z31" s="161">
        <v>20150</v>
      </c>
      <c r="AA31" s="162">
        <v>42753</v>
      </c>
    </row>
    <row r="32" spans="1:27" ht="15.75" x14ac:dyDescent="0.25">
      <c r="A32" s="131">
        <v>42761</v>
      </c>
      <c r="B32" s="132" t="s">
        <v>130</v>
      </c>
      <c r="C32" s="133">
        <v>7924.05</v>
      </c>
      <c r="D32" s="137">
        <v>42780</v>
      </c>
      <c r="E32" s="138">
        <v>7924.05</v>
      </c>
      <c r="F32" s="135">
        <f t="shared" si="0"/>
        <v>0</v>
      </c>
      <c r="J32" s="45"/>
      <c r="K32" s="177"/>
      <c r="L32" s="178"/>
      <c r="M32" s="172"/>
      <c r="N32" s="160">
        <v>3378038</v>
      </c>
      <c r="O32" s="161">
        <v>18591.5</v>
      </c>
      <c r="P32" s="162">
        <v>42739</v>
      </c>
      <c r="U32" s="45">
        <v>4058</v>
      </c>
      <c r="V32" s="132" t="s">
        <v>125</v>
      </c>
      <c r="W32" s="133">
        <v>4057.9</v>
      </c>
      <c r="X32" s="165"/>
      <c r="Y32" s="160">
        <v>3378342</v>
      </c>
      <c r="Z32" s="161">
        <v>30000</v>
      </c>
      <c r="AA32" s="162">
        <v>42754</v>
      </c>
    </row>
    <row r="33" spans="1:27" ht="15.75" x14ac:dyDescent="0.25">
      <c r="A33" s="131">
        <v>42761</v>
      </c>
      <c r="B33" s="132" t="s">
        <v>131</v>
      </c>
      <c r="C33" s="133">
        <v>33458.400000000001</v>
      </c>
      <c r="D33" s="137">
        <v>42780</v>
      </c>
      <c r="E33" s="138">
        <v>33458.400000000001</v>
      </c>
      <c r="F33" s="135">
        <f t="shared" si="0"/>
        <v>0</v>
      </c>
      <c r="J33" s="45"/>
      <c r="K33" s="177"/>
      <c r="L33" s="178"/>
      <c r="M33" s="172"/>
      <c r="N33" s="160">
        <v>3378040</v>
      </c>
      <c r="O33" s="161">
        <v>13794.5</v>
      </c>
      <c r="P33" s="162">
        <v>42740</v>
      </c>
      <c r="U33" s="45">
        <f>5520.5+15195.5+383+25747.5</f>
        <v>46846.5</v>
      </c>
      <c r="V33" s="132" t="s">
        <v>126</v>
      </c>
      <c r="W33" s="133">
        <v>48854.35</v>
      </c>
      <c r="X33" s="163"/>
      <c r="Y33" s="160">
        <v>3378343</v>
      </c>
      <c r="Z33" s="166">
        <v>27000</v>
      </c>
      <c r="AA33" s="167">
        <v>42754</v>
      </c>
    </row>
    <row r="34" spans="1:27" ht="15.75" x14ac:dyDescent="0.25">
      <c r="A34" s="131">
        <v>42761</v>
      </c>
      <c r="B34" s="132" t="s">
        <v>132</v>
      </c>
      <c r="C34" s="133">
        <v>33800.400000000001</v>
      </c>
      <c r="D34" s="137">
        <v>42780</v>
      </c>
      <c r="E34" s="138">
        <v>33800.400000000001</v>
      </c>
      <c r="F34" s="135">
        <f t="shared" si="0"/>
        <v>0</v>
      </c>
      <c r="J34" s="45"/>
      <c r="K34" s="177"/>
      <c r="L34" s="178"/>
      <c r="M34" s="172"/>
      <c r="N34" s="160">
        <v>3378327</v>
      </c>
      <c r="O34" s="161">
        <v>31500</v>
      </c>
      <c r="P34" s="162">
        <v>42740</v>
      </c>
      <c r="U34" s="45">
        <v>25350.5</v>
      </c>
      <c r="V34" s="132" t="s">
        <v>127</v>
      </c>
      <c r="W34" s="133">
        <v>35863.199999999997</v>
      </c>
      <c r="X34" s="168"/>
      <c r="Y34" s="160">
        <v>3378345</v>
      </c>
      <c r="Z34" s="148">
        <v>14257.5</v>
      </c>
      <c r="AA34" s="167">
        <v>42754</v>
      </c>
    </row>
    <row r="35" spans="1:27" ht="15.75" x14ac:dyDescent="0.25">
      <c r="A35" s="131">
        <v>42761</v>
      </c>
      <c r="B35" s="132" t="s">
        <v>133</v>
      </c>
      <c r="C35" s="133">
        <v>32886</v>
      </c>
      <c r="D35" s="137">
        <v>42780</v>
      </c>
      <c r="E35" s="138">
        <v>32886</v>
      </c>
      <c r="F35" s="135">
        <f t="shared" si="0"/>
        <v>0</v>
      </c>
      <c r="J35" s="45"/>
      <c r="K35" s="177"/>
      <c r="L35" s="178"/>
      <c r="M35" s="172"/>
      <c r="N35" s="160" t="s">
        <v>154</v>
      </c>
      <c r="O35" s="161">
        <v>5000</v>
      </c>
      <c r="P35" s="162">
        <v>42740</v>
      </c>
      <c r="U35" s="45"/>
      <c r="V35" s="132" t="s">
        <v>128</v>
      </c>
      <c r="W35" s="133">
        <v>32299.200000000001</v>
      </c>
      <c r="X35" s="168"/>
      <c r="Y35" s="160">
        <v>3378346</v>
      </c>
      <c r="Z35" s="161">
        <v>50000</v>
      </c>
      <c r="AA35" s="162">
        <v>42755</v>
      </c>
    </row>
    <row r="36" spans="1:27" ht="15.75" x14ac:dyDescent="0.25">
      <c r="A36" s="131">
        <v>42763</v>
      </c>
      <c r="B36" s="132" t="s">
        <v>134</v>
      </c>
      <c r="C36" s="133">
        <v>48015</v>
      </c>
      <c r="D36" s="137">
        <v>42780</v>
      </c>
      <c r="E36" s="138">
        <v>48015</v>
      </c>
      <c r="F36" s="135">
        <f t="shared" si="0"/>
        <v>0</v>
      </c>
      <c r="J36" s="45"/>
      <c r="K36" s="177"/>
      <c r="L36" s="178"/>
      <c r="M36" s="172"/>
      <c r="N36" s="160">
        <v>3378329</v>
      </c>
      <c r="O36" s="161">
        <v>38310</v>
      </c>
      <c r="P36" s="162">
        <v>42741</v>
      </c>
      <c r="U36" s="45"/>
      <c r="V36" s="132" t="s">
        <v>129</v>
      </c>
      <c r="W36" s="133">
        <v>25649.3</v>
      </c>
      <c r="X36" s="204" t="s">
        <v>159</v>
      </c>
      <c r="Y36" s="160">
        <v>3378347</v>
      </c>
      <c r="Z36" s="161">
        <v>34626</v>
      </c>
      <c r="AA36" s="162">
        <v>42755</v>
      </c>
    </row>
    <row r="37" spans="1:27" ht="15.75" x14ac:dyDescent="0.25">
      <c r="A37" s="131">
        <v>42763</v>
      </c>
      <c r="B37" s="132" t="s">
        <v>135</v>
      </c>
      <c r="C37" s="133">
        <v>38152</v>
      </c>
      <c r="D37" s="137">
        <v>42780</v>
      </c>
      <c r="E37" s="138">
        <v>38152</v>
      </c>
      <c r="F37" s="135">
        <f t="shared" si="0"/>
        <v>0</v>
      </c>
      <c r="J37" s="45"/>
      <c r="K37" s="177"/>
      <c r="L37" s="178"/>
      <c r="M37" s="172"/>
      <c r="N37" s="160">
        <v>3378043</v>
      </c>
      <c r="O37" s="161">
        <v>24000</v>
      </c>
      <c r="P37" s="162">
        <v>42742</v>
      </c>
      <c r="U37" s="45"/>
      <c r="V37" s="132"/>
      <c r="W37" s="133"/>
      <c r="X37" s="168"/>
      <c r="Y37" s="160" t="s">
        <v>154</v>
      </c>
      <c r="Z37" s="161">
        <v>5000</v>
      </c>
      <c r="AA37" s="162">
        <v>42758</v>
      </c>
    </row>
    <row r="38" spans="1:27" ht="15.75" x14ac:dyDescent="0.25">
      <c r="A38" s="131">
        <v>42763</v>
      </c>
      <c r="B38" s="132" t="s">
        <v>136</v>
      </c>
      <c r="C38" s="133">
        <v>36500.519999999997</v>
      </c>
      <c r="D38" s="137">
        <v>42780</v>
      </c>
      <c r="E38" s="138">
        <v>36500.519999999997</v>
      </c>
      <c r="F38" s="135">
        <f t="shared" si="0"/>
        <v>0</v>
      </c>
      <c r="J38" s="45"/>
      <c r="K38" s="177"/>
      <c r="L38" s="178"/>
      <c r="M38" s="172"/>
      <c r="N38" s="160">
        <v>3378042</v>
      </c>
      <c r="O38" s="161">
        <v>55000</v>
      </c>
      <c r="P38" s="162">
        <v>42742</v>
      </c>
      <c r="U38" s="45"/>
      <c r="V38" s="132"/>
      <c r="W38" s="133"/>
      <c r="X38" s="168"/>
      <c r="Y38" s="160">
        <v>3378348</v>
      </c>
      <c r="Z38" s="161">
        <v>66500</v>
      </c>
      <c r="AA38" s="162">
        <v>42756</v>
      </c>
    </row>
    <row r="39" spans="1:27" ht="15.75" x14ac:dyDescent="0.25">
      <c r="A39" s="131">
        <v>42764</v>
      </c>
      <c r="B39" s="132" t="s">
        <v>137</v>
      </c>
      <c r="C39" s="133">
        <v>33639.879999999997</v>
      </c>
      <c r="D39" s="137">
        <v>42780</v>
      </c>
      <c r="E39" s="138">
        <v>33639.879999999997</v>
      </c>
      <c r="F39" s="135">
        <f t="shared" si="0"/>
        <v>0</v>
      </c>
      <c r="J39" s="45"/>
      <c r="K39" s="177"/>
      <c r="L39" s="178"/>
      <c r="M39" s="172"/>
      <c r="N39" s="160" t="s">
        <v>154</v>
      </c>
      <c r="O39" s="161">
        <v>10000</v>
      </c>
      <c r="P39" s="162">
        <v>42742</v>
      </c>
      <c r="U39" s="45"/>
      <c r="V39" s="132"/>
      <c r="W39" s="133"/>
      <c r="X39" s="168"/>
      <c r="Y39" s="160">
        <v>3378350</v>
      </c>
      <c r="Z39" s="161">
        <v>15759.5</v>
      </c>
      <c r="AA39" s="162">
        <v>42756</v>
      </c>
    </row>
    <row r="40" spans="1:27" ht="15.75" x14ac:dyDescent="0.25">
      <c r="A40" s="131">
        <v>42765</v>
      </c>
      <c r="B40" s="132" t="s">
        <v>138</v>
      </c>
      <c r="C40" s="133">
        <v>2060.8000000000002</v>
      </c>
      <c r="D40" s="137">
        <v>42780</v>
      </c>
      <c r="E40" s="138">
        <v>2060.8000000000002</v>
      </c>
      <c r="F40" s="135">
        <f t="shared" si="0"/>
        <v>0</v>
      </c>
      <c r="J40" s="45"/>
      <c r="K40" s="177"/>
      <c r="L40" s="178"/>
      <c r="M40" s="172"/>
      <c r="N40" s="160">
        <v>3378045</v>
      </c>
      <c r="O40" s="161">
        <v>50000</v>
      </c>
      <c r="P40" s="162">
        <v>42743</v>
      </c>
      <c r="U40" s="45"/>
      <c r="V40" s="132"/>
      <c r="W40" s="133"/>
      <c r="X40" s="171"/>
      <c r="Y40" s="160">
        <v>3378351</v>
      </c>
      <c r="Z40" s="161">
        <v>56774</v>
      </c>
      <c r="AA40" s="162">
        <v>42757</v>
      </c>
    </row>
    <row r="41" spans="1:27" ht="15.75" x14ac:dyDescent="0.25">
      <c r="A41" s="131">
        <v>42765</v>
      </c>
      <c r="B41" s="132" t="s">
        <v>139</v>
      </c>
      <c r="C41" s="133">
        <v>47390.45</v>
      </c>
      <c r="D41" s="137">
        <v>42780</v>
      </c>
      <c r="E41" s="138">
        <v>47390.45</v>
      </c>
      <c r="F41" s="135">
        <f t="shared" si="0"/>
        <v>0</v>
      </c>
      <c r="J41" s="45"/>
      <c r="K41" s="177"/>
      <c r="L41" s="178"/>
      <c r="M41" s="172"/>
      <c r="N41" s="160">
        <v>3378044</v>
      </c>
      <c r="O41" s="161">
        <v>50000</v>
      </c>
      <c r="P41" s="162">
        <v>42743</v>
      </c>
      <c r="U41" s="45"/>
      <c r="V41" s="132"/>
      <c r="W41" s="133"/>
      <c r="X41" s="168"/>
      <c r="Y41" s="160">
        <v>3378352</v>
      </c>
      <c r="Z41" s="161">
        <v>66500</v>
      </c>
      <c r="AA41" s="162">
        <v>42758</v>
      </c>
    </row>
    <row r="42" spans="1:27" ht="15.75" x14ac:dyDescent="0.25">
      <c r="A42" s="131">
        <v>42766</v>
      </c>
      <c r="B42" s="132" t="s">
        <v>140</v>
      </c>
      <c r="C42" s="133">
        <v>35811.800000000003</v>
      </c>
      <c r="D42" s="137">
        <v>42780</v>
      </c>
      <c r="E42" s="138">
        <v>35811.800000000003</v>
      </c>
      <c r="F42" s="135">
        <f t="shared" si="0"/>
        <v>0</v>
      </c>
      <c r="J42" s="45"/>
      <c r="K42" s="177"/>
      <c r="L42" s="178"/>
      <c r="M42" s="172"/>
      <c r="N42" s="160">
        <v>3378046</v>
      </c>
      <c r="O42" s="161">
        <v>76200</v>
      </c>
      <c r="P42" s="162">
        <v>42744</v>
      </c>
      <c r="U42" s="45"/>
      <c r="V42" s="132"/>
      <c r="W42" s="133"/>
      <c r="X42" s="172"/>
      <c r="Y42" s="160">
        <v>3378353</v>
      </c>
      <c r="Z42" s="161">
        <v>9594</v>
      </c>
      <c r="AA42" s="162">
        <v>42758</v>
      </c>
    </row>
    <row r="43" spans="1:27" ht="15.75" x14ac:dyDescent="0.25">
      <c r="A43" s="131"/>
      <c r="B43" s="132"/>
      <c r="C43" s="133"/>
      <c r="D43" s="137"/>
      <c r="E43" s="138"/>
      <c r="F43" s="135">
        <f t="shared" si="0"/>
        <v>0</v>
      </c>
      <c r="J43" s="45"/>
      <c r="K43" s="177"/>
      <c r="L43" s="178"/>
      <c r="M43" s="172"/>
      <c r="N43" s="160">
        <v>3378048</v>
      </c>
      <c r="O43" s="161">
        <v>16691</v>
      </c>
      <c r="P43" s="162">
        <v>42744</v>
      </c>
      <c r="U43" s="45"/>
      <c r="V43" s="132"/>
      <c r="W43" s="133"/>
      <c r="X43" s="167"/>
      <c r="Y43" s="173" t="s">
        <v>154</v>
      </c>
      <c r="Z43" s="135">
        <v>13000</v>
      </c>
      <c r="AA43" s="162">
        <v>42758</v>
      </c>
    </row>
    <row r="44" spans="1:27" ht="15.75" x14ac:dyDescent="0.25">
      <c r="A44" s="131"/>
      <c r="B44" s="132"/>
      <c r="C44" s="133"/>
      <c r="D44" s="137"/>
      <c r="E44" s="138"/>
      <c r="F44" s="135">
        <f t="shared" si="0"/>
        <v>0</v>
      </c>
      <c r="J44" s="45"/>
      <c r="K44" s="177"/>
      <c r="L44" s="178"/>
      <c r="M44" s="172"/>
      <c r="N44" s="160">
        <v>3378050</v>
      </c>
      <c r="O44" s="161">
        <v>14700</v>
      </c>
      <c r="P44" s="162">
        <v>42745</v>
      </c>
      <c r="U44" s="45"/>
      <c r="V44" s="132"/>
      <c r="W44" s="133"/>
      <c r="X44" s="128"/>
      <c r="Y44" s="173" t="s">
        <v>154</v>
      </c>
      <c r="Z44" s="135">
        <v>10000</v>
      </c>
      <c r="AA44" s="162">
        <v>42759</v>
      </c>
    </row>
    <row r="45" spans="1:27" ht="15.75" x14ac:dyDescent="0.25">
      <c r="A45" s="131"/>
      <c r="B45" s="132"/>
      <c r="C45" s="133"/>
      <c r="D45" s="137"/>
      <c r="E45" s="138"/>
      <c r="F45" s="135">
        <f t="shared" si="0"/>
        <v>0</v>
      </c>
      <c r="J45" s="45"/>
      <c r="K45" s="176"/>
      <c r="L45" s="133"/>
      <c r="M45" s="172"/>
      <c r="N45" s="160">
        <v>3378049</v>
      </c>
      <c r="O45" s="161">
        <v>30000</v>
      </c>
      <c r="P45" s="162">
        <v>42745</v>
      </c>
      <c r="U45" s="45"/>
      <c r="V45" s="132"/>
      <c r="W45" s="133"/>
      <c r="X45" s="172"/>
      <c r="Y45" s="160" t="s">
        <v>154</v>
      </c>
      <c r="Z45" s="161">
        <v>5520</v>
      </c>
      <c r="AA45" s="162">
        <v>42759</v>
      </c>
    </row>
    <row r="46" spans="1:27" ht="16.5" thickBot="1" x14ac:dyDescent="0.3">
      <c r="A46" s="131"/>
      <c r="B46" s="132"/>
      <c r="C46" s="133"/>
      <c r="D46" s="137"/>
      <c r="E46" s="138"/>
      <c r="F46" s="135">
        <f t="shared" si="0"/>
        <v>0</v>
      </c>
      <c r="J46" s="179">
        <f>SUM(J2:J45)</f>
        <v>1354302.5</v>
      </c>
      <c r="K46" s="180"/>
      <c r="L46" s="181">
        <v>0</v>
      </c>
      <c r="M46" s="182"/>
      <c r="N46" s="183" t="s">
        <v>154</v>
      </c>
      <c r="O46" s="184">
        <v>2000</v>
      </c>
      <c r="P46" s="185">
        <v>42745</v>
      </c>
      <c r="U46" s="45"/>
      <c r="V46" s="132"/>
      <c r="W46" s="133"/>
      <c r="X46" s="172"/>
      <c r="Y46" s="160" t="s">
        <v>154</v>
      </c>
      <c r="Z46" s="161">
        <v>12107.5</v>
      </c>
      <c r="AA46" s="162">
        <v>42752</v>
      </c>
    </row>
    <row r="47" spans="1:27" ht="16.5" thickTop="1" x14ac:dyDescent="0.25">
      <c r="A47" s="131"/>
      <c r="B47" s="147"/>
      <c r="C47" s="148"/>
      <c r="D47" s="137"/>
      <c r="E47" s="149"/>
      <c r="F47" s="139">
        <f t="shared" si="0"/>
        <v>0</v>
      </c>
      <c r="G47"/>
      <c r="J47" s="38"/>
      <c r="K47" s="130"/>
      <c r="L47" s="108">
        <f>SUM(L3:L46)</f>
        <v>1353390</v>
      </c>
      <c r="M47" s="186"/>
      <c r="N47" s="187"/>
      <c r="O47" s="38">
        <f>SUM(O3:O46)</f>
        <v>1353390</v>
      </c>
      <c r="P47" s="128"/>
      <c r="U47" s="45"/>
      <c r="V47" s="132"/>
      <c r="W47" s="133"/>
      <c r="X47" s="172"/>
      <c r="Y47" s="160" t="s">
        <v>154</v>
      </c>
      <c r="Z47" s="161">
        <v>5088</v>
      </c>
      <c r="AA47" s="162">
        <v>42755</v>
      </c>
    </row>
    <row r="48" spans="1:27" ht="16.5" thickBot="1" x14ac:dyDescent="0.3">
      <c r="A48" s="140"/>
      <c r="B48" s="141"/>
      <c r="C48" s="142"/>
      <c r="D48" s="142"/>
      <c r="E48" s="140"/>
      <c r="F48" s="143"/>
      <c r="G48"/>
      <c r="U48" s="45"/>
      <c r="V48" s="132"/>
      <c r="W48" s="133"/>
      <c r="X48" s="172"/>
      <c r="Y48" s="160" t="s">
        <v>154</v>
      </c>
      <c r="Z48" s="161">
        <v>2918.5</v>
      </c>
      <c r="AA48" s="162">
        <v>42755</v>
      </c>
    </row>
    <row r="49" spans="1:27" ht="16.5" thickTop="1" x14ac:dyDescent="0.25">
      <c r="A49"/>
      <c r="B49"/>
      <c r="C49" s="144">
        <f>SUM(C3:C47)</f>
        <v>2004980.39</v>
      </c>
      <c r="D49" s="4"/>
      <c r="E49" s="145">
        <f>SUM(E3:E46)</f>
        <v>2004980.39</v>
      </c>
      <c r="F49" s="145">
        <f>SUM(F3:F47)</f>
        <v>0</v>
      </c>
      <c r="G49"/>
      <c r="U49" s="45"/>
      <c r="V49" s="132"/>
      <c r="W49" s="133"/>
      <c r="X49" s="172"/>
      <c r="Y49" s="160" t="s">
        <v>154</v>
      </c>
      <c r="Z49" s="161">
        <v>10.5</v>
      </c>
      <c r="AA49" s="162">
        <v>42761</v>
      </c>
    </row>
    <row r="50" spans="1:27" ht="15.75" x14ac:dyDescent="0.25">
      <c r="A50"/>
      <c r="B50" s="1"/>
      <c r="E50"/>
      <c r="F50"/>
      <c r="G50"/>
      <c r="U50" s="45"/>
      <c r="V50" s="174"/>
      <c r="W50" s="139"/>
      <c r="X50" s="172"/>
      <c r="Y50" s="160">
        <v>3378355</v>
      </c>
      <c r="Z50" s="161">
        <v>11481</v>
      </c>
      <c r="AA50" s="162">
        <v>42760</v>
      </c>
    </row>
    <row r="51" spans="1:27" ht="15.75" x14ac:dyDescent="0.25">
      <c r="A51"/>
      <c r="B51" s="1"/>
      <c r="E51"/>
      <c r="F51"/>
      <c r="G51"/>
      <c r="U51" s="45"/>
      <c r="V51" s="174"/>
      <c r="W51" s="139"/>
      <c r="X51" s="172"/>
      <c r="Y51" s="160">
        <v>3378354</v>
      </c>
      <c r="Z51" s="161">
        <v>30000</v>
      </c>
      <c r="AA51" s="162">
        <v>42760</v>
      </c>
    </row>
    <row r="52" spans="1:27" ht="15.75" x14ac:dyDescent="0.25">
      <c r="A52"/>
      <c r="B52" s="1"/>
      <c r="E52"/>
      <c r="F52"/>
      <c r="G52"/>
      <c r="U52" s="45"/>
      <c r="V52" s="174"/>
      <c r="W52" s="139"/>
      <c r="X52" s="172"/>
      <c r="Y52" s="160" t="s">
        <v>154</v>
      </c>
      <c r="Z52" s="161">
        <v>10000</v>
      </c>
      <c r="AA52" s="162">
        <v>42760</v>
      </c>
    </row>
    <row r="53" spans="1:27" ht="15.75" x14ac:dyDescent="0.25">
      <c r="A53"/>
      <c r="B53" s="1"/>
      <c r="E53"/>
      <c r="F53"/>
      <c r="G53"/>
      <c r="U53" s="45"/>
      <c r="V53" s="175"/>
      <c r="W53" s="127"/>
      <c r="X53" s="172"/>
      <c r="Y53" s="160"/>
      <c r="Z53" s="161"/>
      <c r="AA53" s="162"/>
    </row>
    <row r="54" spans="1:27" ht="16.5" thickBot="1" x14ac:dyDescent="0.3">
      <c r="A54"/>
      <c r="B54" s="1"/>
      <c r="C54"/>
      <c r="D54"/>
      <c r="E54"/>
      <c r="F54"/>
      <c r="G54"/>
      <c r="U54" s="179">
        <f>SUM(U25:U53)</f>
        <v>586802.5</v>
      </c>
      <c r="V54" s="180"/>
      <c r="W54" s="181">
        <v>0</v>
      </c>
      <c r="X54" s="182"/>
      <c r="Y54" s="183"/>
      <c r="Z54" s="184"/>
      <c r="AA54" s="185"/>
    </row>
    <row r="55" spans="1:27" ht="16.5" thickTop="1" x14ac:dyDescent="0.25">
      <c r="A55"/>
      <c r="B55" s="1"/>
      <c r="E55"/>
      <c r="F55"/>
      <c r="G55"/>
      <c r="U55" s="38"/>
      <c r="V55" s="130"/>
      <c r="W55" s="108">
        <f>SUM(W26:W54)</f>
        <v>587686.5</v>
      </c>
      <c r="X55" s="186"/>
      <c r="Y55" s="187"/>
      <c r="Z55" s="38">
        <f>SUM(Z26:Z54)</f>
        <v>587686.5</v>
      </c>
      <c r="AA55" s="128"/>
    </row>
    <row r="56" spans="1:27" x14ac:dyDescent="0.25">
      <c r="A56"/>
      <c r="B56" s="1"/>
      <c r="E56"/>
      <c r="F56"/>
      <c r="G56"/>
      <c r="U56" s="205">
        <f>U54-Z55</f>
        <v>-884</v>
      </c>
    </row>
    <row r="57" spans="1:27" x14ac:dyDescent="0.25">
      <c r="A57"/>
      <c r="B57" s="1"/>
      <c r="C57"/>
      <c r="D57"/>
      <c r="E57"/>
      <c r="F57"/>
      <c r="G57"/>
    </row>
    <row r="58" spans="1:27" x14ac:dyDescent="0.25">
      <c r="A58"/>
      <c r="B58" s="1"/>
      <c r="C58"/>
      <c r="D58"/>
      <c r="E58"/>
      <c r="F58"/>
      <c r="G58"/>
    </row>
    <row r="59" spans="1:27" x14ac:dyDescent="0.25">
      <c r="A59"/>
      <c r="B59" s="1"/>
      <c r="D59"/>
      <c r="E59"/>
      <c r="F59"/>
      <c r="G59"/>
    </row>
    <row r="60" spans="1:27" x14ac:dyDescent="0.25">
      <c r="A60"/>
      <c r="B60" s="1"/>
      <c r="D60"/>
      <c r="E60"/>
      <c r="F60"/>
      <c r="G60"/>
    </row>
    <row r="62" spans="1:27" ht="15.75" x14ac:dyDescent="0.25">
      <c r="C62" s="146"/>
    </row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</sheetData>
  <mergeCells count="1">
    <mergeCell ref="C1:E1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8"/>
  <sheetViews>
    <sheetView workbookViewId="0">
      <selection activeCell="O41" sqref="O4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486" t="s">
        <v>172</v>
      </c>
      <c r="C1" s="486"/>
      <c r="D1" s="486"/>
      <c r="E1" s="486"/>
      <c r="F1" s="486"/>
      <c r="G1" s="486"/>
      <c r="H1" s="486"/>
      <c r="I1" s="486"/>
      <c r="J1" s="486"/>
      <c r="L1" s="2" t="s">
        <v>1</v>
      </c>
      <c r="M1" s="3"/>
    </row>
    <row r="2" spans="1:14" ht="19.5" thickBot="1" x14ac:dyDescent="0.35">
      <c r="A2" s="1"/>
      <c r="B2" s="5"/>
      <c r="D2" s="188"/>
      <c r="E2" s="8"/>
      <c r="G2" s="487" t="s">
        <v>2</v>
      </c>
      <c r="H2" s="487"/>
      <c r="I2" s="487"/>
      <c r="J2" s="488">
        <v>2000</v>
      </c>
      <c r="K2" s="488"/>
      <c r="L2" s="9"/>
      <c r="M2" s="3"/>
    </row>
    <row r="3" spans="1:14" ht="15.75" thickBot="1" x14ac:dyDescent="0.3">
      <c r="A3" s="473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474"/>
      <c r="B4" s="13">
        <v>203155.73</v>
      </c>
      <c r="C4" s="14"/>
      <c r="D4" s="491" t="s">
        <v>8</v>
      </c>
      <c r="E4" s="492"/>
      <c r="H4" s="493" t="s">
        <v>9</v>
      </c>
      <c r="I4" s="494"/>
      <c r="J4" s="494"/>
      <c r="K4" s="494"/>
      <c r="L4" s="15" t="s">
        <v>10</v>
      </c>
      <c r="M4" s="16" t="s">
        <v>11</v>
      </c>
    </row>
    <row r="5" spans="1:14" ht="16.5" thickTop="1" thickBot="1" x14ac:dyDescent="0.3">
      <c r="A5" s="18">
        <v>42767</v>
      </c>
      <c r="B5" s="34">
        <v>55292</v>
      </c>
      <c r="C5" s="20" t="s">
        <v>191</v>
      </c>
      <c r="D5" s="21">
        <v>42767</v>
      </c>
      <c r="E5" s="35">
        <v>54866.35</v>
      </c>
      <c r="F5" s="23"/>
      <c r="G5" s="24">
        <v>42767</v>
      </c>
      <c r="H5" s="192">
        <v>0</v>
      </c>
      <c r="I5" s="26"/>
      <c r="J5" s="27"/>
      <c r="K5" s="27"/>
      <c r="L5" s="28" t="s">
        <v>192</v>
      </c>
      <c r="M5" s="29">
        <v>0</v>
      </c>
      <c r="N5" s="30"/>
    </row>
    <row r="6" spans="1:14" ht="15.75" thickBot="1" x14ac:dyDescent="0.3">
      <c r="A6" s="18">
        <v>42768</v>
      </c>
      <c r="B6" s="34">
        <v>48812</v>
      </c>
      <c r="C6" s="20" t="s">
        <v>194</v>
      </c>
      <c r="D6" s="21">
        <v>42768</v>
      </c>
      <c r="E6" s="35">
        <v>48701.5</v>
      </c>
      <c r="F6" s="36"/>
      <c r="G6" s="24">
        <v>42768</v>
      </c>
      <c r="H6" s="37">
        <v>0</v>
      </c>
      <c r="I6" s="38"/>
      <c r="J6" s="39" t="s">
        <v>15</v>
      </c>
      <c r="K6" s="40">
        <v>599</v>
      </c>
      <c r="L6" s="28" t="s">
        <v>193</v>
      </c>
      <c r="M6" s="29">
        <v>0</v>
      </c>
      <c r="N6" s="30"/>
    </row>
    <row r="7" spans="1:14" ht="15.75" thickBot="1" x14ac:dyDescent="0.3">
      <c r="A7" s="18">
        <v>42769</v>
      </c>
      <c r="B7" s="34">
        <v>44636.5</v>
      </c>
      <c r="C7" s="20" t="s">
        <v>195</v>
      </c>
      <c r="D7" s="21">
        <v>42769</v>
      </c>
      <c r="E7" s="35">
        <v>52738</v>
      </c>
      <c r="F7" s="23"/>
      <c r="G7" s="24">
        <v>42769</v>
      </c>
      <c r="H7" s="37">
        <v>0</v>
      </c>
      <c r="I7" s="38"/>
      <c r="J7" s="43" t="s">
        <v>18</v>
      </c>
      <c r="K7" s="44">
        <v>0</v>
      </c>
      <c r="L7" s="28" t="s">
        <v>196</v>
      </c>
      <c r="M7" s="29">
        <v>0</v>
      </c>
      <c r="N7" s="45"/>
    </row>
    <row r="8" spans="1:14" ht="15.75" thickBot="1" x14ac:dyDescent="0.3">
      <c r="A8" s="18">
        <v>42770</v>
      </c>
      <c r="B8" s="34">
        <v>74967</v>
      </c>
      <c r="C8" s="48" t="s">
        <v>197</v>
      </c>
      <c r="D8" s="21">
        <v>42770</v>
      </c>
      <c r="E8" s="35">
        <v>75837</v>
      </c>
      <c r="F8" s="23"/>
      <c r="G8" s="24">
        <v>42770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199</v>
      </c>
      <c r="M8" s="29">
        <v>0</v>
      </c>
      <c r="N8" s="45"/>
    </row>
    <row r="9" spans="1:14" ht="15.75" thickBot="1" x14ac:dyDescent="0.3">
      <c r="A9" s="18">
        <v>42771</v>
      </c>
      <c r="B9" s="34">
        <v>64999</v>
      </c>
      <c r="C9" s="50" t="s">
        <v>198</v>
      </c>
      <c r="D9" s="21">
        <v>42771</v>
      </c>
      <c r="E9" s="35">
        <v>65545</v>
      </c>
      <c r="F9" s="23"/>
      <c r="G9" s="24">
        <v>42771</v>
      </c>
      <c r="H9" s="37">
        <v>0</v>
      </c>
      <c r="I9" s="38" t="s">
        <v>226</v>
      </c>
      <c r="J9" s="39" t="s">
        <v>222</v>
      </c>
      <c r="K9" s="36">
        <v>8072.26</v>
      </c>
      <c r="L9" s="49" t="s">
        <v>200</v>
      </c>
      <c r="M9" s="29">
        <v>0</v>
      </c>
      <c r="N9" s="30"/>
    </row>
    <row r="10" spans="1:14" ht="15.75" thickBot="1" x14ac:dyDescent="0.3">
      <c r="A10" s="18">
        <v>42772</v>
      </c>
      <c r="B10" s="34">
        <v>70249</v>
      </c>
      <c r="C10" s="48" t="s">
        <v>201</v>
      </c>
      <c r="D10" s="21">
        <v>42772</v>
      </c>
      <c r="E10" s="35">
        <v>74374.5</v>
      </c>
      <c r="F10" s="23"/>
      <c r="G10" s="24">
        <v>42772</v>
      </c>
      <c r="H10" s="37">
        <v>0</v>
      </c>
      <c r="I10" s="51" t="s">
        <v>227</v>
      </c>
      <c r="J10" s="39" t="s">
        <v>223</v>
      </c>
      <c r="K10" s="36">
        <v>9586.5400000000009</v>
      </c>
      <c r="L10" s="28" t="s">
        <v>202</v>
      </c>
      <c r="M10" s="29">
        <v>0</v>
      </c>
      <c r="N10" s="45"/>
    </row>
    <row r="11" spans="1:14" ht="15.75" thickBot="1" x14ac:dyDescent="0.3">
      <c r="A11" s="18">
        <v>42773</v>
      </c>
      <c r="B11" s="34">
        <v>26480</v>
      </c>
      <c r="C11" s="48" t="s">
        <v>204</v>
      </c>
      <c r="D11" s="21">
        <v>42773</v>
      </c>
      <c r="E11" s="35">
        <v>26397</v>
      </c>
      <c r="F11" s="23"/>
      <c r="G11" s="24">
        <v>42773</v>
      </c>
      <c r="H11" s="37">
        <v>0</v>
      </c>
      <c r="I11" s="38" t="s">
        <v>241</v>
      </c>
      <c r="J11" s="39" t="s">
        <v>224</v>
      </c>
      <c r="K11" s="36">
        <v>8891.2999999999993</v>
      </c>
      <c r="L11" s="28" t="s">
        <v>205</v>
      </c>
      <c r="M11" s="29">
        <v>0</v>
      </c>
      <c r="N11" s="30"/>
    </row>
    <row r="12" spans="1:14" ht="15.75" thickBot="1" x14ac:dyDescent="0.3">
      <c r="A12" s="18">
        <v>42774</v>
      </c>
      <c r="B12" s="34">
        <v>47245</v>
      </c>
      <c r="C12" s="48" t="s">
        <v>204</v>
      </c>
      <c r="D12" s="21">
        <v>42774</v>
      </c>
      <c r="E12" s="35">
        <v>47245</v>
      </c>
      <c r="F12" s="23"/>
      <c r="G12" s="24">
        <v>42774</v>
      </c>
      <c r="H12" s="37">
        <v>0</v>
      </c>
      <c r="I12" s="38" t="s">
        <v>275</v>
      </c>
      <c r="J12" s="39" t="s">
        <v>225</v>
      </c>
      <c r="K12" s="36">
        <v>8891.2999999999993</v>
      </c>
      <c r="L12" s="28" t="s">
        <v>206</v>
      </c>
      <c r="M12" s="29">
        <v>0</v>
      </c>
      <c r="N12" s="30"/>
    </row>
    <row r="13" spans="1:14" ht="15.75" thickBot="1" x14ac:dyDescent="0.3">
      <c r="A13" s="18">
        <v>42775</v>
      </c>
      <c r="B13" s="34">
        <v>63902.5</v>
      </c>
      <c r="C13" s="48" t="s">
        <v>207</v>
      </c>
      <c r="D13" s="21">
        <v>42775</v>
      </c>
      <c r="E13" s="35">
        <v>46407.5</v>
      </c>
      <c r="F13" s="23"/>
      <c r="G13" s="24">
        <v>42775</v>
      </c>
      <c r="H13" s="37">
        <v>0</v>
      </c>
      <c r="I13" s="38"/>
      <c r="J13" s="52"/>
      <c r="K13" s="40">
        <v>0</v>
      </c>
      <c r="L13" s="28" t="s">
        <v>208</v>
      </c>
      <c r="M13" s="29">
        <v>0</v>
      </c>
      <c r="N13" s="45"/>
    </row>
    <row r="14" spans="1:14" ht="15.75" thickBot="1" x14ac:dyDescent="0.3">
      <c r="A14" s="18">
        <v>42776</v>
      </c>
      <c r="B14" s="34">
        <v>40417.5</v>
      </c>
      <c r="C14" s="50" t="s">
        <v>209</v>
      </c>
      <c r="D14" s="21">
        <v>42776</v>
      </c>
      <c r="E14" s="35">
        <v>43893.5</v>
      </c>
      <c r="F14" s="23"/>
      <c r="G14" s="24">
        <v>42776</v>
      </c>
      <c r="H14" s="37">
        <v>10</v>
      </c>
      <c r="I14" s="38"/>
      <c r="J14" s="53"/>
      <c r="K14" s="40">
        <v>0</v>
      </c>
      <c r="L14" s="28" t="s">
        <v>210</v>
      </c>
      <c r="M14" s="29">
        <v>0</v>
      </c>
      <c r="N14" s="45"/>
    </row>
    <row r="15" spans="1:14" ht="15.75" thickBot="1" x14ac:dyDescent="0.3">
      <c r="A15" s="18">
        <v>42777</v>
      </c>
      <c r="B15" s="34">
        <v>74702.5</v>
      </c>
      <c r="C15" s="50" t="s">
        <v>211</v>
      </c>
      <c r="D15" s="21">
        <v>42777</v>
      </c>
      <c r="E15" s="35">
        <v>74735.5</v>
      </c>
      <c r="F15" s="23"/>
      <c r="G15" s="24">
        <v>42777</v>
      </c>
      <c r="H15" s="37">
        <v>0</v>
      </c>
      <c r="I15" s="38"/>
      <c r="J15" s="52" t="s">
        <v>44</v>
      </c>
      <c r="K15" s="40">
        <v>0</v>
      </c>
      <c r="L15" s="28" t="s">
        <v>212</v>
      </c>
      <c r="M15" s="29">
        <v>0</v>
      </c>
      <c r="N15" s="45"/>
    </row>
    <row r="16" spans="1:14" ht="15.75" thickBot="1" x14ac:dyDescent="0.3">
      <c r="A16" s="18">
        <v>42778</v>
      </c>
      <c r="B16" s="34">
        <v>56815.5</v>
      </c>
      <c r="C16" s="50" t="s">
        <v>228</v>
      </c>
      <c r="D16" s="21">
        <v>42778</v>
      </c>
      <c r="E16" s="35">
        <v>56815.5</v>
      </c>
      <c r="F16" s="23"/>
      <c r="G16" s="24">
        <v>42778</v>
      </c>
      <c r="H16" s="37">
        <v>0</v>
      </c>
      <c r="I16" s="38"/>
      <c r="J16" s="54"/>
      <c r="K16" s="55">
        <v>0</v>
      </c>
      <c r="L16" s="28" t="s">
        <v>229</v>
      </c>
      <c r="M16" s="29">
        <v>0</v>
      </c>
      <c r="N16" s="45"/>
    </row>
    <row r="17" spans="1:14" ht="15.75" thickBot="1" x14ac:dyDescent="0.3">
      <c r="A17" s="18">
        <v>42779</v>
      </c>
      <c r="B17" s="34">
        <v>64645.5</v>
      </c>
      <c r="C17" s="50" t="s">
        <v>231</v>
      </c>
      <c r="D17" s="21">
        <v>42779</v>
      </c>
      <c r="E17" s="35">
        <v>64645.5</v>
      </c>
      <c r="F17" s="23"/>
      <c r="G17" s="24">
        <v>42779</v>
      </c>
      <c r="H17" s="37">
        <v>0</v>
      </c>
      <c r="I17" s="38"/>
      <c r="J17" s="483" t="s">
        <v>49</v>
      </c>
      <c r="K17" s="55">
        <v>0</v>
      </c>
      <c r="L17" s="28" t="s">
        <v>230</v>
      </c>
      <c r="M17" s="29">
        <v>0</v>
      </c>
      <c r="N17" s="45"/>
    </row>
    <row r="18" spans="1:14" ht="15.75" thickBot="1" x14ac:dyDescent="0.3">
      <c r="A18" s="18">
        <v>42780</v>
      </c>
      <c r="B18" s="34">
        <v>24745</v>
      </c>
      <c r="C18" s="48" t="s">
        <v>232</v>
      </c>
      <c r="D18" s="21">
        <v>42780</v>
      </c>
      <c r="E18" s="35">
        <v>24745</v>
      </c>
      <c r="F18" s="23"/>
      <c r="G18" s="24">
        <v>42780</v>
      </c>
      <c r="H18" s="37">
        <v>0</v>
      </c>
      <c r="I18" s="56"/>
      <c r="J18" s="483"/>
      <c r="K18" s="29">
        <v>0</v>
      </c>
      <c r="L18" s="28" t="s">
        <v>233</v>
      </c>
      <c r="M18" s="29">
        <v>0</v>
      </c>
      <c r="N18" s="45"/>
    </row>
    <row r="19" spans="1:14" ht="15.75" thickBot="1" x14ac:dyDescent="0.3">
      <c r="A19" s="18">
        <v>42781</v>
      </c>
      <c r="B19" s="34">
        <v>36960</v>
      </c>
      <c r="C19" s="50" t="s">
        <v>232</v>
      </c>
      <c r="D19" s="21">
        <v>42781</v>
      </c>
      <c r="E19" s="35">
        <v>39960</v>
      </c>
      <c r="F19" s="23"/>
      <c r="G19" s="24">
        <v>42781</v>
      </c>
      <c r="H19" s="37">
        <v>0</v>
      </c>
      <c r="I19" s="38"/>
      <c r="J19" s="52" t="s">
        <v>54</v>
      </c>
      <c r="K19" s="29">
        <v>0</v>
      </c>
      <c r="L19" s="28" t="s">
        <v>234</v>
      </c>
      <c r="M19" s="29">
        <v>0</v>
      </c>
      <c r="N19" s="45"/>
    </row>
    <row r="20" spans="1:14" ht="15.75" thickBot="1" x14ac:dyDescent="0.3">
      <c r="A20" s="18">
        <v>42782</v>
      </c>
      <c r="B20" s="34">
        <v>39118</v>
      </c>
      <c r="C20" s="57" t="s">
        <v>236</v>
      </c>
      <c r="D20" s="21">
        <v>42782</v>
      </c>
      <c r="E20" s="35">
        <v>49346.5</v>
      </c>
      <c r="F20" s="23"/>
      <c r="G20" s="24">
        <v>42782</v>
      </c>
      <c r="H20" s="37">
        <v>0</v>
      </c>
      <c r="I20" s="58"/>
      <c r="J20" s="59" t="s">
        <v>57</v>
      </c>
      <c r="K20" s="60">
        <v>0</v>
      </c>
      <c r="L20" s="28" t="s">
        <v>235</v>
      </c>
      <c r="M20" s="29">
        <v>0</v>
      </c>
      <c r="N20" s="45"/>
    </row>
    <row r="21" spans="1:14" ht="15.75" thickBot="1" x14ac:dyDescent="0.3">
      <c r="A21" s="18">
        <v>42783</v>
      </c>
      <c r="B21" s="34">
        <v>29971.5</v>
      </c>
      <c r="C21" s="57" t="s">
        <v>238</v>
      </c>
      <c r="D21" s="21">
        <v>42783</v>
      </c>
      <c r="E21" s="35">
        <v>39735.5</v>
      </c>
      <c r="F21" s="23"/>
      <c r="G21" s="24">
        <v>42783</v>
      </c>
      <c r="H21" s="37">
        <v>0</v>
      </c>
      <c r="I21" s="38"/>
      <c r="J21" s="61"/>
      <c r="K21" s="60">
        <v>0</v>
      </c>
      <c r="L21" s="28" t="s">
        <v>237</v>
      </c>
      <c r="M21" s="29">
        <v>0</v>
      </c>
      <c r="N21" s="45"/>
    </row>
    <row r="22" spans="1:14" ht="15.75" thickBot="1" x14ac:dyDescent="0.3">
      <c r="A22" s="18">
        <v>42784</v>
      </c>
      <c r="B22" s="34">
        <v>82840.5</v>
      </c>
      <c r="C22" s="50" t="s">
        <v>240</v>
      </c>
      <c r="D22" s="21">
        <v>42784</v>
      </c>
      <c r="E22" s="35">
        <v>73076.5</v>
      </c>
      <c r="F22" s="23"/>
      <c r="G22" s="24">
        <v>42784</v>
      </c>
      <c r="H22" s="37">
        <v>0</v>
      </c>
      <c r="I22" s="58"/>
      <c r="J22" s="62"/>
      <c r="K22" s="60">
        <v>0</v>
      </c>
      <c r="L22" s="28" t="s">
        <v>239</v>
      </c>
      <c r="M22" s="29">
        <v>0</v>
      </c>
      <c r="N22" s="45"/>
    </row>
    <row r="23" spans="1:14" ht="15.75" thickBot="1" x14ac:dyDescent="0.3">
      <c r="A23" s="18">
        <v>42785</v>
      </c>
      <c r="B23" s="34">
        <v>90903.5</v>
      </c>
      <c r="C23" s="50" t="s">
        <v>243</v>
      </c>
      <c r="D23" s="21">
        <v>42785</v>
      </c>
      <c r="E23" s="35">
        <v>104335</v>
      </c>
      <c r="F23" s="23"/>
      <c r="G23" s="24">
        <v>42785</v>
      </c>
      <c r="H23" s="37">
        <v>0</v>
      </c>
      <c r="I23" s="38"/>
      <c r="J23" s="63"/>
      <c r="K23" s="60">
        <v>0</v>
      </c>
      <c r="L23" s="28" t="s">
        <v>242</v>
      </c>
      <c r="M23" s="29">
        <v>0</v>
      </c>
      <c r="N23" s="45"/>
    </row>
    <row r="24" spans="1:14" ht="15.75" thickBot="1" x14ac:dyDescent="0.3">
      <c r="A24" s="18">
        <v>42786</v>
      </c>
      <c r="B24" s="34">
        <v>44629</v>
      </c>
      <c r="C24" s="50" t="s">
        <v>247</v>
      </c>
      <c r="D24" s="21">
        <v>42786</v>
      </c>
      <c r="E24" s="35">
        <v>37238</v>
      </c>
      <c r="F24" s="23"/>
      <c r="G24" s="24">
        <v>42786</v>
      </c>
      <c r="H24" s="37">
        <v>0</v>
      </c>
      <c r="I24" s="38"/>
      <c r="J24" s="64" t="s">
        <v>66</v>
      </c>
      <c r="K24" s="60">
        <v>870</v>
      </c>
      <c r="L24" s="28" t="s">
        <v>246</v>
      </c>
      <c r="M24" s="29">
        <v>0</v>
      </c>
      <c r="N24" s="45"/>
    </row>
    <row r="25" spans="1:14" ht="15.75" thickBot="1" x14ac:dyDescent="0.3">
      <c r="A25" s="18">
        <v>42787</v>
      </c>
      <c r="B25" s="34">
        <v>31982.5</v>
      </c>
      <c r="C25" s="57" t="s">
        <v>255</v>
      </c>
      <c r="D25" s="21">
        <v>42787</v>
      </c>
      <c r="E25" s="35">
        <v>38207.5</v>
      </c>
      <c r="F25" s="23"/>
      <c r="G25" s="24">
        <v>42787</v>
      </c>
      <c r="H25" s="37">
        <v>0</v>
      </c>
      <c r="I25" s="38"/>
      <c r="J25" s="68">
        <v>42770</v>
      </c>
      <c r="K25" s="60">
        <v>0</v>
      </c>
      <c r="L25" s="28" t="s">
        <v>254</v>
      </c>
      <c r="M25" s="29">
        <v>0</v>
      </c>
      <c r="N25" s="45"/>
    </row>
    <row r="26" spans="1:14" ht="15.75" thickBot="1" x14ac:dyDescent="0.3">
      <c r="A26" s="18">
        <v>42788</v>
      </c>
      <c r="B26" s="34">
        <v>30063</v>
      </c>
      <c r="C26" s="50" t="s">
        <v>257</v>
      </c>
      <c r="D26" s="21">
        <v>42788</v>
      </c>
      <c r="E26" s="35">
        <v>30063</v>
      </c>
      <c r="F26" s="23"/>
      <c r="G26" s="24">
        <v>42788</v>
      </c>
      <c r="H26" s="37">
        <v>0</v>
      </c>
      <c r="I26" s="38"/>
      <c r="J26" s="70" t="s">
        <v>73</v>
      </c>
      <c r="K26" s="60">
        <v>900</v>
      </c>
      <c r="L26" s="28" t="s">
        <v>256</v>
      </c>
      <c r="M26" s="29">
        <v>0</v>
      </c>
      <c r="N26" s="45"/>
    </row>
    <row r="27" spans="1:14" ht="15.75" thickBot="1" x14ac:dyDescent="0.3">
      <c r="A27" s="18">
        <v>42789</v>
      </c>
      <c r="B27" s="34">
        <v>60678</v>
      </c>
      <c r="C27" s="50" t="s">
        <v>259</v>
      </c>
      <c r="D27" s="21">
        <v>42789</v>
      </c>
      <c r="E27" s="35">
        <v>60678</v>
      </c>
      <c r="F27" s="23"/>
      <c r="G27" s="24">
        <v>42789</v>
      </c>
      <c r="H27" s="37">
        <v>0</v>
      </c>
      <c r="I27" s="38"/>
      <c r="J27" s="73" t="s">
        <v>276</v>
      </c>
      <c r="K27" s="60">
        <v>0</v>
      </c>
      <c r="L27" s="28" t="s">
        <v>258</v>
      </c>
      <c r="M27" s="29">
        <v>0</v>
      </c>
    </row>
    <row r="28" spans="1:14" ht="15.75" thickBot="1" x14ac:dyDescent="0.3">
      <c r="A28" s="18">
        <v>42790</v>
      </c>
      <c r="B28" s="34">
        <v>72839</v>
      </c>
      <c r="C28" s="50" t="s">
        <v>261</v>
      </c>
      <c r="D28" s="21">
        <v>42790</v>
      </c>
      <c r="E28" s="35">
        <v>72839</v>
      </c>
      <c r="F28" s="23"/>
      <c r="G28" s="24">
        <v>42790</v>
      </c>
      <c r="H28" s="37">
        <v>0</v>
      </c>
      <c r="I28" s="38"/>
      <c r="J28" s="70" t="s">
        <v>80</v>
      </c>
      <c r="K28" s="60">
        <v>0</v>
      </c>
      <c r="L28" s="75" t="s">
        <v>260</v>
      </c>
      <c r="M28" s="29">
        <v>0</v>
      </c>
    </row>
    <row r="29" spans="1:14" ht="15.75" thickBot="1" x14ac:dyDescent="0.3">
      <c r="A29" s="18">
        <v>42791</v>
      </c>
      <c r="B29" s="34">
        <v>86336</v>
      </c>
      <c r="C29" s="50" t="s">
        <v>263</v>
      </c>
      <c r="D29" s="21">
        <v>42791</v>
      </c>
      <c r="E29" s="35">
        <v>86336</v>
      </c>
      <c r="F29" s="23"/>
      <c r="G29" s="24">
        <v>42791</v>
      </c>
      <c r="H29" s="37">
        <v>0</v>
      </c>
      <c r="I29" s="38"/>
      <c r="J29" s="68"/>
      <c r="K29" s="60">
        <v>0</v>
      </c>
      <c r="L29" s="28" t="s">
        <v>262</v>
      </c>
      <c r="M29" s="29">
        <v>0</v>
      </c>
    </row>
    <row r="30" spans="1:14" ht="15.75" thickBot="1" x14ac:dyDescent="0.3">
      <c r="A30" s="18">
        <v>42792</v>
      </c>
      <c r="B30" s="34">
        <v>111350.5</v>
      </c>
      <c r="C30" s="20" t="s">
        <v>265</v>
      </c>
      <c r="D30" s="21">
        <v>42792</v>
      </c>
      <c r="E30" s="35">
        <v>90396</v>
      </c>
      <c r="F30" s="23"/>
      <c r="G30" s="24">
        <v>42792</v>
      </c>
      <c r="H30" s="37">
        <v>0</v>
      </c>
      <c r="I30" s="38"/>
      <c r="J30" s="76" t="s">
        <v>82</v>
      </c>
      <c r="K30" s="60">
        <v>0</v>
      </c>
      <c r="L30" s="75" t="s">
        <v>264</v>
      </c>
      <c r="M30" s="29">
        <v>0</v>
      </c>
    </row>
    <row r="31" spans="1:14" ht="15.75" thickBot="1" x14ac:dyDescent="0.3">
      <c r="A31" s="18">
        <v>42793</v>
      </c>
      <c r="B31" s="34">
        <v>67697</v>
      </c>
      <c r="C31" s="20" t="s">
        <v>271</v>
      </c>
      <c r="D31" s="21">
        <v>42793</v>
      </c>
      <c r="E31" s="35">
        <v>68597</v>
      </c>
      <c r="F31" s="23"/>
      <c r="G31" s="24">
        <v>42793</v>
      </c>
      <c r="H31" s="37">
        <v>0</v>
      </c>
      <c r="I31" s="38"/>
      <c r="J31" s="77"/>
      <c r="K31" s="60">
        <v>0</v>
      </c>
      <c r="L31" s="75" t="s">
        <v>272</v>
      </c>
      <c r="M31" s="29">
        <v>0</v>
      </c>
    </row>
    <row r="32" spans="1:14" ht="15.75" thickBot="1" x14ac:dyDescent="0.3">
      <c r="A32" s="18">
        <v>42794</v>
      </c>
      <c r="B32" s="34">
        <v>38137.5</v>
      </c>
      <c r="C32" s="20" t="s">
        <v>273</v>
      </c>
      <c r="D32" s="21">
        <v>42794</v>
      </c>
      <c r="E32" s="35">
        <v>38137.5</v>
      </c>
      <c r="F32" s="23"/>
      <c r="G32" s="24">
        <v>42794</v>
      </c>
      <c r="H32" s="37">
        <v>0</v>
      </c>
      <c r="I32" s="38"/>
      <c r="J32" s="76"/>
      <c r="K32" s="40"/>
      <c r="L32" s="28" t="s">
        <v>274</v>
      </c>
      <c r="M32" s="29">
        <v>0</v>
      </c>
    </row>
    <row r="33" spans="1:13" ht="15.75" thickBot="1" x14ac:dyDescent="0.3">
      <c r="A33" s="18"/>
      <c r="B33" s="34"/>
      <c r="C33" s="48"/>
      <c r="D33" s="21"/>
      <c r="E33" s="35"/>
      <c r="F33" s="23"/>
      <c r="G33" s="24"/>
      <c r="H33" s="37"/>
      <c r="I33" s="38"/>
      <c r="J33" s="190"/>
      <c r="K33" s="191"/>
      <c r="L33" s="28"/>
      <c r="M33" s="29">
        <v>0</v>
      </c>
    </row>
    <row r="34" spans="1:13" ht="15.75" thickBot="1" x14ac:dyDescent="0.3">
      <c r="A34" s="18"/>
      <c r="B34" s="34"/>
      <c r="C34" s="57"/>
      <c r="D34" s="21"/>
      <c r="E34" s="35"/>
      <c r="F34" s="23"/>
      <c r="G34" s="24"/>
      <c r="H34" s="37"/>
      <c r="I34" s="38"/>
      <c r="J34" s="190"/>
      <c r="K34" s="191"/>
      <c r="L34" s="80"/>
      <c r="M34" s="29">
        <v>0</v>
      </c>
    </row>
    <row r="35" spans="1:13" ht="15.75" thickBot="1" x14ac:dyDescent="0.3">
      <c r="A35" s="18"/>
      <c r="B35" s="34"/>
      <c r="C35" s="20"/>
      <c r="D35" s="21"/>
      <c r="E35" s="35"/>
      <c r="F35" s="23"/>
      <c r="G35" s="24"/>
      <c r="H35" s="37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1581415</v>
      </c>
      <c r="D38" s="100" t="s">
        <v>85</v>
      </c>
      <c r="E38" s="101">
        <f>SUM(E5:E37)</f>
        <v>1585892.35</v>
      </c>
      <c r="G38" s="188" t="s">
        <v>85</v>
      </c>
      <c r="H38" s="4">
        <f>SUM(H5:H37)</f>
        <v>10</v>
      </c>
      <c r="I38" s="4"/>
      <c r="J38" s="102" t="s">
        <v>85</v>
      </c>
      <c r="K38" s="103">
        <f t="shared" ref="K38" si="0">SUM(K5:K37)</f>
        <v>66560.400000000009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479" t="s">
        <v>86</v>
      </c>
      <c r="H40" s="480"/>
      <c r="I40" s="189"/>
      <c r="J40" s="481">
        <f>H38+K38</f>
        <v>66570.400000000009</v>
      </c>
      <c r="K40" s="482"/>
      <c r="L40" s="108"/>
      <c r="M40" s="108"/>
    </row>
    <row r="41" spans="1:13" ht="15.75" x14ac:dyDescent="0.25">
      <c r="A41" s="1"/>
      <c r="B41" s="5"/>
      <c r="C41" s="501" t="s">
        <v>87</v>
      </c>
      <c r="D41" s="501"/>
      <c r="E41" s="109">
        <f>E38-J40</f>
        <v>1519321.9500000002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-1416944.23</v>
      </c>
      <c r="H43" s="500"/>
      <c r="I43" s="500"/>
      <c r="J43" s="500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102377.7200000002</v>
      </c>
      <c r="H44" s="502" t="s">
        <v>91</v>
      </c>
      <c r="I44" s="502"/>
      <c r="J44" s="503">
        <f>E46</f>
        <v>217328.10000000021</v>
      </c>
      <c r="K44" s="504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114950.38</v>
      </c>
      <c r="H45" s="505" t="s">
        <v>3</v>
      </c>
      <c r="I45" s="505"/>
      <c r="J45" s="490">
        <v>-203155.73</v>
      </c>
      <c r="K45" s="490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217328.10000000021</v>
      </c>
      <c r="I46" s="116"/>
      <c r="J46" s="495">
        <v>0</v>
      </c>
      <c r="K46" s="495"/>
      <c r="L46" s="108"/>
      <c r="M46" s="108"/>
    </row>
    <row r="47" spans="1:13" ht="19.5" thickBot="1" x14ac:dyDescent="0.3">
      <c r="A47" s="1"/>
      <c r="B47" s="5"/>
      <c r="E47" s="109"/>
      <c r="H47" s="496" t="s">
        <v>94</v>
      </c>
      <c r="I47" s="497"/>
      <c r="J47" s="498">
        <f>SUM(J44:K46)</f>
        <v>14172.370000000199</v>
      </c>
      <c r="K47" s="499"/>
      <c r="L47" s="108"/>
      <c r="M47" s="108"/>
    </row>
    <row r="48" spans="1:13" x14ac:dyDescent="0.25">
      <c r="A48" s="1"/>
      <c r="B48" s="5"/>
      <c r="C48" s="500"/>
      <c r="D48" s="500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G2:I2"/>
    <mergeCell ref="J2:K2"/>
    <mergeCell ref="A3:A4"/>
    <mergeCell ref="D4:E4"/>
    <mergeCell ref="H4:K4"/>
  </mergeCells>
  <pageMargins left="0.7086614173228347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topLeftCell="A15" workbookViewId="0">
      <selection activeCell="F31" sqref="F31"/>
    </sheetView>
  </sheetViews>
  <sheetFormatPr baseColWidth="10" defaultRowHeight="15" x14ac:dyDescent="0.25"/>
  <cols>
    <col min="3" max="3" width="16" customWidth="1"/>
    <col min="5" max="5" width="14.140625" bestFit="1" customWidth="1"/>
    <col min="6" max="6" width="14.5703125" customWidth="1"/>
    <col min="10" max="10" width="15.5703125" bestFit="1" customWidth="1"/>
    <col min="12" max="12" width="14.140625" bestFit="1" customWidth="1"/>
    <col min="15" max="15" width="14.140625" bestFit="1" customWidth="1"/>
    <col min="20" max="20" width="12.5703125" bestFit="1" customWidth="1"/>
    <col min="22" max="22" width="15" customWidth="1"/>
    <col min="25" max="25" width="12.5703125" bestFit="1" customWidth="1"/>
  </cols>
  <sheetData>
    <row r="1" spans="1:26" ht="19.5" thickBot="1" x14ac:dyDescent="0.35">
      <c r="A1" s="1"/>
      <c r="B1" s="118"/>
      <c r="C1" s="506" t="s">
        <v>95</v>
      </c>
      <c r="D1" s="507"/>
      <c r="E1" s="508"/>
      <c r="F1" s="119"/>
      <c r="I1">
        <v>23579</v>
      </c>
      <c r="J1" s="119">
        <v>32299</v>
      </c>
      <c r="K1" s="128"/>
      <c r="L1" s="150">
        <v>42780</v>
      </c>
      <c r="M1" s="151"/>
      <c r="N1" s="152" t="s">
        <v>141</v>
      </c>
      <c r="O1" s="38"/>
      <c r="P1" s="23"/>
      <c r="T1" s="119"/>
      <c r="U1" s="193"/>
      <c r="V1" s="194">
        <v>42791</v>
      </c>
      <c r="W1" s="151"/>
      <c r="X1" s="152" t="s">
        <v>141</v>
      </c>
      <c r="Y1" s="38"/>
      <c r="Z1" s="23"/>
    </row>
    <row r="2" spans="1:26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23575</v>
      </c>
      <c r="J2" s="45">
        <f>306.5+10206</f>
        <v>10512.5</v>
      </c>
      <c r="K2" s="154"/>
      <c r="L2" s="155"/>
      <c r="M2" s="155"/>
      <c r="N2" s="156"/>
      <c r="O2" s="157"/>
      <c r="P2" s="158"/>
      <c r="T2" s="45">
        <v>38959</v>
      </c>
      <c r="U2" s="154" t="s">
        <v>213</v>
      </c>
      <c r="V2" s="155"/>
      <c r="W2" s="155"/>
      <c r="X2" s="156"/>
      <c r="Y2" s="157"/>
      <c r="Z2" s="158"/>
    </row>
    <row r="3" spans="1:26" ht="15.75" x14ac:dyDescent="0.25">
      <c r="A3" s="125">
        <v>42768</v>
      </c>
      <c r="B3" s="126" t="s">
        <v>162</v>
      </c>
      <c r="C3" s="127">
        <v>50020.97</v>
      </c>
      <c r="D3" s="128">
        <v>42780</v>
      </c>
      <c r="E3" s="127">
        <v>50020.97</v>
      </c>
      <c r="F3" s="129">
        <f t="shared" ref="F3:F27" si="0">C3-E3</f>
        <v>0</v>
      </c>
      <c r="J3" s="45">
        <f>5563+465+27920</f>
        <v>33948</v>
      </c>
      <c r="K3" s="132" t="s">
        <v>129</v>
      </c>
      <c r="L3" s="133">
        <v>8298.7000000000007</v>
      </c>
      <c r="M3" s="159" t="s">
        <v>143</v>
      </c>
      <c r="N3" s="160">
        <v>3378358</v>
      </c>
      <c r="O3" s="161">
        <v>23374.5</v>
      </c>
      <c r="P3" s="162">
        <v>42761</v>
      </c>
      <c r="T3" s="45">
        <f>17856.5+15863.5</f>
        <v>33720</v>
      </c>
      <c r="U3" s="132" t="s">
        <v>217</v>
      </c>
      <c r="V3" s="133">
        <v>5091.22</v>
      </c>
      <c r="W3" s="159" t="s">
        <v>175</v>
      </c>
      <c r="X3" s="160">
        <v>3461654</v>
      </c>
      <c r="Y3" s="161">
        <v>56815.5</v>
      </c>
      <c r="Z3" s="162">
        <v>42778</v>
      </c>
    </row>
    <row r="4" spans="1:26" ht="15.75" x14ac:dyDescent="0.25">
      <c r="A4" s="131">
        <v>42768</v>
      </c>
      <c r="B4" s="132" t="s">
        <v>163</v>
      </c>
      <c r="C4" s="133">
        <v>32251.42</v>
      </c>
      <c r="D4" s="128">
        <v>42780</v>
      </c>
      <c r="E4" s="133">
        <v>32251.42</v>
      </c>
      <c r="F4" s="134">
        <f t="shared" si="0"/>
        <v>0</v>
      </c>
      <c r="J4" s="45">
        <v>7924</v>
      </c>
      <c r="K4" s="132" t="s">
        <v>130</v>
      </c>
      <c r="L4" s="133">
        <v>7924.05</v>
      </c>
      <c r="M4" s="159"/>
      <c r="N4" s="160">
        <v>3378356</v>
      </c>
      <c r="O4" s="161">
        <v>25000</v>
      </c>
      <c r="P4" s="162">
        <v>42761</v>
      </c>
      <c r="T4" s="45">
        <f>48782+24745+36960+27662</f>
        <v>138149</v>
      </c>
      <c r="U4" s="132" t="s">
        <v>219</v>
      </c>
      <c r="V4" s="133">
        <v>138148.79999999999</v>
      </c>
      <c r="W4" s="159"/>
      <c r="X4" s="160">
        <v>3461656</v>
      </c>
      <c r="Y4" s="161">
        <v>45000</v>
      </c>
      <c r="Z4" s="162">
        <v>42779</v>
      </c>
    </row>
    <row r="5" spans="1:26" ht="15.75" x14ac:dyDescent="0.25">
      <c r="A5" s="131">
        <v>42768</v>
      </c>
      <c r="B5" s="132" t="s">
        <v>164</v>
      </c>
      <c r="C5" s="133">
        <v>33226.44</v>
      </c>
      <c r="D5" s="128">
        <v>42780</v>
      </c>
      <c r="E5" s="133">
        <v>33226.44</v>
      </c>
      <c r="F5" s="134">
        <f t="shared" si="0"/>
        <v>0</v>
      </c>
      <c r="J5" s="45">
        <f>31851.5+199.5+1407.5</f>
        <v>33458.5</v>
      </c>
      <c r="K5" s="132" t="s">
        <v>131</v>
      </c>
      <c r="L5" s="133">
        <v>33458.400000000001</v>
      </c>
      <c r="M5" s="163"/>
      <c r="N5" s="160">
        <v>3378360</v>
      </c>
      <c r="O5" s="161">
        <v>13160.5</v>
      </c>
      <c r="P5" s="162">
        <v>42762</v>
      </c>
      <c r="T5" s="45">
        <f>11456+26996</f>
        <v>38452</v>
      </c>
      <c r="U5" s="132" t="s">
        <v>220</v>
      </c>
      <c r="V5" s="133">
        <v>38451.9</v>
      </c>
      <c r="W5" s="163"/>
      <c r="X5" s="160">
        <v>3461657</v>
      </c>
      <c r="Y5" s="161">
        <v>19645.5</v>
      </c>
      <c r="Z5" s="162">
        <v>42779</v>
      </c>
    </row>
    <row r="6" spans="1:26" ht="15.75" x14ac:dyDescent="0.25">
      <c r="A6" s="131">
        <v>42769</v>
      </c>
      <c r="B6" s="132" t="s">
        <v>165</v>
      </c>
      <c r="C6" s="133">
        <v>36482.800000000003</v>
      </c>
      <c r="D6" s="128">
        <v>42780</v>
      </c>
      <c r="E6" s="133">
        <v>36482.800000000003</v>
      </c>
      <c r="F6" s="135">
        <f t="shared" si="0"/>
        <v>0</v>
      </c>
      <c r="J6" s="45">
        <v>33800.5</v>
      </c>
      <c r="K6" s="132" t="s">
        <v>132</v>
      </c>
      <c r="L6" s="133">
        <v>33800.400000000001</v>
      </c>
      <c r="M6" s="164"/>
      <c r="N6" s="160">
        <v>3378359</v>
      </c>
      <c r="O6" s="161">
        <v>55000</v>
      </c>
      <c r="P6" s="162">
        <v>42762</v>
      </c>
      <c r="T6" s="45">
        <f>2975.5+9764+73076.5+50061.5</f>
        <v>135877.5</v>
      </c>
      <c r="U6" s="132" t="s">
        <v>221</v>
      </c>
      <c r="V6" s="133">
        <v>135877.34</v>
      </c>
      <c r="W6" s="164"/>
      <c r="X6" s="160">
        <v>3461658</v>
      </c>
      <c r="Y6" s="161">
        <v>18000</v>
      </c>
      <c r="Z6" s="162">
        <v>42780</v>
      </c>
    </row>
    <row r="7" spans="1:26" ht="15.75" x14ac:dyDescent="0.25">
      <c r="A7" s="131">
        <v>42770</v>
      </c>
      <c r="B7" s="132" t="s">
        <v>166</v>
      </c>
      <c r="C7" s="133">
        <v>33387.839999999997</v>
      </c>
      <c r="D7" s="128">
        <v>42780</v>
      </c>
      <c r="E7" s="133">
        <v>33387.839999999997</v>
      </c>
      <c r="F7" s="135">
        <f t="shared" si="0"/>
        <v>0</v>
      </c>
      <c r="J7" s="45">
        <v>32886</v>
      </c>
      <c r="K7" s="132" t="s">
        <v>133</v>
      </c>
      <c r="L7" s="133">
        <v>32886</v>
      </c>
      <c r="M7" s="163"/>
      <c r="N7" s="160">
        <v>3378361</v>
      </c>
      <c r="O7" s="161">
        <v>65000</v>
      </c>
      <c r="P7" s="162">
        <v>42763</v>
      </c>
      <c r="T7" s="45">
        <f>40842+7391+25584.35</f>
        <v>73817.350000000006</v>
      </c>
      <c r="U7" s="132" t="s">
        <v>244</v>
      </c>
      <c r="V7" s="133">
        <v>73817.52</v>
      </c>
      <c r="W7" s="163"/>
      <c r="X7" s="160">
        <v>3461659</v>
      </c>
      <c r="Y7" s="161">
        <v>6745</v>
      </c>
      <c r="Z7" s="162">
        <v>42780</v>
      </c>
    </row>
    <row r="8" spans="1:26" ht="15.75" x14ac:dyDescent="0.25">
      <c r="A8" s="131">
        <v>42770</v>
      </c>
      <c r="B8" s="132" t="s">
        <v>167</v>
      </c>
      <c r="C8" s="133">
        <v>34350.959999999999</v>
      </c>
      <c r="D8" s="128">
        <v>42780</v>
      </c>
      <c r="E8" s="133">
        <v>34350.959999999999</v>
      </c>
      <c r="F8" s="135">
        <f t="shared" si="0"/>
        <v>0</v>
      </c>
      <c r="J8" s="45">
        <f>24328.5+929+22757.5</f>
        <v>48015</v>
      </c>
      <c r="K8" s="132" t="s">
        <v>134</v>
      </c>
      <c r="L8" s="133">
        <v>48015</v>
      </c>
      <c r="M8" s="163"/>
      <c r="N8" s="160" t="s">
        <v>154</v>
      </c>
      <c r="O8" s="161">
        <v>14000</v>
      </c>
      <c r="P8" s="162">
        <v>42763</v>
      </c>
      <c r="T8" s="45">
        <f>2053.5+9600</f>
        <v>11653.5</v>
      </c>
      <c r="U8" s="132" t="s">
        <v>245</v>
      </c>
      <c r="V8" s="133">
        <v>2053.4</v>
      </c>
      <c r="W8" s="163"/>
      <c r="X8" s="160">
        <v>3461660</v>
      </c>
      <c r="Y8" s="161">
        <v>20000</v>
      </c>
      <c r="Z8" s="162">
        <v>42781</v>
      </c>
    </row>
    <row r="9" spans="1:26" ht="15.75" x14ac:dyDescent="0.25">
      <c r="A9" s="131">
        <v>42772</v>
      </c>
      <c r="B9" s="132" t="s">
        <v>168</v>
      </c>
      <c r="C9" s="133">
        <v>33633.050000000003</v>
      </c>
      <c r="D9" s="128">
        <v>42780</v>
      </c>
      <c r="E9" s="133">
        <v>33633.050000000003</v>
      </c>
      <c r="F9" s="135">
        <f t="shared" si="0"/>
        <v>0</v>
      </c>
      <c r="J9" s="45">
        <v>38152</v>
      </c>
      <c r="K9" s="132" t="s">
        <v>135</v>
      </c>
      <c r="L9" s="133">
        <v>38152</v>
      </c>
      <c r="M9" s="165"/>
      <c r="N9" s="160">
        <v>3378362</v>
      </c>
      <c r="O9" s="161">
        <v>13622</v>
      </c>
      <c r="P9" s="162">
        <v>42763</v>
      </c>
      <c r="T9" s="45"/>
      <c r="U9" s="132" t="s">
        <v>248</v>
      </c>
      <c r="V9" s="133">
        <v>36578.46</v>
      </c>
      <c r="W9" s="165"/>
      <c r="X9" s="160">
        <v>3461661</v>
      </c>
      <c r="Y9" s="161">
        <v>16960</v>
      </c>
      <c r="Z9" s="162">
        <v>42781</v>
      </c>
    </row>
    <row r="10" spans="1:26" ht="15.75" x14ac:dyDescent="0.25">
      <c r="A10" s="131">
        <v>42770</v>
      </c>
      <c r="B10" s="132" t="s">
        <v>169</v>
      </c>
      <c r="C10" s="133">
        <v>36940</v>
      </c>
      <c r="D10" s="128">
        <v>42780</v>
      </c>
      <c r="E10" s="133">
        <v>36940</v>
      </c>
      <c r="F10" s="135">
        <f t="shared" si="0"/>
        <v>0</v>
      </c>
      <c r="J10" s="45">
        <f>25023+11477.5</f>
        <v>36500.5</v>
      </c>
      <c r="K10" s="132" t="s">
        <v>136</v>
      </c>
      <c r="L10" s="133">
        <v>36500.519999999997</v>
      </c>
      <c r="M10" s="163"/>
      <c r="N10" s="160">
        <v>3378364</v>
      </c>
      <c r="O10" s="166">
        <v>16861.5</v>
      </c>
      <c r="P10" s="167">
        <v>42764</v>
      </c>
      <c r="T10" s="45"/>
      <c r="U10" s="132" t="s">
        <v>249</v>
      </c>
      <c r="V10" s="133">
        <v>36651.620000000003</v>
      </c>
      <c r="W10" s="163"/>
      <c r="X10" s="160">
        <v>3461662</v>
      </c>
      <c r="Y10" s="166">
        <v>20000</v>
      </c>
      <c r="Z10" s="167">
        <v>42782</v>
      </c>
    </row>
    <row r="11" spans="1:26" ht="15.75" x14ac:dyDescent="0.25">
      <c r="A11" s="131">
        <v>42772</v>
      </c>
      <c r="B11" s="132" t="s">
        <v>203</v>
      </c>
      <c r="C11" s="133">
        <v>26612.99</v>
      </c>
      <c r="D11" s="128">
        <v>42780</v>
      </c>
      <c r="E11" s="133">
        <v>26612.99</v>
      </c>
      <c r="F11" s="135">
        <f t="shared" si="0"/>
        <v>0</v>
      </c>
      <c r="J11" s="45">
        <v>33640</v>
      </c>
      <c r="K11" s="132" t="s">
        <v>137</v>
      </c>
      <c r="L11" s="133">
        <v>33639.879999999997</v>
      </c>
      <c r="M11" s="168"/>
      <c r="N11" s="160">
        <v>3378363</v>
      </c>
      <c r="O11" s="148">
        <v>70000</v>
      </c>
      <c r="P11" s="167">
        <v>42764</v>
      </c>
      <c r="T11" s="45"/>
      <c r="U11" s="132" t="s">
        <v>250</v>
      </c>
      <c r="V11" s="133">
        <v>3958.24</v>
      </c>
      <c r="W11" s="168" t="s">
        <v>159</v>
      </c>
      <c r="X11" s="160">
        <v>3461663</v>
      </c>
      <c r="Y11" s="148">
        <v>19118</v>
      </c>
      <c r="Z11" s="167">
        <v>42782</v>
      </c>
    </row>
    <row r="12" spans="1:26" ht="15.75" x14ac:dyDescent="0.25">
      <c r="A12" s="131">
        <v>42774</v>
      </c>
      <c r="B12" s="132" t="s">
        <v>170</v>
      </c>
      <c r="C12" s="133">
        <v>84339.54</v>
      </c>
      <c r="D12" s="128">
        <v>42780</v>
      </c>
      <c r="E12" s="133">
        <v>84339.54</v>
      </c>
      <c r="F12" s="135">
        <f t="shared" si="0"/>
        <v>0</v>
      </c>
      <c r="J12" s="45">
        <v>2061</v>
      </c>
      <c r="K12" s="132" t="s">
        <v>138</v>
      </c>
      <c r="L12" s="133">
        <v>2060.8000000000002</v>
      </c>
      <c r="M12" s="168"/>
      <c r="N12" s="160">
        <v>3378365</v>
      </c>
      <c r="O12" s="161">
        <v>50000</v>
      </c>
      <c r="P12" s="162">
        <v>42765</v>
      </c>
      <c r="T12" s="45">
        <v>0</v>
      </c>
      <c r="U12" s="132"/>
      <c r="V12" s="133"/>
      <c r="W12" s="168"/>
      <c r="X12" s="160">
        <v>3461664</v>
      </c>
      <c r="Y12" s="161">
        <v>17000</v>
      </c>
      <c r="Z12" s="162">
        <v>42783</v>
      </c>
    </row>
    <row r="13" spans="1:26" ht="15.75" x14ac:dyDescent="0.25">
      <c r="A13" s="131">
        <v>42775</v>
      </c>
      <c r="B13" s="132" t="s">
        <v>171</v>
      </c>
      <c r="C13" s="133">
        <v>104137.5</v>
      </c>
      <c r="D13" s="128">
        <v>42780</v>
      </c>
      <c r="E13" s="133">
        <v>104137.5</v>
      </c>
      <c r="F13" s="135">
        <f t="shared" si="0"/>
        <v>0</v>
      </c>
      <c r="J13" s="45">
        <f>8040.5+11609+660+27081</f>
        <v>47390.5</v>
      </c>
      <c r="K13" s="132" t="s">
        <v>139</v>
      </c>
      <c r="L13" s="133">
        <v>47390.45</v>
      </c>
      <c r="M13" s="168"/>
      <c r="N13" s="160" t="s">
        <v>154</v>
      </c>
      <c r="O13" s="161">
        <v>5219</v>
      </c>
      <c r="P13" s="162">
        <v>42766</v>
      </c>
      <c r="T13" s="45">
        <v>0</v>
      </c>
      <c r="U13" s="132"/>
      <c r="V13" s="133"/>
      <c r="W13" s="168"/>
      <c r="X13" s="160">
        <v>3461665</v>
      </c>
      <c r="Y13" s="161">
        <v>12971.5</v>
      </c>
      <c r="Z13" s="162">
        <v>42783</v>
      </c>
    </row>
    <row r="14" spans="1:26" ht="15.75" x14ac:dyDescent="0.25">
      <c r="A14" s="131">
        <v>42776</v>
      </c>
      <c r="B14" s="132" t="s">
        <v>213</v>
      </c>
      <c r="C14" s="133">
        <v>112073.3</v>
      </c>
      <c r="D14" s="128">
        <v>42780</v>
      </c>
      <c r="E14" s="133">
        <v>112073.3</v>
      </c>
      <c r="F14" s="135">
        <f t="shared" si="0"/>
        <v>0</v>
      </c>
      <c r="J14" s="45">
        <f>1683+832+33297</f>
        <v>35812</v>
      </c>
      <c r="K14" s="132" t="s">
        <v>140</v>
      </c>
      <c r="L14" s="133">
        <v>35811.800000000003</v>
      </c>
      <c r="M14" s="168"/>
      <c r="N14" s="160">
        <v>3378110</v>
      </c>
      <c r="O14" s="161">
        <v>11609</v>
      </c>
      <c r="P14" s="162">
        <v>42763</v>
      </c>
      <c r="T14" s="45">
        <v>0</v>
      </c>
      <c r="U14" s="132"/>
      <c r="V14" s="133"/>
      <c r="W14" s="168"/>
      <c r="X14" s="160">
        <v>3461666</v>
      </c>
      <c r="Y14" s="161">
        <v>55000</v>
      </c>
      <c r="Z14" s="162">
        <v>42784</v>
      </c>
    </row>
    <row r="15" spans="1:26" ht="15.75" x14ac:dyDescent="0.25">
      <c r="A15" s="131">
        <v>42776</v>
      </c>
      <c r="B15" s="132" t="s">
        <v>217</v>
      </c>
      <c r="C15" s="133">
        <v>33719.760000000002</v>
      </c>
      <c r="D15" s="211" t="s">
        <v>251</v>
      </c>
      <c r="E15" s="133">
        <f>28628.54+5091.22</f>
        <v>33719.760000000002</v>
      </c>
      <c r="F15" s="135">
        <f t="shared" si="0"/>
        <v>0</v>
      </c>
      <c r="J15" s="45">
        <f>21163+406.5+28451.5</f>
        <v>50021</v>
      </c>
      <c r="K15" s="206" t="s">
        <v>162</v>
      </c>
      <c r="L15" s="127">
        <v>50020.97</v>
      </c>
      <c r="M15" s="168"/>
      <c r="N15" s="160" t="s">
        <v>154</v>
      </c>
      <c r="O15" s="161">
        <v>20000</v>
      </c>
      <c r="P15" s="162">
        <v>42766</v>
      </c>
      <c r="T15" s="45">
        <v>0</v>
      </c>
      <c r="U15" s="132"/>
      <c r="V15" s="133"/>
      <c r="W15" s="168"/>
      <c r="X15" s="160" t="s">
        <v>154</v>
      </c>
      <c r="Y15" s="161">
        <v>18000</v>
      </c>
      <c r="Z15" s="162">
        <v>42786</v>
      </c>
    </row>
    <row r="16" spans="1:26" ht="15.75" x14ac:dyDescent="0.25">
      <c r="A16" s="131">
        <v>42782</v>
      </c>
      <c r="B16" s="132" t="s">
        <v>219</v>
      </c>
      <c r="C16" s="133">
        <v>138148.79999999999</v>
      </c>
      <c r="D16" s="128">
        <v>42791</v>
      </c>
      <c r="E16" s="133">
        <v>138148.79999999999</v>
      </c>
      <c r="F16" s="135">
        <f t="shared" si="0"/>
        <v>0</v>
      </c>
      <c r="J16" s="45">
        <f>19954+296+12001.5</f>
        <v>32251.5</v>
      </c>
      <c r="K16" s="132" t="s">
        <v>163</v>
      </c>
      <c r="L16" s="133">
        <v>32251.42</v>
      </c>
      <c r="M16" s="168"/>
      <c r="N16" s="160">
        <v>3378366</v>
      </c>
      <c r="O16" s="161">
        <v>9424</v>
      </c>
      <c r="P16" s="162">
        <v>42766</v>
      </c>
      <c r="T16" s="45">
        <v>0</v>
      </c>
      <c r="U16" s="169"/>
      <c r="V16" s="139"/>
      <c r="W16" s="168"/>
      <c r="X16" s="160">
        <v>3461667</v>
      </c>
      <c r="Y16" s="161">
        <v>9840.5</v>
      </c>
      <c r="Z16" s="162">
        <v>42784</v>
      </c>
    </row>
    <row r="17" spans="1:26" ht="15.75" x14ac:dyDescent="0.25">
      <c r="A17" s="131">
        <v>42783</v>
      </c>
      <c r="B17" s="132" t="s">
        <v>220</v>
      </c>
      <c r="C17" s="133">
        <v>38451.9</v>
      </c>
      <c r="D17" s="128">
        <v>42791</v>
      </c>
      <c r="E17" s="133">
        <v>38451.9</v>
      </c>
      <c r="F17" s="135">
        <f t="shared" si="0"/>
        <v>0</v>
      </c>
      <c r="J17" s="45">
        <f>32339+13</f>
        <v>32352</v>
      </c>
      <c r="K17" s="132" t="s">
        <v>164</v>
      </c>
      <c r="L17" s="133">
        <v>33226.44</v>
      </c>
      <c r="M17" s="171"/>
      <c r="N17" s="160">
        <v>3378367</v>
      </c>
      <c r="O17" s="161">
        <v>25000</v>
      </c>
      <c r="P17" s="162">
        <v>42767</v>
      </c>
      <c r="T17" s="45">
        <v>0</v>
      </c>
      <c r="U17" s="195"/>
      <c r="V17" s="196"/>
      <c r="W17" s="197"/>
      <c r="X17" s="198">
        <v>3461668</v>
      </c>
      <c r="Y17" s="148">
        <v>50000</v>
      </c>
      <c r="Z17" s="167">
        <v>42785</v>
      </c>
    </row>
    <row r="18" spans="1:26" ht="15.75" x14ac:dyDescent="0.25">
      <c r="A18" s="131">
        <v>42784</v>
      </c>
      <c r="B18" s="132" t="s">
        <v>221</v>
      </c>
      <c r="C18" s="133">
        <v>135877.34</v>
      </c>
      <c r="D18" s="128">
        <v>42791</v>
      </c>
      <c r="E18" s="133">
        <v>135877.34</v>
      </c>
      <c r="F18" s="135">
        <f t="shared" si="0"/>
        <v>0</v>
      </c>
      <c r="J18" s="45">
        <v>36483</v>
      </c>
      <c r="K18" s="132" t="s">
        <v>165</v>
      </c>
      <c r="L18" s="133">
        <v>36482.800000000003</v>
      </c>
      <c r="M18" s="168"/>
      <c r="N18" s="160">
        <v>3378368</v>
      </c>
      <c r="O18" s="161">
        <v>30292</v>
      </c>
      <c r="P18" s="162">
        <v>42767</v>
      </c>
      <c r="U18" s="209"/>
      <c r="V18" s="209"/>
      <c r="W18" s="209"/>
      <c r="X18" s="210">
        <v>3461669</v>
      </c>
      <c r="Y18" s="139">
        <v>40903.5</v>
      </c>
      <c r="Z18" s="167">
        <v>42785</v>
      </c>
    </row>
    <row r="19" spans="1:26" ht="15.75" x14ac:dyDescent="0.25">
      <c r="A19" s="131">
        <v>42786</v>
      </c>
      <c r="B19" s="132" t="s">
        <v>244</v>
      </c>
      <c r="C19" s="133">
        <v>73817.52</v>
      </c>
      <c r="D19" s="128">
        <v>42791</v>
      </c>
      <c r="E19" s="133">
        <v>73817.52</v>
      </c>
      <c r="F19" s="135">
        <f t="shared" si="0"/>
        <v>0</v>
      </c>
      <c r="J19" s="45">
        <v>33388</v>
      </c>
      <c r="K19" s="132" t="s">
        <v>166</v>
      </c>
      <c r="L19" s="133">
        <v>33387.839999999997</v>
      </c>
      <c r="M19" s="172"/>
      <c r="N19" s="160">
        <v>3378369</v>
      </c>
      <c r="O19" s="161">
        <v>30000</v>
      </c>
      <c r="P19" s="162">
        <v>42768</v>
      </c>
      <c r="U19" s="209"/>
      <c r="V19" s="209"/>
      <c r="W19" s="209"/>
      <c r="X19" s="210">
        <v>3461671</v>
      </c>
      <c r="Y19" s="139">
        <v>32000</v>
      </c>
      <c r="Z19" s="167">
        <v>42786</v>
      </c>
    </row>
    <row r="20" spans="1:26" ht="16.5" thickBot="1" x14ac:dyDescent="0.3">
      <c r="A20" s="131">
        <v>42787</v>
      </c>
      <c r="B20" s="132" t="s">
        <v>245</v>
      </c>
      <c r="C20" s="133">
        <v>2053.4</v>
      </c>
      <c r="D20" s="128">
        <v>42791</v>
      </c>
      <c r="E20" s="133">
        <v>2053.4</v>
      </c>
      <c r="F20" s="135">
        <f t="shared" si="0"/>
        <v>0</v>
      </c>
      <c r="J20" s="45">
        <f>5083+29268</f>
        <v>34351</v>
      </c>
      <c r="K20" s="132" t="s">
        <v>167</v>
      </c>
      <c r="L20" s="133">
        <v>34350.959999999999</v>
      </c>
      <c r="M20" s="128"/>
      <c r="N20" s="173">
        <v>3378370</v>
      </c>
      <c r="O20" s="135">
        <v>18812</v>
      </c>
      <c r="P20" s="162">
        <v>42768</v>
      </c>
      <c r="T20" s="179">
        <v>0</v>
      </c>
      <c r="U20" s="199"/>
      <c r="V20" s="200">
        <v>0</v>
      </c>
      <c r="W20" s="182"/>
      <c r="X20" s="183">
        <v>3461670</v>
      </c>
      <c r="Y20" s="201">
        <v>12629</v>
      </c>
      <c r="Z20" s="167">
        <v>42786</v>
      </c>
    </row>
    <row r="21" spans="1:26" ht="16.5" thickTop="1" x14ac:dyDescent="0.25">
      <c r="A21" s="131">
        <v>42788</v>
      </c>
      <c r="B21" s="132" t="s">
        <v>248</v>
      </c>
      <c r="C21" s="133">
        <v>36578.46</v>
      </c>
      <c r="D21" s="128">
        <v>42791</v>
      </c>
      <c r="E21" s="133">
        <v>36578.46</v>
      </c>
      <c r="F21" s="135">
        <f t="shared" si="0"/>
        <v>0</v>
      </c>
      <c r="J21" s="45">
        <v>33633.050000000003</v>
      </c>
      <c r="K21" s="132" t="s">
        <v>168</v>
      </c>
      <c r="L21" s="133">
        <v>33633.050000000003</v>
      </c>
      <c r="M21" s="128"/>
      <c r="N21" s="173">
        <v>3378371</v>
      </c>
      <c r="O21" s="135">
        <v>35000</v>
      </c>
      <c r="P21" s="162">
        <v>42769</v>
      </c>
      <c r="T21" s="38">
        <f>SUM(T1:T20)</f>
        <v>470628.35</v>
      </c>
      <c r="U21" s="130"/>
      <c r="V21" s="108">
        <f>SUM(V3:V20)</f>
        <v>470628.50000000006</v>
      </c>
      <c r="W21" s="186"/>
      <c r="X21" s="187"/>
      <c r="Y21" s="38">
        <f>SUM(Y3:Y20)</f>
        <v>470628.5</v>
      </c>
      <c r="Z21" s="128"/>
    </row>
    <row r="22" spans="1:26" ht="15.75" x14ac:dyDescent="0.25">
      <c r="A22" s="131">
        <v>42789</v>
      </c>
      <c r="B22" s="132" t="s">
        <v>249</v>
      </c>
      <c r="C22" s="133">
        <v>36651.620000000003</v>
      </c>
      <c r="D22" s="128">
        <v>42791</v>
      </c>
      <c r="E22" s="133">
        <v>36651.620000000003</v>
      </c>
      <c r="F22" s="135">
        <f>C22-E22</f>
        <v>0</v>
      </c>
      <c r="J22" s="45">
        <f>35731+1209</f>
        <v>36940</v>
      </c>
      <c r="K22" s="132" t="s">
        <v>169</v>
      </c>
      <c r="L22" s="133">
        <v>36940</v>
      </c>
      <c r="M22" s="172"/>
      <c r="N22" s="160">
        <v>3378372</v>
      </c>
      <c r="O22" s="161">
        <v>9636.5</v>
      </c>
      <c r="P22" s="162">
        <v>42769</v>
      </c>
    </row>
    <row r="23" spans="1:26" ht="15.75" x14ac:dyDescent="0.25">
      <c r="A23" s="131">
        <v>42790</v>
      </c>
      <c r="B23" s="132" t="s">
        <v>252</v>
      </c>
      <c r="C23" s="133">
        <v>4560</v>
      </c>
      <c r="D23" s="279">
        <v>42807</v>
      </c>
      <c r="E23" s="280">
        <v>4560</v>
      </c>
      <c r="F23" s="135">
        <f>C23-E23</f>
        <v>0</v>
      </c>
      <c r="J23" s="45">
        <f>8844+546+25934+47245+1770.5</f>
        <v>84339.5</v>
      </c>
      <c r="K23" s="132" t="s">
        <v>170</v>
      </c>
      <c r="L23" s="133">
        <v>84339.54</v>
      </c>
      <c r="M23" s="172"/>
      <c r="N23" s="160">
        <v>3378373</v>
      </c>
      <c r="O23" s="161">
        <v>60000</v>
      </c>
      <c r="P23" s="162">
        <v>42770</v>
      </c>
    </row>
    <row r="24" spans="1:26" ht="15" customHeight="1" x14ac:dyDescent="0.25">
      <c r="A24" s="131">
        <v>42791</v>
      </c>
      <c r="B24" s="132" t="s">
        <v>250</v>
      </c>
      <c r="C24" s="133">
        <v>166502.74</v>
      </c>
      <c r="D24" s="137" t="s">
        <v>299</v>
      </c>
      <c r="E24" s="138">
        <f>3958.24+162544.5</f>
        <v>166502.74</v>
      </c>
      <c r="F24" s="135">
        <f>C24-E24</f>
        <v>0</v>
      </c>
      <c r="J24" s="45">
        <f>17495+44637+40417.5+1588</f>
        <v>104137.5</v>
      </c>
      <c r="K24" s="132" t="s">
        <v>171</v>
      </c>
      <c r="L24" s="133">
        <v>104137.5</v>
      </c>
      <c r="M24" s="172"/>
      <c r="N24" s="160">
        <v>3378374</v>
      </c>
      <c r="O24" s="161">
        <v>14967</v>
      </c>
      <c r="P24" s="162">
        <v>42770</v>
      </c>
    </row>
    <row r="25" spans="1:26" ht="27" customHeight="1" x14ac:dyDescent="0.25">
      <c r="A25" s="131">
        <v>42792</v>
      </c>
      <c r="B25" s="132" t="s">
        <v>253</v>
      </c>
      <c r="C25" s="133">
        <v>95578.18</v>
      </c>
      <c r="D25" s="279">
        <v>42807</v>
      </c>
      <c r="E25" s="280">
        <v>95578.18</v>
      </c>
      <c r="F25" s="135">
        <f t="shared" si="0"/>
        <v>0</v>
      </c>
      <c r="J25" s="45">
        <v>26613</v>
      </c>
      <c r="K25" s="207" t="s">
        <v>203</v>
      </c>
      <c r="L25" s="133">
        <v>26612.99</v>
      </c>
      <c r="M25" s="172" t="s">
        <v>216</v>
      </c>
      <c r="N25" s="160">
        <v>3378375</v>
      </c>
      <c r="O25" s="161">
        <v>64999</v>
      </c>
      <c r="P25" s="162">
        <v>42771</v>
      </c>
      <c r="T25" s="119"/>
      <c r="U25" s="193"/>
      <c r="Z25" s="23"/>
    </row>
    <row r="26" spans="1:26" ht="29.25" customHeight="1" thickBot="1" x14ac:dyDescent="0.3">
      <c r="A26" s="218">
        <v>42794</v>
      </c>
      <c r="B26" s="207" t="s">
        <v>268</v>
      </c>
      <c r="C26" s="219">
        <v>37547.699999999997</v>
      </c>
      <c r="D26" s="279">
        <v>42818</v>
      </c>
      <c r="E26" s="280">
        <v>37547.699999999997</v>
      </c>
      <c r="F26" s="135">
        <f t="shared" si="0"/>
        <v>0</v>
      </c>
      <c r="G26" s="286" t="s">
        <v>303</v>
      </c>
      <c r="J26" s="45">
        <v>73114.5</v>
      </c>
      <c r="K26" s="207" t="s">
        <v>213</v>
      </c>
      <c r="L26" s="133">
        <v>112073.3</v>
      </c>
      <c r="M26" s="172" t="s">
        <v>215</v>
      </c>
      <c r="N26" s="160">
        <v>3378377</v>
      </c>
      <c r="O26" s="161">
        <v>58500</v>
      </c>
      <c r="P26" s="162">
        <v>42772</v>
      </c>
      <c r="S26">
        <v>2113</v>
      </c>
      <c r="T26" s="45">
        <f>5004+30063+1584.5</f>
        <v>36651.5</v>
      </c>
      <c r="U26" s="154"/>
      <c r="V26" s="215">
        <v>42798</v>
      </c>
      <c r="W26" s="216"/>
      <c r="X26" s="217" t="s">
        <v>141</v>
      </c>
      <c r="Y26" s="111"/>
      <c r="Z26" s="158"/>
    </row>
    <row r="27" spans="1:26" ht="33.75" customHeight="1" thickTop="1" thickBot="1" x14ac:dyDescent="0.3">
      <c r="A27" s="261"/>
      <c r="B27" s="262"/>
      <c r="C27" s="181">
        <v>0</v>
      </c>
      <c r="D27" s="263"/>
      <c r="E27" s="181"/>
      <c r="F27" s="264">
        <f t="shared" si="0"/>
        <v>0</v>
      </c>
      <c r="J27" s="45"/>
      <c r="K27" s="208" t="s">
        <v>217</v>
      </c>
      <c r="L27" s="139">
        <v>28628.54</v>
      </c>
      <c r="M27" s="172" t="s">
        <v>214</v>
      </c>
      <c r="N27" s="160">
        <v>3378378</v>
      </c>
      <c r="O27" s="161">
        <v>11799</v>
      </c>
      <c r="P27" s="162">
        <v>42772</v>
      </c>
      <c r="S27">
        <v>2055</v>
      </c>
      <c r="T27" s="45">
        <v>26978.5</v>
      </c>
      <c r="U27" s="126"/>
      <c r="V27" s="127"/>
      <c r="W27" s="214"/>
      <c r="X27" s="160"/>
      <c r="Y27" s="161"/>
      <c r="Z27" s="162"/>
    </row>
    <row r="28" spans="1:26" ht="16.5" thickTop="1" x14ac:dyDescent="0.25">
      <c r="A28" s="255"/>
      <c r="B28" s="256"/>
      <c r="C28" s="108">
        <f>SUM(C3:C27)</f>
        <v>1416944.23</v>
      </c>
      <c r="D28" s="128"/>
      <c r="E28" s="257">
        <f>SUM(E3:E27)</f>
        <v>1416944.23</v>
      </c>
      <c r="F28" s="257">
        <f>SUM(F3:F27)</f>
        <v>0</v>
      </c>
      <c r="J28" s="45"/>
      <c r="K28" s="174"/>
      <c r="L28" s="139"/>
      <c r="M28" s="172"/>
      <c r="N28" s="160">
        <v>3378380</v>
      </c>
      <c r="O28" s="161">
        <v>9480</v>
      </c>
      <c r="P28" s="162">
        <v>42773</v>
      </c>
      <c r="T28" s="45">
        <v>4560</v>
      </c>
      <c r="U28" s="132" t="s">
        <v>252</v>
      </c>
      <c r="V28" s="133">
        <v>4560</v>
      </c>
      <c r="W28" s="159"/>
      <c r="X28" s="160" t="s">
        <v>154</v>
      </c>
      <c r="Y28" s="161">
        <v>13000</v>
      </c>
      <c r="Z28" s="162">
        <v>42787</v>
      </c>
    </row>
    <row r="29" spans="1:26" ht="15.75" x14ac:dyDescent="0.25">
      <c r="A29" s="255"/>
      <c r="B29" s="256"/>
      <c r="C29" s="108"/>
      <c r="D29" s="128"/>
      <c r="E29" s="108"/>
      <c r="F29" s="257"/>
      <c r="J29" s="45"/>
      <c r="K29" s="174"/>
      <c r="L29" s="139"/>
      <c r="M29" s="172"/>
      <c r="N29" s="160">
        <v>3378379</v>
      </c>
      <c r="O29" s="161">
        <v>17000</v>
      </c>
      <c r="P29" s="162">
        <v>42773</v>
      </c>
      <c r="T29" s="45">
        <f>54533.5+72839+39130.5</f>
        <v>166503</v>
      </c>
      <c r="U29" s="132" t="s">
        <v>250</v>
      </c>
      <c r="V29" s="133">
        <v>162544.5</v>
      </c>
      <c r="W29" s="163" t="s">
        <v>143</v>
      </c>
      <c r="X29" s="160">
        <v>3461672</v>
      </c>
      <c r="Y29" s="161">
        <v>18982.5</v>
      </c>
      <c r="Z29" s="162">
        <v>42787</v>
      </c>
    </row>
    <row r="30" spans="1:26" ht="15.75" x14ac:dyDescent="0.25">
      <c r="A30" s="255"/>
      <c r="B30" s="256"/>
      <c r="C30" s="108"/>
      <c r="D30" s="128"/>
      <c r="E30" s="108"/>
      <c r="F30" s="257"/>
      <c r="J30" s="45"/>
      <c r="K30" s="175"/>
      <c r="L30" s="127"/>
      <c r="M30" s="172"/>
      <c r="N30" s="160">
        <v>3378381</v>
      </c>
      <c r="O30" s="161">
        <v>27000</v>
      </c>
      <c r="P30" s="162">
        <v>42774</v>
      </c>
      <c r="T30" s="45">
        <f>47205.5+25927+22445.5</f>
        <v>95578</v>
      </c>
      <c r="U30" s="132" t="s">
        <v>253</v>
      </c>
      <c r="V30" s="133">
        <v>95578.18</v>
      </c>
      <c r="W30" s="164"/>
      <c r="X30" s="160">
        <v>3461673</v>
      </c>
      <c r="Y30" s="161">
        <v>18500</v>
      </c>
      <c r="Z30" s="162">
        <v>42788</v>
      </c>
    </row>
    <row r="31" spans="1:26" ht="30" x14ac:dyDescent="0.25">
      <c r="A31" s="255"/>
      <c r="B31" s="256"/>
      <c r="C31" s="108"/>
      <c r="D31" s="128"/>
      <c r="E31" s="258"/>
      <c r="F31" s="257"/>
      <c r="J31" s="45"/>
      <c r="K31" s="176"/>
      <c r="L31" s="133"/>
      <c r="M31" s="172"/>
      <c r="N31" s="160">
        <v>3378382</v>
      </c>
      <c r="O31" s="161">
        <v>20245</v>
      </c>
      <c r="P31" s="162">
        <v>42774</v>
      </c>
      <c r="T31" s="45">
        <v>37547.5</v>
      </c>
      <c r="U31" s="207" t="s">
        <v>268</v>
      </c>
      <c r="V31" s="219">
        <v>37547.699999999997</v>
      </c>
      <c r="W31" s="220" t="s">
        <v>269</v>
      </c>
      <c r="X31" s="160">
        <v>3461674</v>
      </c>
      <c r="Y31" s="161">
        <v>11563</v>
      </c>
      <c r="Z31" s="162">
        <v>42788</v>
      </c>
    </row>
    <row r="32" spans="1:26" ht="15.75" x14ac:dyDescent="0.25">
      <c r="A32" s="255"/>
      <c r="B32" s="256"/>
      <c r="C32" s="108"/>
      <c r="D32" s="137"/>
      <c r="E32" s="258"/>
      <c r="F32" s="257"/>
      <c r="J32" s="45"/>
      <c r="K32" s="177"/>
      <c r="L32" s="178"/>
      <c r="M32" s="172"/>
      <c r="N32" s="160">
        <v>3378393</v>
      </c>
      <c r="O32" s="161">
        <v>25000</v>
      </c>
      <c r="P32" s="162">
        <v>42775</v>
      </c>
      <c r="T32" s="153">
        <v>25430.5</v>
      </c>
      <c r="U32" s="227" t="s">
        <v>266</v>
      </c>
      <c r="V32" s="228">
        <v>61281</v>
      </c>
      <c r="W32" s="229"/>
      <c r="X32" s="230">
        <v>3461675</v>
      </c>
      <c r="Y32" s="231">
        <v>25000</v>
      </c>
      <c r="Z32" s="232">
        <v>42789</v>
      </c>
    </row>
    <row r="33" spans="1:26" ht="15.75" x14ac:dyDescent="0.25">
      <c r="A33" s="255"/>
      <c r="B33" s="256"/>
      <c r="C33" s="108"/>
      <c r="D33" s="128"/>
      <c r="E33" s="108"/>
      <c r="F33" s="257"/>
      <c r="J33" s="45"/>
      <c r="K33" s="177"/>
      <c r="L33" s="178"/>
      <c r="M33" s="172"/>
      <c r="N33" s="160">
        <v>3378385</v>
      </c>
      <c r="O33" s="161">
        <v>21870.5</v>
      </c>
      <c r="P33" s="162">
        <v>42775</v>
      </c>
      <c r="T33" s="153"/>
      <c r="U33" s="221" t="s">
        <v>267</v>
      </c>
      <c r="V33" s="222">
        <v>31276.32</v>
      </c>
      <c r="W33" s="233"/>
      <c r="X33" s="230">
        <v>3461676</v>
      </c>
      <c r="Y33" s="231">
        <v>35678</v>
      </c>
      <c r="Z33" s="232">
        <v>42789</v>
      </c>
    </row>
    <row r="34" spans="1:26" ht="15.75" x14ac:dyDescent="0.25">
      <c r="A34" s="255"/>
      <c r="B34" s="256"/>
      <c r="C34" s="108"/>
      <c r="D34" s="128"/>
      <c r="E34" s="108"/>
      <c r="F34" s="257"/>
      <c r="J34" s="45"/>
      <c r="K34" s="177"/>
      <c r="L34" s="178"/>
      <c r="M34" s="172"/>
      <c r="N34" s="160" t="s">
        <v>154</v>
      </c>
      <c r="O34" s="161">
        <v>12956</v>
      </c>
      <c r="P34" s="162">
        <v>42773</v>
      </c>
      <c r="T34" s="153"/>
      <c r="U34" s="221"/>
      <c r="V34" s="222"/>
      <c r="W34" s="229"/>
      <c r="X34" s="230">
        <v>3461677</v>
      </c>
      <c r="Y34" s="234">
        <v>35000</v>
      </c>
      <c r="Z34" s="235">
        <v>42790</v>
      </c>
    </row>
    <row r="35" spans="1:26" ht="15.75" x14ac:dyDescent="0.25">
      <c r="A35" s="255"/>
      <c r="B35" s="256"/>
      <c r="C35" s="108"/>
      <c r="D35" s="128"/>
      <c r="E35" s="108"/>
      <c r="F35" s="257"/>
      <c r="J35" s="45"/>
      <c r="K35" s="177"/>
      <c r="L35" s="178"/>
      <c r="M35" s="172"/>
      <c r="N35" s="160" t="s">
        <v>154</v>
      </c>
      <c r="O35" s="161">
        <v>4076</v>
      </c>
      <c r="P35" s="162">
        <v>42775</v>
      </c>
      <c r="T35" s="153"/>
      <c r="U35" s="221"/>
      <c r="V35" s="222"/>
      <c r="W35" s="236"/>
      <c r="X35" s="230">
        <v>3461678</v>
      </c>
      <c r="Y35" s="237">
        <v>37839</v>
      </c>
      <c r="Z35" s="235">
        <v>42790</v>
      </c>
    </row>
    <row r="36" spans="1:26" ht="15.75" x14ac:dyDescent="0.25">
      <c r="A36" s="255"/>
      <c r="B36" s="256"/>
      <c r="C36" s="108"/>
      <c r="D36" s="137"/>
      <c r="E36" s="258"/>
      <c r="F36" s="257"/>
      <c r="J36" s="45"/>
      <c r="K36" s="177"/>
      <c r="L36" s="178"/>
      <c r="M36" s="172"/>
      <c r="N36" s="160">
        <v>3378384</v>
      </c>
      <c r="O36" s="161">
        <v>29000</v>
      </c>
      <c r="P36" s="162">
        <v>42776</v>
      </c>
      <c r="T36" s="153"/>
      <c r="U36" s="221"/>
      <c r="V36" s="222"/>
      <c r="W36" s="236"/>
      <c r="X36" s="230">
        <v>3461679</v>
      </c>
      <c r="Y36" s="231">
        <v>50000</v>
      </c>
      <c r="Z36" s="232">
        <v>42791</v>
      </c>
    </row>
    <row r="37" spans="1:26" ht="15.75" x14ac:dyDescent="0.25">
      <c r="A37" s="255"/>
      <c r="B37" s="256"/>
      <c r="C37" s="108"/>
      <c r="D37" s="137"/>
      <c r="E37" s="258"/>
      <c r="F37" s="257"/>
      <c r="J37" s="45"/>
      <c r="K37" s="177"/>
      <c r="L37" s="178"/>
      <c r="M37" s="172"/>
      <c r="N37" s="160">
        <v>3461651</v>
      </c>
      <c r="O37" s="161">
        <v>11417.35</v>
      </c>
      <c r="P37" s="162">
        <v>42776</v>
      </c>
      <c r="T37" s="153">
        <v>0</v>
      </c>
      <c r="U37" s="221"/>
      <c r="V37" s="222"/>
      <c r="W37" s="236"/>
      <c r="X37" s="230">
        <v>3461680</v>
      </c>
      <c r="Y37" s="231">
        <v>36336</v>
      </c>
      <c r="Z37" s="232">
        <v>42791</v>
      </c>
    </row>
    <row r="38" spans="1:26" ht="15.75" x14ac:dyDescent="0.25">
      <c r="A38" s="255"/>
      <c r="B38" s="256"/>
      <c r="C38" s="108"/>
      <c r="D38" s="137"/>
      <c r="E38" s="258"/>
      <c r="F38" s="257"/>
      <c r="J38" s="45"/>
      <c r="K38" s="177"/>
      <c r="L38" s="178"/>
      <c r="M38" s="172"/>
      <c r="N38" s="160">
        <v>3461652</v>
      </c>
      <c r="O38" s="161">
        <v>45000</v>
      </c>
      <c r="P38" s="162">
        <v>42777</v>
      </c>
      <c r="T38" s="153">
        <v>0</v>
      </c>
      <c r="U38" s="221"/>
      <c r="V38" s="222"/>
      <c r="W38" s="236"/>
      <c r="X38" s="230">
        <v>3461681</v>
      </c>
      <c r="Y38" s="231">
        <v>40000</v>
      </c>
      <c r="Z38" s="232">
        <v>42792</v>
      </c>
    </row>
    <row r="39" spans="1:26" ht="15.75" x14ac:dyDescent="0.25">
      <c r="A39" s="255"/>
      <c r="B39" s="256"/>
      <c r="C39" s="108"/>
      <c r="D39" s="137"/>
      <c r="E39" s="258"/>
      <c r="F39" s="257"/>
      <c r="J39" s="45"/>
      <c r="K39" s="177"/>
      <c r="L39" s="178"/>
      <c r="M39" s="172"/>
      <c r="N39" s="160">
        <v>3461653</v>
      </c>
      <c r="O39" s="161">
        <v>29702.5</v>
      </c>
      <c r="P39" s="162">
        <v>42777</v>
      </c>
      <c r="T39" s="153">
        <v>0</v>
      </c>
      <c r="U39" s="221"/>
      <c r="V39" s="222"/>
      <c r="W39" s="236"/>
      <c r="X39" s="230">
        <v>3461682</v>
      </c>
      <c r="Y39" s="231">
        <v>45423.5</v>
      </c>
      <c r="Z39" s="232">
        <v>42792</v>
      </c>
    </row>
    <row r="40" spans="1:26" ht="16.5" thickBot="1" x14ac:dyDescent="0.3">
      <c r="A40" s="255"/>
      <c r="B40" s="256"/>
      <c r="C40" s="108"/>
      <c r="D40" s="137"/>
      <c r="E40" s="258"/>
      <c r="F40" s="257"/>
      <c r="J40" s="179">
        <f>SUM(J1:J39)</f>
        <v>1004023.55</v>
      </c>
      <c r="K40" s="180"/>
      <c r="L40" s="181">
        <v>0</v>
      </c>
      <c r="M40" s="182"/>
      <c r="N40" s="183"/>
      <c r="O40" s="184">
        <v>0</v>
      </c>
      <c r="P40" s="185"/>
      <c r="T40" s="153">
        <v>0</v>
      </c>
      <c r="U40" s="238"/>
      <c r="V40" s="237"/>
      <c r="W40" s="236"/>
      <c r="X40" s="230" t="s">
        <v>154</v>
      </c>
      <c r="Y40" s="231">
        <v>3466</v>
      </c>
      <c r="Z40" s="232">
        <v>42780</v>
      </c>
    </row>
    <row r="41" spans="1:26" ht="16.5" thickTop="1" x14ac:dyDescent="0.25">
      <c r="A41" s="255"/>
      <c r="B41" s="259"/>
      <c r="C41" s="38"/>
      <c r="D41" s="137"/>
      <c r="E41" s="260"/>
      <c r="F41" s="109"/>
      <c r="J41" s="38"/>
      <c r="K41" s="130"/>
      <c r="L41" s="108">
        <f>SUM(L3:L40)</f>
        <v>1004023.3500000001</v>
      </c>
      <c r="M41" s="186"/>
      <c r="N41" s="187"/>
      <c r="O41" s="38">
        <f>SUM(O3:O40)</f>
        <v>1004023.35</v>
      </c>
      <c r="P41" s="128"/>
      <c r="T41" s="153">
        <v>0</v>
      </c>
      <c r="U41" s="239"/>
      <c r="V41" s="240"/>
      <c r="W41" s="241"/>
      <c r="X41" s="242" t="s">
        <v>154</v>
      </c>
      <c r="Y41" s="237">
        <v>16269</v>
      </c>
      <c r="Z41" s="235">
        <v>42786</v>
      </c>
    </row>
    <row r="42" spans="1:26" ht="15.75" x14ac:dyDescent="0.25">
      <c r="A42" s="39"/>
      <c r="B42" s="265"/>
      <c r="C42" s="60"/>
      <c r="D42" s="60"/>
      <c r="E42" s="39"/>
      <c r="F42" s="109"/>
      <c r="T42" s="243"/>
      <c r="U42" s="244"/>
      <c r="V42" s="244"/>
      <c r="W42" s="244"/>
      <c r="X42" s="245" t="s">
        <v>154</v>
      </c>
      <c r="Y42" s="237">
        <v>6192</v>
      </c>
      <c r="Z42" s="235">
        <v>42788</v>
      </c>
    </row>
    <row r="43" spans="1:26" ht="15.75" x14ac:dyDescent="0.25">
      <c r="A43" s="39"/>
      <c r="B43" s="39"/>
      <c r="C43" s="266"/>
      <c r="D43" s="109"/>
      <c r="E43" s="267"/>
      <c r="F43" s="267"/>
      <c r="T43" s="243"/>
      <c r="U43" s="244"/>
      <c r="V43" s="244"/>
      <c r="W43" s="244"/>
      <c r="X43" s="245"/>
      <c r="Y43" s="237"/>
      <c r="Z43" s="235"/>
    </row>
    <row r="44" spans="1:26" ht="16.5" thickBot="1" x14ac:dyDescent="0.3">
      <c r="A44" s="39"/>
      <c r="B44" s="39"/>
      <c r="C44" s="39"/>
      <c r="D44" s="39"/>
      <c r="E44" s="39"/>
      <c r="F44" s="39"/>
      <c r="T44" s="246">
        <v>0</v>
      </c>
      <c r="U44" s="247"/>
      <c r="V44" s="248">
        <v>0</v>
      </c>
      <c r="W44" s="249"/>
      <c r="X44" s="250"/>
      <c r="Y44" s="251"/>
      <c r="Z44" s="235"/>
    </row>
    <row r="45" spans="1:26" ht="16.5" thickTop="1" x14ac:dyDescent="0.25">
      <c r="T45" s="252">
        <f>SUM(T25:T44)</f>
        <v>393249</v>
      </c>
      <c r="U45" s="253"/>
      <c r="V45" s="224">
        <f>SUM(V27:V44)</f>
        <v>392787.7</v>
      </c>
      <c r="W45" s="225"/>
      <c r="X45" s="226"/>
      <c r="Y45" s="223">
        <f>SUM(Y27:Y44)</f>
        <v>393249</v>
      </c>
      <c r="Z45" s="254"/>
    </row>
    <row r="46" spans="1:26" x14ac:dyDescent="0.25">
      <c r="T46" s="243"/>
      <c r="U46" s="243"/>
      <c r="V46" s="243"/>
      <c r="W46" s="243"/>
      <c r="X46" s="243"/>
      <c r="Y46" s="243"/>
      <c r="Z46" s="243"/>
    </row>
  </sheetData>
  <sortState ref="A22:F24">
    <sortCondition ref="B22:B24"/>
  </sortState>
  <mergeCells count="1">
    <mergeCell ref="C1:E1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68"/>
  <sheetViews>
    <sheetView topLeftCell="A25" workbookViewId="0">
      <selection activeCell="K7" sqref="K7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486" t="s">
        <v>660</v>
      </c>
      <c r="C1" s="486"/>
      <c r="D1" s="486"/>
      <c r="E1" s="486"/>
      <c r="F1" s="486"/>
      <c r="G1" s="486"/>
      <c r="H1" s="486"/>
      <c r="I1" s="486"/>
      <c r="J1" s="486"/>
      <c r="L1" s="2" t="s">
        <v>1</v>
      </c>
      <c r="M1" s="3"/>
    </row>
    <row r="2" spans="1:14" ht="19.5" thickBot="1" x14ac:dyDescent="0.35">
      <c r="A2" s="1"/>
      <c r="B2" s="5"/>
      <c r="D2" s="212"/>
      <c r="E2" s="8"/>
      <c r="G2" s="487" t="s">
        <v>2</v>
      </c>
      <c r="H2" s="487"/>
      <c r="I2" s="487"/>
      <c r="J2" s="488">
        <v>2000</v>
      </c>
      <c r="K2" s="488"/>
      <c r="L2" s="9"/>
      <c r="M2" s="3"/>
    </row>
    <row r="3" spans="1:14" ht="15.75" thickBot="1" x14ac:dyDescent="0.3">
      <c r="A3" s="473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474"/>
      <c r="B4" s="13">
        <v>114950.38</v>
      </c>
      <c r="C4" s="14"/>
      <c r="D4" s="491" t="s">
        <v>8</v>
      </c>
      <c r="E4" s="492"/>
      <c r="H4" s="493" t="s">
        <v>9</v>
      </c>
      <c r="I4" s="494"/>
      <c r="J4" s="494"/>
      <c r="K4" s="494"/>
      <c r="L4" s="15" t="s">
        <v>10</v>
      </c>
      <c r="M4" s="16" t="s">
        <v>11</v>
      </c>
    </row>
    <row r="5" spans="1:14" ht="16.5" thickTop="1" thickBot="1" x14ac:dyDescent="0.3">
      <c r="A5" s="18">
        <v>42795</v>
      </c>
      <c r="B5" s="34">
        <v>22295.5</v>
      </c>
      <c r="C5" s="20" t="s">
        <v>285</v>
      </c>
      <c r="D5" s="21">
        <v>42795</v>
      </c>
      <c r="E5" s="35">
        <v>28939.5</v>
      </c>
      <c r="F5" s="23"/>
      <c r="G5" s="24">
        <v>42795</v>
      </c>
      <c r="H5" s="192">
        <v>0</v>
      </c>
      <c r="I5" s="26"/>
      <c r="J5" s="27"/>
      <c r="K5" s="27"/>
      <c r="L5" s="28" t="s">
        <v>284</v>
      </c>
      <c r="M5" s="29">
        <v>0</v>
      </c>
      <c r="N5" s="30"/>
    </row>
    <row r="6" spans="1:14" ht="15.75" thickBot="1" x14ac:dyDescent="0.3">
      <c r="A6" s="18">
        <v>42796</v>
      </c>
      <c r="B6" s="34">
        <v>41180</v>
      </c>
      <c r="C6" s="20" t="s">
        <v>286</v>
      </c>
      <c r="D6" s="21">
        <v>42796</v>
      </c>
      <c r="E6" s="35">
        <v>42749.5</v>
      </c>
      <c r="F6" s="36"/>
      <c r="G6" s="24">
        <v>42796</v>
      </c>
      <c r="H6" s="37">
        <v>0</v>
      </c>
      <c r="I6" s="38"/>
      <c r="J6" s="39" t="s">
        <v>15</v>
      </c>
      <c r="K6" s="40">
        <v>549</v>
      </c>
      <c r="L6" s="28" t="s">
        <v>287</v>
      </c>
      <c r="M6" s="29">
        <v>0</v>
      </c>
      <c r="N6" s="30"/>
    </row>
    <row r="7" spans="1:14" ht="15.75" thickBot="1" x14ac:dyDescent="0.3">
      <c r="A7" s="18">
        <v>42797</v>
      </c>
      <c r="B7" s="34">
        <v>67936.5</v>
      </c>
      <c r="C7" s="20" t="s">
        <v>289</v>
      </c>
      <c r="D7" s="21">
        <v>42797</v>
      </c>
      <c r="E7" s="35">
        <v>62210.5</v>
      </c>
      <c r="F7" s="23"/>
      <c r="G7" s="24">
        <v>42797</v>
      </c>
      <c r="H7" s="37">
        <v>0</v>
      </c>
      <c r="I7" s="38"/>
      <c r="J7" s="43" t="s">
        <v>18</v>
      </c>
      <c r="K7" s="44">
        <v>15253</v>
      </c>
      <c r="L7" s="28" t="s">
        <v>288</v>
      </c>
      <c r="M7" s="29">
        <v>0</v>
      </c>
      <c r="N7" s="45"/>
    </row>
    <row r="8" spans="1:14" ht="15.75" thickBot="1" x14ac:dyDescent="0.3">
      <c r="A8" s="18">
        <v>42798</v>
      </c>
      <c r="B8" s="34">
        <v>83724</v>
      </c>
      <c r="C8" s="48" t="s">
        <v>290</v>
      </c>
      <c r="D8" s="21">
        <v>42798</v>
      </c>
      <c r="E8" s="35">
        <v>83778</v>
      </c>
      <c r="F8" s="23"/>
      <c r="G8" s="24">
        <v>42798</v>
      </c>
      <c r="H8" s="37">
        <v>0</v>
      </c>
      <c r="I8" s="38"/>
      <c r="J8" s="39" t="s">
        <v>22</v>
      </c>
      <c r="K8" s="268">
        <f>7187.5+7187.5+7187.5+7187.5</f>
        <v>28750</v>
      </c>
      <c r="L8" s="49" t="s">
        <v>292</v>
      </c>
      <c r="M8" s="29">
        <v>0</v>
      </c>
      <c r="N8" s="45"/>
    </row>
    <row r="9" spans="1:14" ht="15.75" thickBot="1" x14ac:dyDescent="0.3">
      <c r="A9" s="18">
        <v>42799</v>
      </c>
      <c r="B9" s="34">
        <v>62735</v>
      </c>
      <c r="C9" s="50" t="s">
        <v>293</v>
      </c>
      <c r="D9" s="21">
        <v>42799</v>
      </c>
      <c r="E9" s="35">
        <v>62735</v>
      </c>
      <c r="F9" s="23"/>
      <c r="G9" s="24">
        <v>42799</v>
      </c>
      <c r="H9" s="37">
        <v>0</v>
      </c>
      <c r="I9" s="38" t="s">
        <v>333</v>
      </c>
      <c r="J9" s="39" t="s">
        <v>328</v>
      </c>
      <c r="K9" s="36">
        <v>7047.69</v>
      </c>
      <c r="L9" s="49" t="s">
        <v>291</v>
      </c>
      <c r="M9" s="29">
        <v>0</v>
      </c>
      <c r="N9" s="30"/>
    </row>
    <row r="10" spans="1:14" ht="15.75" thickBot="1" x14ac:dyDescent="0.3">
      <c r="A10" s="18">
        <v>42800</v>
      </c>
      <c r="B10" s="34">
        <v>70207</v>
      </c>
      <c r="C10" s="48" t="s">
        <v>318</v>
      </c>
      <c r="D10" s="21">
        <v>42800</v>
      </c>
      <c r="E10" s="35">
        <v>74253</v>
      </c>
      <c r="F10" s="23"/>
      <c r="G10" s="24">
        <v>42800</v>
      </c>
      <c r="H10" s="37">
        <v>0</v>
      </c>
      <c r="I10" s="51" t="s">
        <v>332</v>
      </c>
      <c r="J10" s="39" t="s">
        <v>329</v>
      </c>
      <c r="K10" s="36">
        <v>6733.4</v>
      </c>
      <c r="L10" s="28" t="s">
        <v>317</v>
      </c>
      <c r="M10" s="29">
        <v>0</v>
      </c>
      <c r="N10" s="45"/>
    </row>
    <row r="11" spans="1:14" ht="15.75" thickBot="1" x14ac:dyDescent="0.3">
      <c r="A11" s="18">
        <v>42801</v>
      </c>
      <c r="B11" s="34">
        <v>31515</v>
      </c>
      <c r="C11" s="48" t="s">
        <v>319</v>
      </c>
      <c r="D11" s="21">
        <v>42801</v>
      </c>
      <c r="E11" s="35">
        <v>31777</v>
      </c>
      <c r="F11" s="23"/>
      <c r="G11" s="24">
        <v>42801</v>
      </c>
      <c r="H11" s="37">
        <v>33</v>
      </c>
      <c r="I11" s="38" t="s">
        <v>347</v>
      </c>
      <c r="J11" s="39" t="s">
        <v>330</v>
      </c>
      <c r="K11" s="36">
        <v>7133.4</v>
      </c>
      <c r="L11" s="28" t="s">
        <v>316</v>
      </c>
      <c r="M11" s="29">
        <v>0</v>
      </c>
      <c r="N11" s="30"/>
    </row>
    <row r="12" spans="1:14" ht="15.75" thickBot="1" x14ac:dyDescent="0.3">
      <c r="A12" s="18">
        <v>42802</v>
      </c>
      <c r="B12" s="34">
        <v>24877.5</v>
      </c>
      <c r="C12" s="48" t="s">
        <v>321</v>
      </c>
      <c r="D12" s="21">
        <v>42802</v>
      </c>
      <c r="E12" s="35">
        <v>24877.5</v>
      </c>
      <c r="F12" s="23"/>
      <c r="G12" s="24">
        <v>42802</v>
      </c>
      <c r="H12" s="37">
        <v>0</v>
      </c>
      <c r="I12" s="38" t="s">
        <v>408</v>
      </c>
      <c r="J12" s="39" t="s">
        <v>331</v>
      </c>
      <c r="K12" s="36">
        <v>7933.4</v>
      </c>
      <c r="L12" s="28" t="s">
        <v>320</v>
      </c>
      <c r="M12" s="29">
        <v>0</v>
      </c>
      <c r="N12" s="30"/>
    </row>
    <row r="13" spans="1:14" ht="15.75" thickBot="1" x14ac:dyDescent="0.3">
      <c r="A13" s="18">
        <v>42803</v>
      </c>
      <c r="B13" s="34">
        <v>38961.5</v>
      </c>
      <c r="C13" s="48" t="s">
        <v>323</v>
      </c>
      <c r="D13" s="21">
        <v>42803</v>
      </c>
      <c r="E13" s="35">
        <v>38961.5</v>
      </c>
      <c r="F13" s="23"/>
      <c r="G13" s="24">
        <v>42803</v>
      </c>
      <c r="H13" s="37">
        <v>0</v>
      </c>
      <c r="I13" s="38" t="s">
        <v>409</v>
      </c>
      <c r="J13" s="52"/>
      <c r="K13" s="40">
        <v>0</v>
      </c>
      <c r="L13" s="28" t="s">
        <v>322</v>
      </c>
      <c r="M13" s="29">
        <v>0</v>
      </c>
      <c r="N13" s="45"/>
    </row>
    <row r="14" spans="1:14" ht="15.75" thickBot="1" x14ac:dyDescent="0.3">
      <c r="A14" s="18">
        <v>42804</v>
      </c>
      <c r="B14" s="34">
        <v>64736.5</v>
      </c>
      <c r="C14" s="50" t="s">
        <v>325</v>
      </c>
      <c r="D14" s="21">
        <v>42804</v>
      </c>
      <c r="E14" s="35">
        <v>53817.5</v>
      </c>
      <c r="F14" s="23"/>
      <c r="G14" s="24">
        <v>42804</v>
      </c>
      <c r="H14" s="37">
        <v>0</v>
      </c>
      <c r="I14" s="38"/>
      <c r="J14" s="53"/>
      <c r="K14" s="40">
        <v>0</v>
      </c>
      <c r="L14" s="28" t="s">
        <v>324</v>
      </c>
      <c r="M14" s="29">
        <v>0</v>
      </c>
      <c r="N14" s="45"/>
    </row>
    <row r="15" spans="1:14" ht="15.75" thickBot="1" x14ac:dyDescent="0.3">
      <c r="A15" s="18">
        <v>42805</v>
      </c>
      <c r="B15" s="34">
        <v>40766</v>
      </c>
      <c r="C15" s="50" t="s">
        <v>327</v>
      </c>
      <c r="D15" s="21">
        <v>42805</v>
      </c>
      <c r="E15" s="35">
        <v>40766</v>
      </c>
      <c r="F15" s="23"/>
      <c r="G15" s="24">
        <v>42805</v>
      </c>
      <c r="H15" s="37">
        <v>0</v>
      </c>
      <c r="I15" s="38"/>
      <c r="J15" s="52" t="s">
        <v>44</v>
      </c>
      <c r="K15" s="40">
        <v>0</v>
      </c>
      <c r="L15" s="28" t="s">
        <v>326</v>
      </c>
      <c r="M15" s="29">
        <v>0</v>
      </c>
      <c r="N15" s="45"/>
    </row>
    <row r="16" spans="1:14" ht="15.75" thickBot="1" x14ac:dyDescent="0.3">
      <c r="A16" s="18">
        <v>42806</v>
      </c>
      <c r="B16" s="34">
        <v>49653</v>
      </c>
      <c r="C16" s="50" t="s">
        <v>334</v>
      </c>
      <c r="D16" s="21">
        <v>42806</v>
      </c>
      <c r="E16" s="35">
        <v>49653</v>
      </c>
      <c r="F16" s="23"/>
      <c r="G16" s="24">
        <v>42806</v>
      </c>
      <c r="H16" s="37">
        <v>0</v>
      </c>
      <c r="I16" s="38"/>
      <c r="J16" s="54"/>
      <c r="K16" s="55">
        <v>0</v>
      </c>
      <c r="L16" s="28" t="s">
        <v>335</v>
      </c>
      <c r="M16" s="29">
        <v>0</v>
      </c>
      <c r="N16" s="45"/>
    </row>
    <row r="17" spans="1:14" ht="15.75" thickBot="1" x14ac:dyDescent="0.3">
      <c r="A17" s="18">
        <v>42807</v>
      </c>
      <c r="B17" s="34">
        <v>63172.5</v>
      </c>
      <c r="C17" s="50" t="s">
        <v>336</v>
      </c>
      <c r="D17" s="21">
        <v>42807</v>
      </c>
      <c r="E17" s="35">
        <v>66360</v>
      </c>
      <c r="F17" s="23"/>
      <c r="G17" s="24">
        <v>42807</v>
      </c>
      <c r="H17" s="37">
        <v>0</v>
      </c>
      <c r="I17" s="38"/>
      <c r="J17" s="483" t="s">
        <v>49</v>
      </c>
      <c r="K17" s="55">
        <v>0</v>
      </c>
      <c r="L17" s="28" t="s">
        <v>337</v>
      </c>
      <c r="M17" s="29">
        <v>0</v>
      </c>
      <c r="N17" s="45"/>
    </row>
    <row r="18" spans="1:14" ht="15.75" thickBot="1" x14ac:dyDescent="0.3">
      <c r="A18" s="18">
        <v>42808</v>
      </c>
      <c r="B18" s="34">
        <v>34474</v>
      </c>
      <c r="C18" s="48" t="s">
        <v>339</v>
      </c>
      <c r="D18" s="21">
        <v>42808</v>
      </c>
      <c r="E18" s="35">
        <v>37753.5</v>
      </c>
      <c r="F18" s="23"/>
      <c r="G18" s="24">
        <v>42808</v>
      </c>
      <c r="H18" s="37">
        <v>0</v>
      </c>
      <c r="I18" s="56"/>
      <c r="J18" s="483"/>
      <c r="K18" s="29">
        <v>0</v>
      </c>
      <c r="L18" s="28" t="s">
        <v>338</v>
      </c>
      <c r="M18" s="29">
        <v>0</v>
      </c>
      <c r="N18" s="45"/>
    </row>
    <row r="19" spans="1:14" ht="15.75" thickBot="1" x14ac:dyDescent="0.3">
      <c r="A19" s="18">
        <v>42809</v>
      </c>
      <c r="B19" s="34">
        <v>34246</v>
      </c>
      <c r="C19" s="50" t="s">
        <v>341</v>
      </c>
      <c r="D19" s="21">
        <v>42809</v>
      </c>
      <c r="E19" s="35">
        <v>34246</v>
      </c>
      <c r="F19" s="23"/>
      <c r="G19" s="24">
        <v>42809</v>
      </c>
      <c r="H19" s="37">
        <v>0</v>
      </c>
      <c r="I19" s="38"/>
      <c r="J19" s="52" t="s">
        <v>54</v>
      </c>
      <c r="K19" s="29">
        <v>0</v>
      </c>
      <c r="L19" s="28" t="s">
        <v>340</v>
      </c>
      <c r="M19" s="29">
        <v>0</v>
      </c>
      <c r="N19" s="45"/>
    </row>
    <row r="20" spans="1:14" ht="15.75" thickBot="1" x14ac:dyDescent="0.3">
      <c r="A20" s="18">
        <v>42810</v>
      </c>
      <c r="B20" s="34">
        <v>49096.5</v>
      </c>
      <c r="C20" s="57" t="s">
        <v>341</v>
      </c>
      <c r="D20" s="21">
        <v>42810</v>
      </c>
      <c r="E20" s="35">
        <v>52143</v>
      </c>
      <c r="F20" s="23"/>
      <c r="G20" s="24">
        <v>42810</v>
      </c>
      <c r="H20" s="37">
        <v>0</v>
      </c>
      <c r="I20" s="58"/>
      <c r="J20" s="59" t="s">
        <v>57</v>
      </c>
      <c r="K20" s="60">
        <v>0</v>
      </c>
      <c r="L20" s="28" t="s">
        <v>342</v>
      </c>
      <c r="M20" s="29">
        <v>0</v>
      </c>
      <c r="N20" s="45"/>
    </row>
    <row r="21" spans="1:14" ht="15.75" thickBot="1" x14ac:dyDescent="0.3">
      <c r="A21" s="18">
        <v>42811</v>
      </c>
      <c r="B21" s="34">
        <v>60952.5</v>
      </c>
      <c r="C21" s="57" t="s">
        <v>344</v>
      </c>
      <c r="D21" s="21">
        <v>42811</v>
      </c>
      <c r="E21" s="35">
        <v>53611</v>
      </c>
      <c r="F21" s="23"/>
      <c r="G21" s="24">
        <v>42811</v>
      </c>
      <c r="H21" s="37">
        <v>0</v>
      </c>
      <c r="I21" s="38"/>
      <c r="J21" s="61"/>
      <c r="K21" s="60">
        <v>0</v>
      </c>
      <c r="L21" s="28" t="s">
        <v>343</v>
      </c>
      <c r="M21" s="29">
        <v>9513.5</v>
      </c>
      <c r="N21" s="45"/>
    </row>
    <row r="22" spans="1:14" ht="15.75" thickBot="1" x14ac:dyDescent="0.3">
      <c r="A22" s="18">
        <v>42812</v>
      </c>
      <c r="B22" s="34">
        <v>75766</v>
      </c>
      <c r="C22" s="50" t="s">
        <v>346</v>
      </c>
      <c r="D22" s="21">
        <v>42812</v>
      </c>
      <c r="E22" s="35">
        <v>73594</v>
      </c>
      <c r="F22" s="23"/>
      <c r="G22" s="24">
        <v>42812</v>
      </c>
      <c r="H22" s="37">
        <v>0</v>
      </c>
      <c r="I22" s="58"/>
      <c r="J22" s="62"/>
      <c r="K22" s="60">
        <v>0</v>
      </c>
      <c r="L22" s="28" t="s">
        <v>345</v>
      </c>
      <c r="M22" s="29">
        <v>47172</v>
      </c>
      <c r="N22" s="45"/>
    </row>
    <row r="23" spans="1:14" ht="15.75" thickBot="1" x14ac:dyDescent="0.3">
      <c r="A23" s="18">
        <v>42813</v>
      </c>
      <c r="B23" s="34">
        <v>82756</v>
      </c>
      <c r="C23" s="50" t="s">
        <v>356</v>
      </c>
      <c r="D23" s="21">
        <v>42813</v>
      </c>
      <c r="E23" s="35">
        <v>84204.58</v>
      </c>
      <c r="F23" s="23"/>
      <c r="G23" s="24">
        <v>42813</v>
      </c>
      <c r="H23" s="37">
        <v>20</v>
      </c>
      <c r="I23" s="38"/>
      <c r="J23" s="63"/>
      <c r="K23" s="60">
        <v>0</v>
      </c>
      <c r="L23" s="28" t="s">
        <v>355</v>
      </c>
      <c r="M23" s="29">
        <v>0</v>
      </c>
      <c r="N23" s="45"/>
    </row>
    <row r="24" spans="1:14" ht="15.75" thickBot="1" x14ac:dyDescent="0.3">
      <c r="A24" s="18">
        <v>42814</v>
      </c>
      <c r="B24" s="34">
        <v>40589</v>
      </c>
      <c r="C24" s="50" t="s">
        <v>358</v>
      </c>
      <c r="D24" s="21">
        <v>42814</v>
      </c>
      <c r="E24" s="35">
        <v>45051</v>
      </c>
      <c r="F24" s="23"/>
      <c r="G24" s="24">
        <v>42814</v>
      </c>
      <c r="H24" s="37">
        <v>0</v>
      </c>
      <c r="I24" s="38"/>
      <c r="J24" s="64" t="s">
        <v>66</v>
      </c>
      <c r="K24" s="60">
        <v>870</v>
      </c>
      <c r="L24" s="28" t="s">
        <v>357</v>
      </c>
      <c r="M24" s="29">
        <v>0</v>
      </c>
      <c r="N24" s="45"/>
    </row>
    <row r="25" spans="1:14" ht="15.75" thickBot="1" x14ac:dyDescent="0.3">
      <c r="A25" s="18">
        <v>42815</v>
      </c>
      <c r="B25" s="34">
        <v>28342.5</v>
      </c>
      <c r="C25" s="57" t="s">
        <v>359</v>
      </c>
      <c r="D25" s="21">
        <v>42815</v>
      </c>
      <c r="E25" s="35">
        <v>37937.5</v>
      </c>
      <c r="F25" s="23"/>
      <c r="G25" s="24">
        <v>42815</v>
      </c>
      <c r="H25" s="37">
        <v>0</v>
      </c>
      <c r="I25" s="38"/>
      <c r="J25" s="68">
        <v>42798</v>
      </c>
      <c r="K25" s="60">
        <v>0</v>
      </c>
      <c r="L25" s="28" t="s">
        <v>360</v>
      </c>
      <c r="M25" s="29">
        <v>0</v>
      </c>
      <c r="N25" s="45"/>
    </row>
    <row r="26" spans="1:14" ht="15.75" thickBot="1" x14ac:dyDescent="0.3">
      <c r="A26" s="18">
        <v>42816</v>
      </c>
      <c r="B26" s="34">
        <v>41206</v>
      </c>
      <c r="C26" s="50" t="s">
        <v>390</v>
      </c>
      <c r="D26" s="21">
        <v>42816</v>
      </c>
      <c r="E26" s="35">
        <v>30216</v>
      </c>
      <c r="F26" s="23"/>
      <c r="G26" s="24">
        <v>42816</v>
      </c>
      <c r="H26" s="37">
        <v>33</v>
      </c>
      <c r="I26" s="38"/>
      <c r="J26" s="70" t="s">
        <v>73</v>
      </c>
      <c r="K26" s="60">
        <v>0</v>
      </c>
      <c r="L26" s="28" t="s">
        <v>389</v>
      </c>
      <c r="M26" s="29">
        <v>0</v>
      </c>
      <c r="N26" s="45"/>
    </row>
    <row r="27" spans="1:14" ht="15.75" thickBot="1" x14ac:dyDescent="0.3">
      <c r="A27" s="18">
        <v>42817</v>
      </c>
      <c r="B27" s="34">
        <v>63765.5</v>
      </c>
      <c r="C27" s="50" t="s">
        <v>391</v>
      </c>
      <c r="D27" s="21">
        <v>42817</v>
      </c>
      <c r="E27" s="35">
        <v>68193.5</v>
      </c>
      <c r="F27" s="23"/>
      <c r="G27" s="24">
        <v>42817</v>
      </c>
      <c r="H27" s="37">
        <v>0</v>
      </c>
      <c r="I27" s="38"/>
      <c r="J27" s="73"/>
      <c r="K27" s="60">
        <v>0</v>
      </c>
      <c r="L27" s="28" t="s">
        <v>392</v>
      </c>
      <c r="M27" s="29">
        <v>0</v>
      </c>
    </row>
    <row r="28" spans="1:14" ht="15.75" thickBot="1" x14ac:dyDescent="0.3">
      <c r="A28" s="18">
        <v>42818</v>
      </c>
      <c r="B28" s="34">
        <v>51483</v>
      </c>
      <c r="C28" s="50" t="s">
        <v>394</v>
      </c>
      <c r="D28" s="21">
        <v>42818</v>
      </c>
      <c r="E28" s="35">
        <v>54443.1</v>
      </c>
      <c r="F28" s="23"/>
      <c r="G28" s="24">
        <v>42818</v>
      </c>
      <c r="H28" s="37">
        <v>0</v>
      </c>
      <c r="I28" s="38"/>
      <c r="J28" s="70" t="s">
        <v>80</v>
      </c>
      <c r="K28" s="60">
        <v>0</v>
      </c>
      <c r="L28" s="75" t="s">
        <v>393</v>
      </c>
      <c r="M28" s="29">
        <v>0</v>
      </c>
    </row>
    <row r="29" spans="1:14" ht="15.75" thickBot="1" x14ac:dyDescent="0.3">
      <c r="A29" s="18">
        <v>42819</v>
      </c>
      <c r="B29" s="34">
        <v>71807</v>
      </c>
      <c r="C29" s="50" t="s">
        <v>396</v>
      </c>
      <c r="D29" s="21">
        <v>42819</v>
      </c>
      <c r="E29" s="35">
        <v>77613.5</v>
      </c>
      <c r="F29" s="23"/>
      <c r="G29" s="24">
        <v>42819</v>
      </c>
      <c r="H29" s="37">
        <v>0</v>
      </c>
      <c r="I29" s="38"/>
      <c r="J29" s="68"/>
      <c r="K29" s="60">
        <v>0</v>
      </c>
      <c r="L29" s="28" t="s">
        <v>395</v>
      </c>
      <c r="M29" s="29">
        <v>0</v>
      </c>
    </row>
    <row r="30" spans="1:14" ht="15.75" thickBot="1" x14ac:dyDescent="0.3">
      <c r="A30" s="18">
        <v>42820</v>
      </c>
      <c r="B30" s="34">
        <v>64357.5</v>
      </c>
      <c r="C30" s="57" t="s">
        <v>398</v>
      </c>
      <c r="D30" s="21">
        <v>42820</v>
      </c>
      <c r="E30" s="35">
        <v>64357.5</v>
      </c>
      <c r="F30" s="23"/>
      <c r="G30" s="24">
        <v>42820</v>
      </c>
      <c r="H30" s="37">
        <v>0</v>
      </c>
      <c r="I30" s="38"/>
      <c r="J30" s="76" t="s">
        <v>82</v>
      </c>
      <c r="K30" s="60">
        <v>0</v>
      </c>
      <c r="L30" s="75" t="s">
        <v>397</v>
      </c>
      <c r="M30" s="29">
        <v>0</v>
      </c>
    </row>
    <row r="31" spans="1:14" ht="15.75" thickBot="1" x14ac:dyDescent="0.3">
      <c r="A31" s="18">
        <v>42821</v>
      </c>
      <c r="B31" s="34">
        <v>45634</v>
      </c>
      <c r="C31" s="20" t="s">
        <v>400</v>
      </c>
      <c r="D31" s="21">
        <v>42821</v>
      </c>
      <c r="E31" s="35">
        <v>45634</v>
      </c>
      <c r="F31" s="23"/>
      <c r="G31" s="24">
        <v>42821</v>
      </c>
      <c r="H31" s="37">
        <v>0</v>
      </c>
      <c r="I31" s="38"/>
      <c r="J31" s="77"/>
      <c r="K31" s="60">
        <v>0</v>
      </c>
      <c r="L31" s="75" t="s">
        <v>399</v>
      </c>
      <c r="M31" s="29">
        <v>0</v>
      </c>
    </row>
    <row r="32" spans="1:14" ht="15.75" thickBot="1" x14ac:dyDescent="0.3">
      <c r="A32" s="18">
        <v>42822</v>
      </c>
      <c r="B32" s="34">
        <v>20606.5</v>
      </c>
      <c r="C32" s="20" t="s">
        <v>402</v>
      </c>
      <c r="D32" s="21">
        <v>42822</v>
      </c>
      <c r="E32" s="35">
        <v>17925.5</v>
      </c>
      <c r="F32" s="23"/>
      <c r="G32" s="24">
        <v>42822</v>
      </c>
      <c r="H32" s="37">
        <v>0</v>
      </c>
      <c r="I32" s="38"/>
      <c r="J32" s="76"/>
      <c r="K32" s="40"/>
      <c r="L32" s="28" t="s">
        <v>401</v>
      </c>
      <c r="M32" s="29">
        <v>0</v>
      </c>
    </row>
    <row r="33" spans="1:13" ht="15.75" thickBot="1" x14ac:dyDescent="0.3">
      <c r="A33" s="18">
        <v>42823</v>
      </c>
      <c r="B33" s="34">
        <v>41607.5</v>
      </c>
      <c r="C33" s="48" t="s">
        <v>404</v>
      </c>
      <c r="D33" s="21">
        <v>42823</v>
      </c>
      <c r="E33" s="35">
        <v>45641</v>
      </c>
      <c r="F33" s="23"/>
      <c r="G33" s="24">
        <v>42823</v>
      </c>
      <c r="H33" s="37">
        <v>0</v>
      </c>
      <c r="I33" s="38"/>
      <c r="J33" s="190"/>
      <c r="K33" s="191"/>
      <c r="L33" s="28" t="s">
        <v>403</v>
      </c>
      <c r="M33" s="29">
        <v>0</v>
      </c>
    </row>
    <row r="34" spans="1:13" ht="15.75" thickBot="1" x14ac:dyDescent="0.3">
      <c r="A34" s="18">
        <v>42824</v>
      </c>
      <c r="B34" s="34">
        <v>28986</v>
      </c>
      <c r="C34" s="57" t="s">
        <v>405</v>
      </c>
      <c r="D34" s="21">
        <v>42824</v>
      </c>
      <c r="E34" s="35">
        <v>28986</v>
      </c>
      <c r="F34" s="23"/>
      <c r="G34" s="24">
        <v>42824</v>
      </c>
      <c r="H34" s="37">
        <v>0</v>
      </c>
      <c r="I34" s="38"/>
      <c r="J34" s="190"/>
      <c r="K34" s="191"/>
      <c r="L34" s="80" t="s">
        <v>407</v>
      </c>
      <c r="M34" s="29">
        <v>0</v>
      </c>
    </row>
    <row r="35" spans="1:13" ht="15.75" thickBot="1" x14ac:dyDescent="0.3">
      <c r="A35" s="18">
        <v>42825</v>
      </c>
      <c r="B35" s="34">
        <v>38650.5</v>
      </c>
      <c r="C35" s="20" t="s">
        <v>406</v>
      </c>
      <c r="D35" s="21">
        <v>42825</v>
      </c>
      <c r="E35" s="35">
        <v>42190.5</v>
      </c>
      <c r="F35" s="23"/>
      <c r="G35" s="24">
        <v>42825</v>
      </c>
      <c r="H35" s="37">
        <v>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56685.5</v>
      </c>
    </row>
    <row r="38" spans="1:13" x14ac:dyDescent="0.25">
      <c r="A38" s="98" t="s">
        <v>85</v>
      </c>
      <c r="B38" s="99">
        <f>SUM(B5:B37)</f>
        <v>1536086</v>
      </c>
      <c r="D38" s="100" t="s">
        <v>85</v>
      </c>
      <c r="E38" s="101">
        <f>SUM(E5:E37)</f>
        <v>1554619.1800000002</v>
      </c>
      <c r="G38" s="212" t="s">
        <v>85</v>
      </c>
      <c r="H38" s="4">
        <f>SUM(H5:H37)</f>
        <v>86</v>
      </c>
      <c r="I38" s="4"/>
      <c r="J38" s="102" t="s">
        <v>85</v>
      </c>
      <c r="K38" s="103">
        <f t="shared" ref="K38" si="0">SUM(K5:K37)</f>
        <v>74269.89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479" t="s">
        <v>86</v>
      </c>
      <c r="H40" s="480"/>
      <c r="I40" s="213"/>
      <c r="J40" s="481">
        <f>H38+K38</f>
        <v>74355.89</v>
      </c>
      <c r="K40" s="482"/>
      <c r="L40" s="108"/>
      <c r="M40" s="108"/>
    </row>
    <row r="41" spans="1:13" ht="15.75" x14ac:dyDescent="0.25">
      <c r="A41" s="1"/>
      <c r="B41" s="5"/>
      <c r="C41" s="501" t="s">
        <v>87</v>
      </c>
      <c r="D41" s="501"/>
      <c r="E41" s="109">
        <f>E38-J40</f>
        <v>1480263.2900000003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-1566617.15</v>
      </c>
      <c r="H43" s="500"/>
      <c r="I43" s="500"/>
      <c r="J43" s="500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-86353.859999999637</v>
      </c>
      <c r="H44" s="502" t="s">
        <v>91</v>
      </c>
      <c r="I44" s="502"/>
      <c r="J44" s="503">
        <f>E46</f>
        <v>116424.11000000036</v>
      </c>
      <c r="K44" s="504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202777.97</v>
      </c>
      <c r="H45" s="505" t="s">
        <v>3</v>
      </c>
      <c r="I45" s="505"/>
      <c r="J45" s="490">
        <v>-114950.38</v>
      </c>
      <c r="K45" s="490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116424.11000000036</v>
      </c>
      <c r="I46" s="116"/>
      <c r="J46" s="495">
        <v>0</v>
      </c>
      <c r="K46" s="495"/>
      <c r="L46" s="108"/>
      <c r="M46" s="108"/>
    </row>
    <row r="47" spans="1:13" ht="19.5" thickBot="1" x14ac:dyDescent="0.3">
      <c r="A47" s="1"/>
      <c r="B47" s="5"/>
      <c r="E47" s="109"/>
      <c r="H47" s="496" t="s">
        <v>94</v>
      </c>
      <c r="I47" s="497"/>
      <c r="J47" s="498">
        <f>SUM(J44:K46)</f>
        <v>1473.7300000003597</v>
      </c>
      <c r="K47" s="499"/>
      <c r="L47" s="108"/>
      <c r="M47" s="108"/>
    </row>
    <row r="48" spans="1:13" x14ac:dyDescent="0.25">
      <c r="A48" s="1"/>
      <c r="B48" s="5"/>
      <c r="C48" s="500"/>
      <c r="D48" s="500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G2:I2"/>
    <mergeCell ref="J2:K2"/>
    <mergeCell ref="A3:A4"/>
    <mergeCell ref="D4:E4"/>
    <mergeCell ref="H4:K4"/>
  </mergeCells>
  <pageMargins left="0.70866141732283472" right="0.70866141732283472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Y64"/>
  <sheetViews>
    <sheetView topLeftCell="A31" workbookViewId="0">
      <selection activeCell="B49" sqref="B4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2.5703125" bestFit="1" customWidth="1"/>
    <col min="10" max="10" width="14.42578125" customWidth="1"/>
    <col min="11" max="11" width="12.5703125" bestFit="1" customWidth="1"/>
    <col min="12" max="12" width="13.7109375" customWidth="1"/>
    <col min="14" max="14" width="13.28515625" customWidth="1"/>
    <col min="15" max="15" width="13.85546875" bestFit="1" customWidth="1"/>
    <col min="19" max="19" width="14.42578125" customWidth="1"/>
    <col min="21" max="21" width="15.7109375" customWidth="1"/>
    <col min="24" max="24" width="17.28515625" customWidth="1"/>
  </cols>
  <sheetData>
    <row r="1" spans="1:25" ht="19.5" thickBot="1" x14ac:dyDescent="0.35">
      <c r="A1" s="1"/>
      <c r="B1" s="118"/>
      <c r="C1" s="506" t="s">
        <v>95</v>
      </c>
      <c r="D1" s="507"/>
      <c r="E1" s="508"/>
      <c r="F1" s="119"/>
      <c r="I1">
        <v>2113</v>
      </c>
      <c r="J1" s="45">
        <f>5004+30063+1584.5</f>
        <v>36651.5</v>
      </c>
      <c r="K1" s="154"/>
      <c r="L1" s="215">
        <v>42807</v>
      </c>
      <c r="M1" s="216"/>
      <c r="N1" s="217" t="s">
        <v>141</v>
      </c>
      <c r="O1" s="111"/>
      <c r="P1" s="158"/>
      <c r="R1" t="s">
        <v>369</v>
      </c>
      <c r="S1" s="326">
        <v>14162.5</v>
      </c>
      <c r="T1" s="154"/>
      <c r="U1" s="283">
        <v>42824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2055</v>
      </c>
      <c r="J2" s="45">
        <v>26978.5</v>
      </c>
      <c r="K2" s="126"/>
      <c r="L2" s="127"/>
      <c r="M2" s="214"/>
      <c r="N2" s="160"/>
      <c r="O2" s="161"/>
      <c r="P2" s="162"/>
      <c r="S2" s="326">
        <v>31476</v>
      </c>
      <c r="T2" s="282" t="s">
        <v>309</v>
      </c>
      <c r="U2" s="45">
        <v>1958.8</v>
      </c>
      <c r="V2" s="214" t="s">
        <v>143</v>
      </c>
      <c r="W2" s="160">
        <v>3797118</v>
      </c>
      <c r="X2" s="161">
        <v>45000</v>
      </c>
      <c r="Y2" s="162">
        <v>42813</v>
      </c>
    </row>
    <row r="3" spans="1:25" ht="15.75" x14ac:dyDescent="0.25">
      <c r="A3" s="125">
        <v>42795</v>
      </c>
      <c r="B3" s="126" t="s">
        <v>266</v>
      </c>
      <c r="C3" s="127">
        <v>61281</v>
      </c>
      <c r="D3" s="128">
        <v>42807</v>
      </c>
      <c r="E3" s="127">
        <v>61281</v>
      </c>
      <c r="F3" s="129">
        <f t="shared" ref="F3:F44" si="0">C3-E3</f>
        <v>0</v>
      </c>
      <c r="J3" s="45">
        <v>4560</v>
      </c>
      <c r="K3" s="132" t="s">
        <v>252</v>
      </c>
      <c r="L3" s="133">
        <v>4560</v>
      </c>
      <c r="M3" s="159"/>
      <c r="N3" s="160" t="s">
        <v>154</v>
      </c>
      <c r="O3" s="161">
        <v>13000</v>
      </c>
      <c r="P3" s="162">
        <v>42787</v>
      </c>
      <c r="S3" s="326">
        <v>34878</v>
      </c>
      <c r="T3" s="132" t="s">
        <v>350</v>
      </c>
      <c r="U3" s="133">
        <v>34877.800000000003</v>
      </c>
      <c r="V3" s="159"/>
      <c r="W3" s="160">
        <v>3797119</v>
      </c>
      <c r="X3" s="161">
        <v>37756.5</v>
      </c>
      <c r="Y3" s="162">
        <v>42813</v>
      </c>
    </row>
    <row r="4" spans="1:25" ht="15.75" x14ac:dyDescent="0.25">
      <c r="A4" s="131">
        <v>42796</v>
      </c>
      <c r="B4" s="132" t="s">
        <v>267</v>
      </c>
      <c r="C4" s="133">
        <v>31276.32</v>
      </c>
      <c r="D4" s="128">
        <v>42807</v>
      </c>
      <c r="E4" s="133">
        <v>31276.32</v>
      </c>
      <c r="F4" s="134">
        <f t="shared" si="0"/>
        <v>0</v>
      </c>
      <c r="J4" s="45">
        <f>54533.5+72839+39130.5</f>
        <v>166503</v>
      </c>
      <c r="K4" s="132" t="s">
        <v>250</v>
      </c>
      <c r="L4" s="133">
        <v>162544.5</v>
      </c>
      <c r="M4" s="163" t="s">
        <v>143</v>
      </c>
      <c r="N4" s="160">
        <v>3461672</v>
      </c>
      <c r="O4" s="161">
        <v>18982.5</v>
      </c>
      <c r="P4" s="162">
        <v>42787</v>
      </c>
      <c r="S4" s="326">
        <f>2240+30484</f>
        <v>32724</v>
      </c>
      <c r="T4" s="132" t="s">
        <v>351</v>
      </c>
      <c r="U4" s="133">
        <v>32724</v>
      </c>
      <c r="V4" s="163"/>
      <c r="W4" s="160">
        <v>3797121</v>
      </c>
      <c r="X4" s="161">
        <v>26000</v>
      </c>
      <c r="Y4" s="162">
        <v>42814</v>
      </c>
    </row>
    <row r="5" spans="1:25" ht="15.75" x14ac:dyDescent="0.25">
      <c r="A5" s="131">
        <v>42797</v>
      </c>
      <c r="B5" s="132" t="s">
        <v>277</v>
      </c>
      <c r="C5" s="133">
        <v>29907.9</v>
      </c>
      <c r="D5" s="128">
        <v>42807</v>
      </c>
      <c r="E5" s="133">
        <v>29907.9</v>
      </c>
      <c r="F5" s="134">
        <f t="shared" si="0"/>
        <v>0</v>
      </c>
      <c r="J5" s="45">
        <f>47205.5+25927+22445.5</f>
        <v>95578</v>
      </c>
      <c r="K5" s="132" t="s">
        <v>253</v>
      </c>
      <c r="L5" s="133">
        <v>95578.18</v>
      </c>
      <c r="M5" s="164"/>
      <c r="N5" s="160">
        <v>3461673</v>
      </c>
      <c r="O5" s="161">
        <v>18500</v>
      </c>
      <c r="P5" s="162">
        <v>42788</v>
      </c>
      <c r="S5" s="326">
        <f>10105+20920</f>
        <v>31025</v>
      </c>
      <c r="T5" s="290" t="s">
        <v>352</v>
      </c>
      <c r="U5" s="288">
        <v>31024.799999999999</v>
      </c>
      <c r="V5" s="164"/>
      <c r="W5" s="160">
        <v>3797122</v>
      </c>
      <c r="X5" s="161">
        <v>14589</v>
      </c>
      <c r="Y5" s="162">
        <v>42814</v>
      </c>
    </row>
    <row r="6" spans="1:25" ht="15.75" x14ac:dyDescent="0.25">
      <c r="A6" s="131">
        <v>42797</v>
      </c>
      <c r="B6" s="132" t="s">
        <v>278</v>
      </c>
      <c r="C6" s="133">
        <v>33873.18</v>
      </c>
      <c r="D6" s="128">
        <v>42807</v>
      </c>
      <c r="E6" s="133">
        <v>33873.18</v>
      </c>
      <c r="F6" s="135">
        <f t="shared" si="0"/>
        <v>0</v>
      </c>
      <c r="J6" s="45">
        <v>37547.5</v>
      </c>
      <c r="K6" s="132"/>
      <c r="L6" s="133">
        <v>0</v>
      </c>
      <c r="M6" s="277"/>
      <c r="N6" s="160">
        <v>3461674</v>
      </c>
      <c r="O6" s="161">
        <v>11563</v>
      </c>
      <c r="P6" s="162">
        <v>42788</v>
      </c>
      <c r="S6" s="326">
        <f>7422.56+11023+14541.5</f>
        <v>32987.06</v>
      </c>
      <c r="T6" s="291" t="s">
        <v>353</v>
      </c>
      <c r="U6" s="139">
        <v>32986.800000000003</v>
      </c>
      <c r="V6" s="277"/>
      <c r="W6" s="160" t="s">
        <v>154</v>
      </c>
      <c r="X6" s="161">
        <v>15000</v>
      </c>
      <c r="Y6" s="162">
        <v>42815</v>
      </c>
    </row>
    <row r="7" spans="1:25" ht="15.75" x14ac:dyDescent="0.25">
      <c r="A7" s="131">
        <v>42797</v>
      </c>
      <c r="B7" s="132" t="s">
        <v>279</v>
      </c>
      <c r="C7" s="133">
        <v>39257.08</v>
      </c>
      <c r="D7" s="128">
        <v>42807</v>
      </c>
      <c r="E7" s="133">
        <v>39257.08</v>
      </c>
      <c r="F7" s="135">
        <f t="shared" si="0"/>
        <v>0</v>
      </c>
      <c r="J7" s="45">
        <f>25430.5+35850.5</f>
        <v>61281</v>
      </c>
      <c r="K7" s="126" t="s">
        <v>266</v>
      </c>
      <c r="L7" s="127">
        <v>61281</v>
      </c>
      <c r="M7" s="163"/>
      <c r="N7" s="160">
        <v>3461675</v>
      </c>
      <c r="O7" s="161">
        <v>25000</v>
      </c>
      <c r="P7" s="162">
        <v>42789</v>
      </c>
      <c r="S7" s="326">
        <f>2273+13368.5+23297.5</f>
        <v>38939</v>
      </c>
      <c r="T7" s="291" t="s">
        <v>354</v>
      </c>
      <c r="U7" s="139">
        <v>36666</v>
      </c>
      <c r="V7" s="163"/>
      <c r="W7" s="160">
        <v>3797123</v>
      </c>
      <c r="X7" s="161">
        <v>13342.5</v>
      </c>
      <c r="Y7" s="162">
        <v>42815</v>
      </c>
    </row>
    <row r="8" spans="1:25" ht="15.75" x14ac:dyDescent="0.25">
      <c r="A8" s="131">
        <v>42798</v>
      </c>
      <c r="B8" s="132" t="s">
        <v>280</v>
      </c>
      <c r="C8" s="133">
        <v>39929.42</v>
      </c>
      <c r="D8" s="128">
        <v>42807</v>
      </c>
      <c r="E8" s="133">
        <v>39929.42</v>
      </c>
      <c r="F8" s="135">
        <f t="shared" si="0"/>
        <v>0</v>
      </c>
      <c r="J8" s="45">
        <v>31276</v>
      </c>
      <c r="K8" s="132" t="s">
        <v>267</v>
      </c>
      <c r="L8" s="133">
        <v>31276.32</v>
      </c>
      <c r="M8" s="165"/>
      <c r="N8" s="160">
        <v>3461676</v>
      </c>
      <c r="O8" s="161">
        <v>35678</v>
      </c>
      <c r="P8" s="162">
        <v>42789</v>
      </c>
      <c r="S8" s="326"/>
      <c r="T8" s="291" t="s">
        <v>361</v>
      </c>
      <c r="U8" s="139">
        <v>2273.1999999999998</v>
      </c>
      <c r="V8" s="292"/>
      <c r="W8" s="198">
        <v>3797124</v>
      </c>
      <c r="X8" s="148">
        <v>30000</v>
      </c>
      <c r="Y8" s="167">
        <v>42816</v>
      </c>
    </row>
    <row r="9" spans="1:25" ht="15.75" x14ac:dyDescent="0.25">
      <c r="A9" s="131">
        <v>42799</v>
      </c>
      <c r="B9" s="132" t="s">
        <v>281</v>
      </c>
      <c r="C9" s="133">
        <v>33066</v>
      </c>
      <c r="D9" s="128">
        <v>42807</v>
      </c>
      <c r="E9" s="133">
        <v>33066</v>
      </c>
      <c r="F9" s="135">
        <f t="shared" si="0"/>
        <v>0</v>
      </c>
      <c r="J9" s="45">
        <f>570.5+29337.5</f>
        <v>29908</v>
      </c>
      <c r="K9" s="132" t="s">
        <v>277</v>
      </c>
      <c r="L9" s="133">
        <v>29907.9</v>
      </c>
      <c r="M9" s="163"/>
      <c r="N9" s="160">
        <v>3461677</v>
      </c>
      <c r="O9" s="166">
        <v>35000</v>
      </c>
      <c r="P9" s="167">
        <v>42790</v>
      </c>
      <c r="S9" s="327">
        <v>4476</v>
      </c>
      <c r="T9" s="291" t="s">
        <v>362</v>
      </c>
      <c r="U9" s="139">
        <v>4476.32</v>
      </c>
      <c r="V9" s="172"/>
      <c r="W9" s="198">
        <v>3797125</v>
      </c>
      <c r="X9" s="166">
        <v>11206</v>
      </c>
      <c r="Y9" s="167">
        <v>42816</v>
      </c>
    </row>
    <row r="10" spans="1:25" ht="15.75" x14ac:dyDescent="0.25">
      <c r="A10" s="131">
        <v>42799</v>
      </c>
      <c r="B10" s="132" t="s">
        <v>282</v>
      </c>
      <c r="C10" s="133">
        <v>44247.4</v>
      </c>
      <c r="D10" s="128">
        <v>42807</v>
      </c>
      <c r="E10" s="133">
        <v>44247.4</v>
      </c>
      <c r="F10" s="135">
        <f t="shared" si="0"/>
        <v>0</v>
      </c>
      <c r="J10" s="45">
        <f>8800+22295.5+2777.5</f>
        <v>33873</v>
      </c>
      <c r="K10" s="132" t="s">
        <v>278</v>
      </c>
      <c r="L10" s="133">
        <v>33873.18</v>
      </c>
      <c r="M10" s="168"/>
      <c r="N10" s="160">
        <v>3461678</v>
      </c>
      <c r="O10" s="148">
        <v>37839</v>
      </c>
      <c r="P10" s="167">
        <v>42790</v>
      </c>
      <c r="S10" s="327">
        <v>30793</v>
      </c>
      <c r="T10" s="291" t="s">
        <v>363</v>
      </c>
      <c r="U10" s="139">
        <v>30792.78</v>
      </c>
      <c r="V10" s="293"/>
      <c r="W10" s="198" t="s">
        <v>154</v>
      </c>
      <c r="X10" s="148">
        <v>9000</v>
      </c>
      <c r="Y10" s="167">
        <v>42817</v>
      </c>
    </row>
    <row r="11" spans="1:25" ht="15.75" x14ac:dyDescent="0.25">
      <c r="A11" s="131">
        <v>42801</v>
      </c>
      <c r="B11" s="132" t="s">
        <v>283</v>
      </c>
      <c r="C11" s="133">
        <v>40311.07</v>
      </c>
      <c r="D11" s="128">
        <v>42807</v>
      </c>
      <c r="E11" s="133">
        <v>40311.07</v>
      </c>
      <c r="F11" s="135">
        <f t="shared" si="0"/>
        <v>0</v>
      </c>
      <c r="J11" s="45">
        <f>33430+4972.5+854.5</f>
        <v>39257</v>
      </c>
      <c r="K11" s="132" t="s">
        <v>279</v>
      </c>
      <c r="L11" s="133">
        <v>39257.08</v>
      </c>
      <c r="M11" s="168"/>
      <c r="N11" s="160">
        <v>3461679</v>
      </c>
      <c r="O11" s="161">
        <v>50000</v>
      </c>
      <c r="P11" s="162">
        <v>42791</v>
      </c>
      <c r="S11" s="327">
        <f>5199+24946</f>
        <v>30145</v>
      </c>
      <c r="T11" s="298" t="s">
        <v>364</v>
      </c>
      <c r="U11" s="139">
        <v>30145.08</v>
      </c>
      <c r="V11" s="293"/>
      <c r="W11" s="198">
        <v>3797126</v>
      </c>
      <c r="X11" s="148">
        <v>25000</v>
      </c>
      <c r="Y11" s="167">
        <v>42817</v>
      </c>
    </row>
    <row r="12" spans="1:25" ht="15.75" x14ac:dyDescent="0.25">
      <c r="A12" s="131">
        <v>42802</v>
      </c>
      <c r="B12" s="132" t="s">
        <v>294</v>
      </c>
      <c r="C12" s="133">
        <v>31661.48</v>
      </c>
      <c r="D12" s="128">
        <v>42807</v>
      </c>
      <c r="E12" s="133">
        <v>31661.48</v>
      </c>
      <c r="F12" s="135">
        <f t="shared" si="0"/>
        <v>0</v>
      </c>
      <c r="J12" s="45">
        <f>6542+33387.5</f>
        <v>39929.5</v>
      </c>
      <c r="K12" s="132" t="s">
        <v>280</v>
      </c>
      <c r="L12" s="133">
        <v>39929.42</v>
      </c>
      <c r="M12" s="168"/>
      <c r="N12" s="160">
        <v>3461680</v>
      </c>
      <c r="O12" s="161">
        <v>36336</v>
      </c>
      <c r="P12" s="162">
        <v>42791</v>
      </c>
      <c r="S12" s="327">
        <f>26537+38149</f>
        <v>64686</v>
      </c>
      <c r="T12" s="291" t="s">
        <v>365</v>
      </c>
      <c r="U12" s="139">
        <v>64685.760000000002</v>
      </c>
      <c r="V12" s="293"/>
      <c r="W12" s="198">
        <v>3797127</v>
      </c>
      <c r="X12" s="148">
        <v>29765.5</v>
      </c>
      <c r="Y12" s="167">
        <v>42817</v>
      </c>
    </row>
    <row r="13" spans="1:25" ht="15.75" x14ac:dyDescent="0.25">
      <c r="A13" s="131">
        <v>42802</v>
      </c>
      <c r="B13" s="132" t="s">
        <v>295</v>
      </c>
      <c r="C13" s="133">
        <v>32694.74</v>
      </c>
      <c r="D13" s="128">
        <v>42807</v>
      </c>
      <c r="E13" s="133">
        <v>32694.74</v>
      </c>
      <c r="F13" s="135">
        <f t="shared" si="0"/>
        <v>0</v>
      </c>
      <c r="J13" s="45">
        <f>27152.5+816+5097.5</f>
        <v>33066</v>
      </c>
      <c r="K13" s="132" t="s">
        <v>281</v>
      </c>
      <c r="L13" s="133">
        <v>33066</v>
      </c>
      <c r="M13" s="168"/>
      <c r="N13" s="160">
        <v>3461681</v>
      </c>
      <c r="O13" s="161">
        <v>40000</v>
      </c>
      <c r="P13" s="162">
        <v>42792</v>
      </c>
      <c r="S13" s="327">
        <v>31089.5</v>
      </c>
      <c r="T13" s="291" t="s">
        <v>366</v>
      </c>
      <c r="U13" s="139">
        <v>31089.599999999999</v>
      </c>
      <c r="V13" s="293"/>
      <c r="W13" s="198">
        <v>3797128</v>
      </c>
      <c r="X13" s="148">
        <v>25000</v>
      </c>
      <c r="Y13" s="167">
        <v>42818</v>
      </c>
    </row>
    <row r="14" spans="1:25" ht="16.5" thickBot="1" x14ac:dyDescent="0.3">
      <c r="A14" s="131">
        <v>42802</v>
      </c>
      <c r="B14" s="132" t="s">
        <v>296</v>
      </c>
      <c r="C14" s="133">
        <v>30134.54</v>
      </c>
      <c r="D14" s="128">
        <v>42807</v>
      </c>
      <c r="E14" s="133">
        <v>30134.54</v>
      </c>
      <c r="F14" s="135">
        <f t="shared" si="0"/>
        <v>0</v>
      </c>
      <c r="J14" s="45">
        <v>44247.5</v>
      </c>
      <c r="K14" s="132" t="s">
        <v>282</v>
      </c>
      <c r="L14" s="133">
        <v>44247.4</v>
      </c>
      <c r="M14" s="168"/>
      <c r="N14" s="160">
        <v>3461682</v>
      </c>
      <c r="O14" s="161">
        <v>45423.5</v>
      </c>
      <c r="P14" s="162">
        <v>42792</v>
      </c>
      <c r="S14" s="327">
        <v>2568.5</v>
      </c>
      <c r="T14" s="300" t="s">
        <v>367</v>
      </c>
      <c r="U14" s="314">
        <v>34041.56</v>
      </c>
      <c r="V14" s="325" t="s">
        <v>368</v>
      </c>
      <c r="W14" s="295">
        <v>3797129</v>
      </c>
      <c r="X14" s="296">
        <v>26083</v>
      </c>
      <c r="Y14" s="297">
        <v>42818</v>
      </c>
    </row>
    <row r="15" spans="1:25" ht="19.5" thickBot="1" x14ac:dyDescent="0.35">
      <c r="A15" s="131">
        <v>42803</v>
      </c>
      <c r="B15" s="132" t="s">
        <v>297</v>
      </c>
      <c r="C15" s="133">
        <v>34247.5</v>
      </c>
      <c r="D15" s="128">
        <v>42807</v>
      </c>
      <c r="E15" s="133">
        <v>34247.5</v>
      </c>
      <c r="F15" s="135">
        <f t="shared" ref="F15:F28" si="1">C15-E15</f>
        <v>0</v>
      </c>
      <c r="J15" s="45">
        <f>33563+6748</f>
        <v>40311</v>
      </c>
      <c r="K15" s="132" t="s">
        <v>283</v>
      </c>
      <c r="L15" s="133">
        <v>40311.07</v>
      </c>
      <c r="M15" s="168"/>
      <c r="N15" s="160" t="s">
        <v>154</v>
      </c>
      <c r="O15" s="161">
        <v>3466</v>
      </c>
      <c r="P15" s="162">
        <v>42780</v>
      </c>
      <c r="S15" s="328"/>
      <c r="T15" s="315"/>
      <c r="U15" s="315">
        <v>0</v>
      </c>
      <c r="V15" s="316"/>
      <c r="W15" s="198">
        <v>3797130</v>
      </c>
      <c r="X15" s="315">
        <v>60000</v>
      </c>
      <c r="Y15" s="297">
        <v>42819</v>
      </c>
    </row>
    <row r="16" spans="1:25" ht="15.75" x14ac:dyDescent="0.25">
      <c r="A16" s="131">
        <v>42803</v>
      </c>
      <c r="B16" s="132" t="s">
        <v>298</v>
      </c>
      <c r="C16" s="133">
        <v>30484.400000000001</v>
      </c>
      <c r="D16" s="211" t="s">
        <v>348</v>
      </c>
      <c r="E16" s="133">
        <f>24649.19+5435.21+400</f>
        <v>30484.399999999998</v>
      </c>
      <c r="F16" s="135">
        <f t="shared" si="1"/>
        <v>0</v>
      </c>
      <c r="J16" s="45">
        <v>31661.5</v>
      </c>
      <c r="K16" s="132" t="s">
        <v>294</v>
      </c>
      <c r="L16" s="133">
        <v>31661.48</v>
      </c>
      <c r="M16" s="197"/>
      <c r="N16" s="198" t="s">
        <v>154</v>
      </c>
      <c r="O16" s="148">
        <v>16269</v>
      </c>
      <c r="P16" s="167">
        <v>42786</v>
      </c>
      <c r="S16" s="327"/>
      <c r="T16" s="195"/>
      <c r="U16" s="196">
        <v>0</v>
      </c>
      <c r="V16" s="197"/>
      <c r="W16" s="198"/>
      <c r="X16" s="148"/>
      <c r="Y16" s="297"/>
    </row>
    <row r="17" spans="1:25" ht="15.75" x14ac:dyDescent="0.25">
      <c r="A17" s="131">
        <v>42803</v>
      </c>
      <c r="B17" s="132" t="s">
        <v>304</v>
      </c>
      <c r="C17" s="133">
        <v>31075.32</v>
      </c>
      <c r="D17" s="128">
        <v>42818</v>
      </c>
      <c r="E17" s="133">
        <v>31075.32</v>
      </c>
      <c r="F17" s="135">
        <f t="shared" si="1"/>
        <v>0</v>
      </c>
      <c r="J17" s="278">
        <v>16590.5</v>
      </c>
      <c r="K17" s="132" t="s">
        <v>295</v>
      </c>
      <c r="L17" s="133">
        <v>32694.74</v>
      </c>
      <c r="M17" s="269"/>
      <c r="N17" s="270" t="s">
        <v>154</v>
      </c>
      <c r="O17" s="148">
        <v>6192</v>
      </c>
      <c r="P17" s="167">
        <v>42788</v>
      </c>
      <c r="S17" s="38"/>
      <c r="T17" s="195"/>
      <c r="U17" s="196">
        <v>0</v>
      </c>
      <c r="V17" s="269"/>
      <c r="W17" s="270"/>
      <c r="X17" s="148">
        <v>0</v>
      </c>
      <c r="Y17" s="297"/>
    </row>
    <row r="18" spans="1:25" ht="16.5" thickBot="1" x14ac:dyDescent="0.3">
      <c r="A18" s="131">
        <v>42804</v>
      </c>
      <c r="B18" s="132" t="s">
        <v>305</v>
      </c>
      <c r="C18" s="133">
        <v>32556.02</v>
      </c>
      <c r="D18" s="128">
        <v>42818</v>
      </c>
      <c r="E18" s="133">
        <v>32556.02</v>
      </c>
      <c r="F18" s="135">
        <f t="shared" si="1"/>
        <v>0</v>
      </c>
      <c r="J18" s="45">
        <v>0</v>
      </c>
      <c r="K18" s="132" t="s">
        <v>296</v>
      </c>
      <c r="L18" s="133">
        <v>30134.54</v>
      </c>
      <c r="M18" s="269"/>
      <c r="N18" s="270">
        <v>3461685</v>
      </c>
      <c r="O18" s="148">
        <v>15697</v>
      </c>
      <c r="P18" s="167">
        <v>42793</v>
      </c>
      <c r="S18" s="38"/>
      <c r="T18" s="317"/>
      <c r="U18" s="294">
        <v>0</v>
      </c>
      <c r="V18" s="318"/>
      <c r="W18" s="319"/>
      <c r="X18" s="296">
        <v>0</v>
      </c>
      <c r="Y18" s="297"/>
    </row>
    <row r="19" spans="1:25" ht="19.5" thickBot="1" x14ac:dyDescent="0.35">
      <c r="A19" s="131">
        <v>42804</v>
      </c>
      <c r="B19" s="132" t="s">
        <v>300</v>
      </c>
      <c r="C19" s="133">
        <v>37502.5</v>
      </c>
      <c r="D19" s="128">
        <v>42818</v>
      </c>
      <c r="E19" s="133">
        <v>37502.5</v>
      </c>
      <c r="F19" s="135">
        <f t="shared" si="1"/>
        <v>0</v>
      </c>
      <c r="J19" s="179">
        <v>0</v>
      </c>
      <c r="K19" s="132" t="s">
        <v>297</v>
      </c>
      <c r="L19" s="133">
        <v>34247.5</v>
      </c>
      <c r="M19" s="172"/>
      <c r="N19" s="198">
        <v>3461683</v>
      </c>
      <c r="O19" s="148">
        <v>52000</v>
      </c>
      <c r="P19" s="167">
        <v>42793</v>
      </c>
      <c r="S19" s="320">
        <f t="shared" ref="S19" si="2">SUM(S2:S18)</f>
        <v>365787.06</v>
      </c>
      <c r="T19" s="320"/>
      <c r="U19" s="320">
        <f>SUM(U2:U18)</f>
        <v>367742.5</v>
      </c>
      <c r="V19" s="321"/>
      <c r="W19" s="322"/>
      <c r="X19" s="324">
        <f>SUM(X2:X18)</f>
        <v>367742.5</v>
      </c>
      <c r="Y19" s="323"/>
    </row>
    <row r="20" spans="1:25" ht="15.75" x14ac:dyDescent="0.25">
      <c r="A20" s="131">
        <v>42807</v>
      </c>
      <c r="B20" s="132" t="s">
        <v>301</v>
      </c>
      <c r="C20" s="133">
        <v>33028.6</v>
      </c>
      <c r="D20" s="128">
        <v>42818</v>
      </c>
      <c r="E20" s="133">
        <v>33028.6</v>
      </c>
      <c r="F20" s="135">
        <f t="shared" si="1"/>
        <v>0</v>
      </c>
      <c r="J20" s="179">
        <v>0</v>
      </c>
      <c r="K20" s="132" t="s">
        <v>298</v>
      </c>
      <c r="L20" s="133">
        <v>24649.19</v>
      </c>
      <c r="M20" s="172"/>
      <c r="N20" s="198">
        <v>3461686</v>
      </c>
      <c r="O20" s="148">
        <v>25000</v>
      </c>
      <c r="P20" s="167">
        <v>42794</v>
      </c>
      <c r="S20" s="38"/>
      <c r="T20" s="301"/>
      <c r="U20" s="38"/>
      <c r="V20" s="302"/>
      <c r="W20" s="187"/>
      <c r="X20" s="38"/>
      <c r="Y20" s="128"/>
    </row>
    <row r="21" spans="1:25" ht="15.75" x14ac:dyDescent="0.25">
      <c r="A21" s="131">
        <v>42808</v>
      </c>
      <c r="B21" s="132" t="s">
        <v>302</v>
      </c>
      <c r="C21" s="133">
        <v>34961.1</v>
      </c>
      <c r="D21" s="128">
        <v>42818</v>
      </c>
      <c r="E21" s="133">
        <v>34961.1</v>
      </c>
      <c r="F21" s="135">
        <f t="shared" si="1"/>
        <v>0</v>
      </c>
      <c r="I21" s="38"/>
      <c r="J21" s="179">
        <v>0</v>
      </c>
      <c r="K21" s="196">
        <f>SUM(K3:K20)</f>
        <v>0</v>
      </c>
      <c r="L21" s="133">
        <v>0</v>
      </c>
      <c r="M21" s="198"/>
      <c r="N21" s="274">
        <v>3461687</v>
      </c>
      <c r="O21" s="148">
        <v>13137.5</v>
      </c>
      <c r="P21" s="167">
        <v>42794</v>
      </c>
      <c r="S21" s="38"/>
      <c r="T21" s="256"/>
      <c r="U21" s="108"/>
      <c r="V21" s="302"/>
      <c r="W21" s="187"/>
      <c r="X21" s="38"/>
      <c r="Y21" s="128"/>
    </row>
    <row r="22" spans="1:25" ht="15.75" x14ac:dyDescent="0.25">
      <c r="A22" s="131">
        <v>42809</v>
      </c>
      <c r="B22" s="132" t="s">
        <v>306</v>
      </c>
      <c r="C22" s="133">
        <v>100989.4</v>
      </c>
      <c r="D22" s="128">
        <v>42818</v>
      </c>
      <c r="E22" s="133">
        <v>100989.4</v>
      </c>
      <c r="F22" s="135">
        <f t="shared" si="1"/>
        <v>0</v>
      </c>
      <c r="J22" s="179">
        <v>0</v>
      </c>
      <c r="K22" s="209"/>
      <c r="L22" s="196">
        <v>0</v>
      </c>
      <c r="M22" s="209"/>
      <c r="N22" s="210">
        <v>3461689</v>
      </c>
      <c r="O22" s="148">
        <v>22295.5</v>
      </c>
      <c r="P22" s="167">
        <v>42795</v>
      </c>
      <c r="S22" s="38"/>
      <c r="T22" s="256"/>
      <c r="U22" s="108"/>
      <c r="V22" s="186"/>
      <c r="W22" s="187"/>
      <c r="X22" s="38"/>
      <c r="Y22" s="128"/>
    </row>
    <row r="23" spans="1:25" ht="15.75" x14ac:dyDescent="0.25">
      <c r="A23" s="131">
        <v>42810</v>
      </c>
      <c r="B23" s="132" t="s">
        <v>307</v>
      </c>
      <c r="C23" s="133">
        <v>102867.05</v>
      </c>
      <c r="D23" s="128">
        <v>42818</v>
      </c>
      <c r="E23" s="133">
        <v>102867.05</v>
      </c>
      <c r="F23" s="135">
        <f t="shared" si="1"/>
        <v>0</v>
      </c>
      <c r="J23" s="179">
        <v>0</v>
      </c>
      <c r="K23" s="209"/>
      <c r="L23" s="196">
        <v>0</v>
      </c>
      <c r="M23" s="209"/>
      <c r="N23" s="210">
        <v>3461690</v>
      </c>
      <c r="O23" s="148">
        <v>36207.5</v>
      </c>
      <c r="P23" s="167">
        <v>42796</v>
      </c>
      <c r="S23" s="38"/>
      <c r="T23" s="303"/>
      <c r="U23" s="108"/>
      <c r="V23" s="304"/>
      <c r="W23" s="187"/>
      <c r="X23" s="38"/>
      <c r="Y23" s="128"/>
    </row>
    <row r="24" spans="1:25" ht="15.75" x14ac:dyDescent="0.25">
      <c r="A24" s="131">
        <v>42811</v>
      </c>
      <c r="B24" s="132" t="s">
        <v>308</v>
      </c>
      <c r="C24" s="133">
        <v>33069.050000000003</v>
      </c>
      <c r="D24" s="128">
        <v>42818</v>
      </c>
      <c r="E24" s="133">
        <v>33069.050000000003</v>
      </c>
      <c r="F24" s="135">
        <f t="shared" si="1"/>
        <v>0</v>
      </c>
      <c r="J24" s="179">
        <v>0</v>
      </c>
      <c r="K24" s="209"/>
      <c r="L24" s="196">
        <v>0</v>
      </c>
      <c r="M24" s="209"/>
      <c r="N24" s="210" t="s">
        <v>154</v>
      </c>
      <c r="O24" s="148">
        <v>4972.5</v>
      </c>
      <c r="P24" s="167">
        <v>42793</v>
      </c>
      <c r="S24" s="38"/>
      <c r="T24" s="305"/>
      <c r="U24" s="109"/>
      <c r="V24" s="306"/>
      <c r="W24" s="187"/>
      <c r="X24" s="38"/>
      <c r="Y24" s="128"/>
    </row>
    <row r="25" spans="1:25" ht="15.75" x14ac:dyDescent="0.25">
      <c r="A25" s="131">
        <v>42811</v>
      </c>
      <c r="B25" s="282" t="s">
        <v>312</v>
      </c>
      <c r="C25" s="45">
        <v>37343.449999999997</v>
      </c>
      <c r="D25" s="128">
        <v>42818</v>
      </c>
      <c r="E25" s="45">
        <v>37343.449999999997</v>
      </c>
      <c r="F25" s="135">
        <f t="shared" si="1"/>
        <v>0</v>
      </c>
      <c r="J25" s="179">
        <v>0</v>
      </c>
      <c r="K25" s="209"/>
      <c r="L25" s="196">
        <v>0</v>
      </c>
      <c r="M25" s="209"/>
      <c r="N25" s="210">
        <v>3461691</v>
      </c>
      <c r="O25" s="148">
        <v>30000</v>
      </c>
      <c r="P25" s="167">
        <v>42797</v>
      </c>
      <c r="S25" s="38"/>
      <c r="T25" s="305"/>
      <c r="U25" s="109"/>
      <c r="V25" s="186"/>
      <c r="W25" s="187"/>
      <c r="X25" s="38"/>
      <c r="Y25" s="128"/>
    </row>
    <row r="26" spans="1:25" ht="15.75" x14ac:dyDescent="0.25">
      <c r="A26" s="131">
        <v>42812</v>
      </c>
      <c r="B26" s="282" t="s">
        <v>311</v>
      </c>
      <c r="C26" s="45">
        <v>37602.6</v>
      </c>
      <c r="D26" s="128">
        <v>42818</v>
      </c>
      <c r="E26" s="45">
        <v>37602.6</v>
      </c>
      <c r="F26" s="135">
        <f t="shared" si="1"/>
        <v>0</v>
      </c>
      <c r="J26" s="179">
        <v>0</v>
      </c>
      <c r="K26" s="209"/>
      <c r="L26" s="196">
        <v>0</v>
      </c>
      <c r="M26" s="209"/>
      <c r="N26" s="210">
        <v>34616925</v>
      </c>
      <c r="O26" s="148">
        <v>37936.5</v>
      </c>
      <c r="P26" s="167">
        <v>42797</v>
      </c>
      <c r="S26" s="38"/>
      <c r="T26" s="305"/>
      <c r="U26" s="109"/>
      <c r="V26" s="307"/>
      <c r="W26" s="187"/>
      <c r="X26" s="38"/>
      <c r="Y26" s="128"/>
    </row>
    <row r="27" spans="1:25" ht="15.75" x14ac:dyDescent="0.25">
      <c r="A27" s="131">
        <v>42814</v>
      </c>
      <c r="B27" s="282" t="s">
        <v>310</v>
      </c>
      <c r="C27" s="45">
        <v>35976.6</v>
      </c>
      <c r="D27" s="128">
        <v>42818</v>
      </c>
      <c r="E27" s="45">
        <v>35976.6</v>
      </c>
      <c r="F27" s="135">
        <f t="shared" si="1"/>
        <v>0</v>
      </c>
      <c r="J27" s="179">
        <v>0</v>
      </c>
      <c r="K27" s="209"/>
      <c r="L27" s="196">
        <v>0</v>
      </c>
      <c r="M27" s="209"/>
      <c r="N27" s="210">
        <v>3461693</v>
      </c>
      <c r="O27" s="148">
        <v>55000</v>
      </c>
      <c r="P27" s="167">
        <v>42798</v>
      </c>
      <c r="S27" s="38"/>
      <c r="T27" s="305"/>
      <c r="U27" s="109"/>
      <c r="V27" s="186"/>
      <c r="W27" s="187"/>
      <c r="X27" s="257"/>
      <c r="Y27" s="128"/>
    </row>
    <row r="28" spans="1:25" ht="15.75" x14ac:dyDescent="0.25">
      <c r="A28" s="131">
        <v>42814</v>
      </c>
      <c r="B28" s="282" t="s">
        <v>309</v>
      </c>
      <c r="C28" s="45">
        <v>31476.2</v>
      </c>
      <c r="D28" s="329" t="s">
        <v>370</v>
      </c>
      <c r="E28" s="133">
        <f>29517.4+1958.8</f>
        <v>31476.2</v>
      </c>
      <c r="F28" s="135">
        <f t="shared" si="1"/>
        <v>0</v>
      </c>
      <c r="J28" s="179">
        <v>0</v>
      </c>
      <c r="K28" s="209"/>
      <c r="L28" s="196">
        <v>0</v>
      </c>
      <c r="M28" s="209"/>
      <c r="N28" s="210">
        <v>3461694</v>
      </c>
      <c r="O28" s="148">
        <v>28724</v>
      </c>
      <c r="P28" s="167">
        <v>42798</v>
      </c>
      <c r="S28" s="38"/>
      <c r="T28" s="305"/>
      <c r="U28" s="109"/>
      <c r="V28" s="308"/>
      <c r="W28" s="187"/>
      <c r="X28" s="38"/>
      <c r="Y28" s="128"/>
    </row>
    <row r="29" spans="1:25" ht="16.5" thickBot="1" x14ac:dyDescent="0.3">
      <c r="A29" s="131">
        <v>42816</v>
      </c>
      <c r="B29" s="132" t="s">
        <v>350</v>
      </c>
      <c r="C29" s="133">
        <v>34877.800000000003</v>
      </c>
      <c r="D29" s="128">
        <v>42824</v>
      </c>
      <c r="E29" s="133">
        <v>34877.800000000003</v>
      </c>
      <c r="F29" s="135">
        <f t="shared" si="0"/>
        <v>0</v>
      </c>
      <c r="J29" s="179">
        <v>0</v>
      </c>
      <c r="K29" s="209"/>
      <c r="L29" s="196">
        <v>0</v>
      </c>
      <c r="M29" s="209"/>
      <c r="N29" s="210">
        <v>3461695</v>
      </c>
      <c r="O29" s="148">
        <v>55000</v>
      </c>
      <c r="P29" s="167">
        <v>42799</v>
      </c>
      <c r="S29" s="38"/>
      <c r="T29" s="309"/>
      <c r="U29" s="109"/>
      <c r="V29" s="308"/>
      <c r="W29" s="187"/>
      <c r="X29" s="38"/>
      <c r="Y29" s="128"/>
    </row>
    <row r="30" spans="1:25" ht="16.5" thickBot="1" x14ac:dyDescent="0.3">
      <c r="A30" s="131">
        <v>42816</v>
      </c>
      <c r="B30" s="132" t="s">
        <v>351</v>
      </c>
      <c r="C30" s="133">
        <v>32724</v>
      </c>
      <c r="D30" s="128">
        <v>42824</v>
      </c>
      <c r="E30" s="133">
        <v>32724</v>
      </c>
      <c r="F30" s="135">
        <f t="shared" si="0"/>
        <v>0</v>
      </c>
      <c r="J30" s="273">
        <f>SUM(J1:J29)</f>
        <v>769219.5</v>
      </c>
      <c r="K30" s="271"/>
      <c r="L30" s="275">
        <f>SUM(L3:L29)</f>
        <v>769219.5</v>
      </c>
      <c r="M30" s="276"/>
      <c r="N30" s="276"/>
      <c r="O30" s="275">
        <f>SUM(O3:O29)</f>
        <v>769219.5</v>
      </c>
      <c r="P30" s="272"/>
      <c r="S30" s="38"/>
      <c r="T30" s="305"/>
      <c r="U30" s="109"/>
      <c r="V30" s="308"/>
      <c r="W30" s="187"/>
      <c r="X30" s="38"/>
      <c r="Y30" s="128"/>
    </row>
    <row r="31" spans="1:25" ht="15.75" x14ac:dyDescent="0.25">
      <c r="A31" s="287">
        <v>42817</v>
      </c>
      <c r="B31" s="290" t="s">
        <v>352</v>
      </c>
      <c r="C31" s="288">
        <v>31024.799999999999</v>
      </c>
      <c r="D31" s="128">
        <v>42824</v>
      </c>
      <c r="E31" s="288">
        <v>31024.799999999999</v>
      </c>
      <c r="F31" s="289">
        <f t="shared" si="0"/>
        <v>0</v>
      </c>
      <c r="S31" s="38"/>
      <c r="T31" s="305"/>
      <c r="U31" s="109"/>
      <c r="V31" s="308"/>
      <c r="W31" s="187"/>
      <c r="X31" s="38"/>
      <c r="Y31" s="128"/>
    </row>
    <row r="32" spans="1:25" ht="15.75" x14ac:dyDescent="0.25">
      <c r="A32" s="287">
        <v>42817</v>
      </c>
      <c r="B32" s="291" t="s">
        <v>353</v>
      </c>
      <c r="C32" s="139">
        <v>32986.800000000003</v>
      </c>
      <c r="D32" s="128">
        <v>42824</v>
      </c>
      <c r="E32" s="139">
        <v>32986.800000000003</v>
      </c>
      <c r="F32" s="289">
        <f t="shared" si="0"/>
        <v>0</v>
      </c>
      <c r="J32" s="284">
        <f>31703+2544.5</f>
        <v>34247.5</v>
      </c>
      <c r="K32" s="281" t="s">
        <v>315</v>
      </c>
      <c r="S32" s="38"/>
      <c r="T32" s="305"/>
      <c r="U32" s="109"/>
      <c r="V32" s="308"/>
      <c r="W32" s="187"/>
      <c r="X32" s="38"/>
      <c r="Y32" s="128"/>
    </row>
    <row r="33" spans="1:25" ht="18.75" x14ac:dyDescent="0.3">
      <c r="A33" s="287">
        <v>42818</v>
      </c>
      <c r="B33" s="291" t="s">
        <v>354</v>
      </c>
      <c r="C33" s="139">
        <v>36666</v>
      </c>
      <c r="D33" s="128">
        <v>42824</v>
      </c>
      <c r="E33" s="139">
        <v>36666</v>
      </c>
      <c r="F33" s="289">
        <f t="shared" si="0"/>
        <v>0</v>
      </c>
      <c r="J33" s="4">
        <v>30134.5</v>
      </c>
      <c r="K33" s="281" t="s">
        <v>314</v>
      </c>
      <c r="S33" s="284"/>
      <c r="T33" s="284"/>
      <c r="U33" s="284"/>
      <c r="V33" s="310"/>
      <c r="W33" s="311"/>
      <c r="X33" s="312"/>
      <c r="Y33" s="313"/>
    </row>
    <row r="34" spans="1:25" ht="16.5" thickBot="1" x14ac:dyDescent="0.3">
      <c r="A34" s="287">
        <v>42817</v>
      </c>
      <c r="B34" s="291" t="s">
        <v>361</v>
      </c>
      <c r="C34" s="139">
        <v>2273.1999999999998</v>
      </c>
      <c r="D34" s="128">
        <v>42824</v>
      </c>
      <c r="E34" s="139">
        <v>2273.1999999999998</v>
      </c>
      <c r="F34" s="289">
        <f t="shared" si="0"/>
        <v>0</v>
      </c>
      <c r="I34" s="285" t="s">
        <v>313</v>
      </c>
      <c r="J34" s="45">
        <v>8369.5</v>
      </c>
      <c r="K34" s="154"/>
      <c r="L34" s="283">
        <v>42818</v>
      </c>
      <c r="M34" s="216"/>
      <c r="N34" s="217" t="s">
        <v>141</v>
      </c>
      <c r="O34" s="111"/>
      <c r="P34" s="158"/>
      <c r="S34" s="39"/>
      <c r="T34" s="39"/>
      <c r="U34" s="39"/>
      <c r="V34" s="39"/>
      <c r="W34" s="39"/>
      <c r="X34" s="39"/>
      <c r="Y34" s="39"/>
    </row>
    <row r="35" spans="1:25" ht="16.5" thickTop="1" x14ac:dyDescent="0.25">
      <c r="A35" s="287">
        <v>42818</v>
      </c>
      <c r="B35" s="291" t="s">
        <v>362</v>
      </c>
      <c r="C35" s="139">
        <v>4476.32</v>
      </c>
      <c r="D35" s="128">
        <v>42824</v>
      </c>
      <c r="E35" s="139">
        <v>4476.32</v>
      </c>
      <c r="F35" s="289">
        <f t="shared" si="0"/>
        <v>0</v>
      </c>
      <c r="I35" s="23"/>
      <c r="J35" s="45">
        <v>7735</v>
      </c>
      <c r="K35" s="207" t="s">
        <v>349</v>
      </c>
      <c r="L35" s="219">
        <v>37547.699999999997</v>
      </c>
      <c r="M35" s="214"/>
      <c r="N35" s="160">
        <v>3461696</v>
      </c>
      <c r="O35" s="161">
        <v>7735</v>
      </c>
      <c r="P35" s="162">
        <v>42799</v>
      </c>
      <c r="S35" s="39"/>
      <c r="T35" s="39"/>
      <c r="U35" s="39"/>
      <c r="V35" s="39"/>
      <c r="W35" s="39"/>
      <c r="X35" s="39"/>
      <c r="Y35" s="39"/>
    </row>
    <row r="36" spans="1:25" ht="15.75" x14ac:dyDescent="0.25">
      <c r="A36" s="287">
        <v>42820</v>
      </c>
      <c r="B36" s="291" t="s">
        <v>363</v>
      </c>
      <c r="C36" s="139">
        <v>30792.78</v>
      </c>
      <c r="D36" s="128">
        <v>42824</v>
      </c>
      <c r="E36" s="139">
        <v>30792.78</v>
      </c>
      <c r="F36" s="166">
        <f t="shared" si="0"/>
        <v>0</v>
      </c>
      <c r="I36" s="23"/>
      <c r="J36" s="45">
        <f>4046+24924.5+1514</f>
        <v>30484.5</v>
      </c>
      <c r="K36" s="132" t="s">
        <v>298</v>
      </c>
      <c r="L36" s="133">
        <v>5435.21</v>
      </c>
      <c r="M36" s="159" t="s">
        <v>175</v>
      </c>
      <c r="N36" s="160">
        <v>3461697</v>
      </c>
      <c r="O36" s="161">
        <v>61500</v>
      </c>
      <c r="P36" s="162">
        <v>42800</v>
      </c>
    </row>
    <row r="37" spans="1:25" ht="15.75" x14ac:dyDescent="0.25">
      <c r="A37" s="287">
        <v>42820</v>
      </c>
      <c r="B37" s="298" t="s">
        <v>364</v>
      </c>
      <c r="C37" s="139">
        <v>30145.08</v>
      </c>
      <c r="D37" s="128">
        <v>42824</v>
      </c>
      <c r="E37" s="139">
        <v>30145.08</v>
      </c>
      <c r="F37" s="166">
        <f t="shared" si="0"/>
        <v>0</v>
      </c>
      <c r="I37" s="23"/>
      <c r="J37" s="45">
        <f>23363.5+7712</f>
        <v>31075.5</v>
      </c>
      <c r="K37" s="132" t="s">
        <v>304</v>
      </c>
      <c r="L37" s="133">
        <v>31075.32</v>
      </c>
      <c r="M37" s="163"/>
      <c r="N37" s="160" t="s">
        <v>154</v>
      </c>
      <c r="O37" s="161">
        <v>8707</v>
      </c>
      <c r="P37" s="162">
        <v>42800</v>
      </c>
    </row>
    <row r="38" spans="1:25" ht="15.75" x14ac:dyDescent="0.25">
      <c r="A38" s="287">
        <v>42821</v>
      </c>
      <c r="B38" s="291" t="s">
        <v>365</v>
      </c>
      <c r="C38" s="139">
        <v>64685.760000000002</v>
      </c>
      <c r="D38" s="128">
        <v>42824</v>
      </c>
      <c r="E38" s="139">
        <v>64685.760000000002</v>
      </c>
      <c r="F38" s="166">
        <f t="shared" si="0"/>
        <v>0</v>
      </c>
      <c r="I38" s="23"/>
      <c r="J38" s="45">
        <f>31249.5+1306.5</f>
        <v>32556</v>
      </c>
      <c r="K38" s="132" t="s">
        <v>305</v>
      </c>
      <c r="L38" s="133">
        <v>32556.02</v>
      </c>
      <c r="M38" s="164"/>
      <c r="N38" s="160">
        <v>3461699</v>
      </c>
      <c r="O38" s="161">
        <v>18500</v>
      </c>
      <c r="P38" s="162">
        <v>42801</v>
      </c>
    </row>
    <row r="39" spans="1:25" ht="15.75" x14ac:dyDescent="0.25">
      <c r="A39" s="287">
        <v>42821</v>
      </c>
      <c r="B39" s="291" t="s">
        <v>366</v>
      </c>
      <c r="C39" s="139">
        <v>31089.599999999999</v>
      </c>
      <c r="D39" s="128">
        <v>42824</v>
      </c>
      <c r="E39" s="139">
        <v>31089.599999999999</v>
      </c>
      <c r="F39" s="166">
        <f t="shared" si="0"/>
        <v>0</v>
      </c>
      <c r="I39" s="23"/>
      <c r="J39" s="45">
        <f>10919+26583.5</f>
        <v>37502.5</v>
      </c>
      <c r="K39" s="132" t="s">
        <v>300</v>
      </c>
      <c r="L39" s="133">
        <v>37502.5</v>
      </c>
      <c r="M39" s="277"/>
      <c r="N39" s="160">
        <v>3461700</v>
      </c>
      <c r="O39" s="161">
        <v>13015</v>
      </c>
      <c r="P39" s="162">
        <v>42801</v>
      </c>
    </row>
    <row r="40" spans="1:25" ht="15.75" x14ac:dyDescent="0.25">
      <c r="A40" s="287">
        <v>42823</v>
      </c>
      <c r="B40" s="291" t="s">
        <v>367</v>
      </c>
      <c r="C40" s="139">
        <v>36615.08</v>
      </c>
      <c r="D40" s="346" t="s">
        <v>388</v>
      </c>
      <c r="E40" s="148">
        <f>34041.56+2573.52</f>
        <v>36615.079999999994</v>
      </c>
      <c r="F40" s="166">
        <f t="shared" si="0"/>
        <v>0</v>
      </c>
      <c r="I40" s="23"/>
      <c r="J40" s="45">
        <f>25927.5+7101</f>
        <v>33028.5</v>
      </c>
      <c r="K40" s="132" t="s">
        <v>301</v>
      </c>
      <c r="L40" s="133">
        <v>33028.6</v>
      </c>
      <c r="M40" s="163"/>
      <c r="N40" s="160">
        <v>3797101</v>
      </c>
      <c r="O40" s="161">
        <v>15000</v>
      </c>
      <c r="P40" s="162">
        <v>42802</v>
      </c>
    </row>
    <row r="41" spans="1:25" ht="15.75" x14ac:dyDescent="0.25">
      <c r="A41" s="131">
        <v>42824</v>
      </c>
      <c r="B41" s="291" t="s">
        <v>371</v>
      </c>
      <c r="C41" s="139">
        <v>35468.9</v>
      </c>
      <c r="D41" s="137">
        <v>42838</v>
      </c>
      <c r="E41" s="347">
        <v>35468.9</v>
      </c>
      <c r="F41" s="166">
        <f t="shared" si="0"/>
        <v>0</v>
      </c>
      <c r="I41" s="23"/>
      <c r="J41" s="45">
        <f>33665+33665</f>
        <v>67330</v>
      </c>
      <c r="K41" s="132" t="s">
        <v>302</v>
      </c>
      <c r="L41" s="133">
        <v>34961.1</v>
      </c>
      <c r="M41" s="165"/>
      <c r="N41" s="160">
        <v>3797102</v>
      </c>
      <c r="O41" s="161">
        <v>9877.5</v>
      </c>
      <c r="P41" s="162">
        <v>42802</v>
      </c>
    </row>
    <row r="42" spans="1:25" ht="15.75" x14ac:dyDescent="0.25">
      <c r="A42" s="131">
        <v>42825</v>
      </c>
      <c r="B42" s="291" t="s">
        <v>372</v>
      </c>
      <c r="C42" s="139">
        <v>35771.11</v>
      </c>
      <c r="D42" s="137">
        <v>42838</v>
      </c>
      <c r="E42" s="347">
        <v>35771.11</v>
      </c>
      <c r="F42" s="166">
        <f t="shared" si="0"/>
        <v>0</v>
      </c>
      <c r="I42" s="23"/>
      <c r="J42" s="45">
        <f>15988+63172.5+21839</f>
        <v>100999.5</v>
      </c>
      <c r="K42" s="132" t="s">
        <v>306</v>
      </c>
      <c r="L42" s="133">
        <v>100989.4</v>
      </c>
      <c r="M42" s="163"/>
      <c r="N42" s="160">
        <v>3797103</v>
      </c>
      <c r="O42" s="166">
        <v>25000</v>
      </c>
      <c r="P42" s="167">
        <v>42803</v>
      </c>
    </row>
    <row r="43" spans="1:25" ht="15.75" x14ac:dyDescent="0.25">
      <c r="A43" s="332">
        <v>42825</v>
      </c>
      <c r="B43" s="210" t="s">
        <v>373</v>
      </c>
      <c r="C43" s="334">
        <v>31914.3</v>
      </c>
      <c r="D43" s="137">
        <v>42838</v>
      </c>
      <c r="E43" s="348">
        <v>31914.3</v>
      </c>
      <c r="F43" s="333">
        <f t="shared" si="0"/>
        <v>0</v>
      </c>
      <c r="I43" s="23"/>
      <c r="J43" s="45">
        <f>12635+34246+49096.5+6889.5</f>
        <v>102867</v>
      </c>
      <c r="K43" s="132" t="s">
        <v>307</v>
      </c>
      <c r="L43" s="133">
        <v>102867.05</v>
      </c>
      <c r="M43" s="168"/>
      <c r="N43" s="160" t="s">
        <v>154</v>
      </c>
      <c r="O43" s="148">
        <v>10000</v>
      </c>
      <c r="P43" s="167">
        <v>42804</v>
      </c>
    </row>
    <row r="44" spans="1:25" ht="16.5" thickBot="1" x14ac:dyDescent="0.3">
      <c r="A44" s="332">
        <v>42825</v>
      </c>
      <c r="B44" s="338" t="s">
        <v>374</v>
      </c>
      <c r="C44" s="314">
        <v>34285.699999999997</v>
      </c>
      <c r="D44" s="137">
        <v>42838</v>
      </c>
      <c r="E44" s="349">
        <v>34285.699999999997</v>
      </c>
      <c r="F44" s="314">
        <f t="shared" si="0"/>
        <v>0</v>
      </c>
      <c r="I44" s="23"/>
      <c r="J44" s="45">
        <f>16719.5+14177.5+2172</f>
        <v>33069</v>
      </c>
      <c r="K44" s="132" t="s">
        <v>308</v>
      </c>
      <c r="L44" s="133">
        <v>33069.050000000003</v>
      </c>
      <c r="M44" s="168"/>
      <c r="N44" s="160" t="s">
        <v>154</v>
      </c>
      <c r="O44" s="161">
        <v>3961.5</v>
      </c>
      <c r="P44" s="162">
        <v>42804</v>
      </c>
    </row>
    <row r="45" spans="1:25" ht="25.5" customHeight="1" thickBot="1" x14ac:dyDescent="0.3">
      <c r="A45" s="271"/>
      <c r="B45" s="335"/>
      <c r="C45" s="336">
        <f>SUM(C3:C44)</f>
        <v>1566617.1500000004</v>
      </c>
      <c r="D45" s="335"/>
      <c r="E45" s="275">
        <f>SUM(E3:E44)</f>
        <v>1566617.1500000004</v>
      </c>
      <c r="F45" s="337">
        <f>SUM(F3:F44)</f>
        <v>0</v>
      </c>
      <c r="I45" s="23"/>
      <c r="J45" s="45">
        <f>9513+27830</f>
        <v>37343</v>
      </c>
      <c r="K45" s="282" t="s">
        <v>312</v>
      </c>
      <c r="L45" s="45">
        <v>37343.449999999997</v>
      </c>
      <c r="M45" s="168"/>
      <c r="N45" s="160" t="s">
        <v>154</v>
      </c>
      <c r="O45" s="161">
        <v>20000</v>
      </c>
      <c r="P45" s="162">
        <v>42804</v>
      </c>
    </row>
    <row r="46" spans="1:25" ht="15.75" x14ac:dyDescent="0.25">
      <c r="A46" s="17"/>
      <c r="B46" s="17"/>
      <c r="C46" s="17"/>
      <c r="D46" s="17"/>
      <c r="E46" s="17"/>
      <c r="F46" s="17"/>
      <c r="I46" s="23"/>
      <c r="J46" s="45">
        <v>37602.6</v>
      </c>
      <c r="K46" s="282" t="s">
        <v>311</v>
      </c>
      <c r="L46" s="45">
        <v>37602.6</v>
      </c>
      <c r="M46" s="168"/>
      <c r="N46" s="160">
        <v>3797104</v>
      </c>
      <c r="O46" s="161">
        <v>33817.5</v>
      </c>
      <c r="P46" s="162">
        <v>42804</v>
      </c>
    </row>
    <row r="47" spans="1:25" ht="15.75" x14ac:dyDescent="0.25">
      <c r="I47" s="23"/>
      <c r="J47" s="45">
        <v>21814</v>
      </c>
      <c r="K47" s="282" t="s">
        <v>310</v>
      </c>
      <c r="L47" s="45">
        <v>35976.6</v>
      </c>
      <c r="M47" s="168"/>
      <c r="N47" s="160" t="s">
        <v>154</v>
      </c>
      <c r="O47" s="161">
        <v>6644</v>
      </c>
      <c r="P47" s="162">
        <v>42800</v>
      </c>
    </row>
    <row r="48" spans="1:25" ht="15.75" x14ac:dyDescent="0.25">
      <c r="I48" s="23"/>
      <c r="J48" s="45"/>
      <c r="K48" s="282" t="s">
        <v>309</v>
      </c>
      <c r="L48" s="45">
        <v>29517.4</v>
      </c>
      <c r="M48" s="171" t="s">
        <v>159</v>
      </c>
      <c r="N48" s="160" t="s">
        <v>154</v>
      </c>
      <c r="O48" s="161">
        <v>4275</v>
      </c>
      <c r="P48" s="162">
        <v>42801</v>
      </c>
    </row>
    <row r="49" spans="9:17" ht="15.75" x14ac:dyDescent="0.25">
      <c r="I49" s="23"/>
      <c r="J49" s="45"/>
      <c r="K49" s="221" t="s">
        <v>298</v>
      </c>
      <c r="L49" s="222">
        <v>400</v>
      </c>
      <c r="M49" s="197" t="s">
        <v>143</v>
      </c>
      <c r="N49" s="198">
        <v>3797105</v>
      </c>
      <c r="O49" s="148">
        <v>30000</v>
      </c>
      <c r="P49" s="167">
        <v>42805</v>
      </c>
    </row>
    <row r="50" spans="9:17" ht="15.75" x14ac:dyDescent="0.25">
      <c r="I50" s="23"/>
      <c r="J50" s="45"/>
      <c r="K50" s="132"/>
      <c r="L50" s="133">
        <v>0</v>
      </c>
      <c r="M50" s="269"/>
      <c r="N50" s="270" t="s">
        <v>154</v>
      </c>
      <c r="O50" s="148">
        <v>10766</v>
      </c>
      <c r="P50" s="167">
        <v>42807</v>
      </c>
    </row>
    <row r="51" spans="9:17" ht="15.75" x14ac:dyDescent="0.25">
      <c r="I51" s="23"/>
      <c r="J51" s="45"/>
      <c r="K51" s="132"/>
      <c r="L51" s="133">
        <v>0</v>
      </c>
      <c r="M51" s="269"/>
      <c r="N51" s="270">
        <v>3797106</v>
      </c>
      <c r="O51" s="148">
        <v>49653</v>
      </c>
      <c r="P51" s="167">
        <v>42806</v>
      </c>
    </row>
    <row r="52" spans="9:17" ht="15.75" x14ac:dyDescent="0.25">
      <c r="I52" s="23"/>
      <c r="J52" s="179"/>
      <c r="K52" s="132"/>
      <c r="L52" s="133">
        <v>0</v>
      </c>
      <c r="M52" s="172"/>
      <c r="N52" s="198">
        <v>3797108</v>
      </c>
      <c r="O52" s="148">
        <v>36500</v>
      </c>
      <c r="P52" s="167">
        <v>42807</v>
      </c>
    </row>
    <row r="53" spans="9:17" ht="15.75" x14ac:dyDescent="0.25">
      <c r="J53" s="179">
        <v>0</v>
      </c>
      <c r="K53" s="132"/>
      <c r="L53" s="133">
        <v>0</v>
      </c>
      <c r="M53" s="172"/>
      <c r="N53" s="198">
        <v>3797107</v>
      </c>
      <c r="O53" s="148">
        <v>26671</v>
      </c>
      <c r="P53" s="167">
        <v>42807</v>
      </c>
    </row>
    <row r="54" spans="9:17" ht="15.75" x14ac:dyDescent="0.25">
      <c r="J54" s="179">
        <v>0</v>
      </c>
      <c r="K54" s="196">
        <f>SUM(K36:K53)</f>
        <v>0</v>
      </c>
      <c r="L54" s="133">
        <v>0</v>
      </c>
      <c r="M54" s="198"/>
      <c r="N54" s="274" t="s">
        <v>154</v>
      </c>
      <c r="O54" s="148">
        <v>23500</v>
      </c>
      <c r="P54" s="167">
        <v>42808</v>
      </c>
    </row>
    <row r="55" spans="9:17" ht="15.75" x14ac:dyDescent="0.25">
      <c r="J55" s="179">
        <v>0</v>
      </c>
      <c r="K55" s="209"/>
      <c r="L55" s="196">
        <v>0</v>
      </c>
      <c r="M55" s="209"/>
      <c r="N55" s="210" t="s">
        <v>154</v>
      </c>
      <c r="O55" s="148">
        <v>10974</v>
      </c>
      <c r="P55" s="167">
        <v>42809</v>
      </c>
    </row>
    <row r="56" spans="9:17" ht="15.75" x14ac:dyDescent="0.25">
      <c r="J56" s="179">
        <v>0</v>
      </c>
      <c r="K56" s="209"/>
      <c r="L56" s="196">
        <v>0</v>
      </c>
      <c r="M56" s="209"/>
      <c r="N56" s="210">
        <v>3797109</v>
      </c>
      <c r="O56" s="148">
        <v>25000</v>
      </c>
      <c r="P56" s="167">
        <v>42809</v>
      </c>
    </row>
    <row r="57" spans="9:17" ht="15.75" x14ac:dyDescent="0.25">
      <c r="J57" s="179">
        <v>0</v>
      </c>
      <c r="K57" s="209"/>
      <c r="L57" s="196">
        <v>0</v>
      </c>
      <c r="M57" s="209"/>
      <c r="N57" s="210" t="s">
        <v>154</v>
      </c>
      <c r="O57" s="148">
        <v>9246</v>
      </c>
      <c r="P57" s="167">
        <v>42810</v>
      </c>
    </row>
    <row r="58" spans="9:17" ht="15.75" x14ac:dyDescent="0.25">
      <c r="J58" s="179">
        <v>0</v>
      </c>
      <c r="K58" s="209"/>
      <c r="L58" s="196">
        <v>0</v>
      </c>
      <c r="M58" s="209"/>
      <c r="N58" s="210">
        <v>3797110</v>
      </c>
      <c r="O58" s="148">
        <v>20000</v>
      </c>
      <c r="P58" s="167">
        <v>42810</v>
      </c>
    </row>
    <row r="59" spans="9:17" ht="15.75" x14ac:dyDescent="0.25">
      <c r="J59" s="179">
        <v>0</v>
      </c>
      <c r="K59" s="209"/>
      <c r="L59" s="196">
        <v>0</v>
      </c>
      <c r="M59" s="209"/>
      <c r="N59" s="210">
        <v>3797111</v>
      </c>
      <c r="O59" s="148">
        <v>29096.5</v>
      </c>
      <c r="P59" s="167">
        <v>42810</v>
      </c>
    </row>
    <row r="60" spans="9:17" ht="15.75" x14ac:dyDescent="0.25">
      <c r="J60" s="179">
        <v>0</v>
      </c>
      <c r="K60" s="209"/>
      <c r="L60" s="196">
        <v>0</v>
      </c>
      <c r="M60" s="209"/>
      <c r="N60" s="210">
        <v>3797112</v>
      </c>
      <c r="O60" s="148">
        <v>30000</v>
      </c>
      <c r="P60" s="167">
        <v>42811</v>
      </c>
    </row>
    <row r="61" spans="9:17" ht="15.75" x14ac:dyDescent="0.25">
      <c r="J61" s="179">
        <v>0</v>
      </c>
      <c r="K61" s="209"/>
      <c r="L61" s="196">
        <v>0</v>
      </c>
      <c r="M61" s="209"/>
      <c r="N61" s="210">
        <v>3797114</v>
      </c>
      <c r="O61" s="148">
        <v>21439</v>
      </c>
      <c r="P61" s="167">
        <v>42811</v>
      </c>
    </row>
    <row r="62" spans="9:17" ht="15.75" x14ac:dyDescent="0.25">
      <c r="J62" s="179">
        <v>0</v>
      </c>
      <c r="K62" s="209"/>
      <c r="L62" s="196">
        <v>0</v>
      </c>
      <c r="M62" s="209"/>
      <c r="N62" s="210">
        <v>3797116</v>
      </c>
      <c r="O62" s="148">
        <v>28594</v>
      </c>
      <c r="P62" s="167">
        <v>42812</v>
      </c>
      <c r="Q62" s="5"/>
    </row>
    <row r="63" spans="9:17" ht="16.5" thickBot="1" x14ac:dyDescent="0.3">
      <c r="J63" s="179">
        <v>0</v>
      </c>
      <c r="K63" s="209"/>
      <c r="L63" s="196">
        <v>0</v>
      </c>
      <c r="M63" s="209"/>
      <c r="N63" s="210" t="s">
        <v>154</v>
      </c>
      <c r="O63" s="148">
        <v>400</v>
      </c>
      <c r="P63" s="167">
        <v>42818</v>
      </c>
    </row>
    <row r="64" spans="9:17" ht="16.5" thickBot="1" x14ac:dyDescent="0.3">
      <c r="J64" s="273">
        <f>SUM(J32:J63)</f>
        <v>646158.6</v>
      </c>
      <c r="K64" s="271"/>
      <c r="L64" s="275">
        <f>SUM(L35:L63)</f>
        <v>589872</v>
      </c>
      <c r="M64" s="276"/>
      <c r="N64" s="276"/>
      <c r="O64" s="275">
        <f>SUM(O35:O63)</f>
        <v>589872</v>
      </c>
      <c r="P64" s="272"/>
    </row>
  </sheetData>
  <sortState ref="A15:F24">
    <sortCondition ref="B15:B24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68"/>
  <sheetViews>
    <sheetView topLeftCell="A25" workbookViewId="0">
      <selection activeCell="E45" sqref="E45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486" t="s">
        <v>375</v>
      </c>
      <c r="C1" s="486"/>
      <c r="D1" s="486"/>
      <c r="E1" s="486"/>
      <c r="F1" s="486"/>
      <c r="G1" s="486"/>
      <c r="H1" s="486"/>
      <c r="I1" s="486"/>
      <c r="J1" s="486"/>
      <c r="L1" s="2" t="s">
        <v>1</v>
      </c>
      <c r="M1" s="3"/>
    </row>
    <row r="2" spans="1:14" ht="3.75" customHeight="1" thickBot="1" x14ac:dyDescent="0.3">
      <c r="A2" s="1"/>
      <c r="B2" s="5"/>
      <c r="D2" s="330"/>
      <c r="E2" s="8"/>
      <c r="L2" s="9"/>
      <c r="M2" s="3"/>
    </row>
    <row r="3" spans="1:14" ht="19.5" thickBot="1" x14ac:dyDescent="0.35">
      <c r="A3" s="473" t="s">
        <v>3</v>
      </c>
      <c r="B3" s="10" t="s">
        <v>4</v>
      </c>
      <c r="C3" s="487" t="s">
        <v>2</v>
      </c>
      <c r="D3" s="487"/>
      <c r="E3" s="487"/>
      <c r="F3" s="488">
        <v>2000</v>
      </c>
      <c r="G3" s="488"/>
      <c r="I3" s="5"/>
      <c r="L3" s="9"/>
      <c r="M3" s="3"/>
    </row>
    <row r="4" spans="1:14" ht="20.25" thickTop="1" thickBot="1" x14ac:dyDescent="0.35">
      <c r="A4" s="474"/>
      <c r="B4" s="13">
        <v>202777.97</v>
      </c>
      <c r="C4" s="14"/>
      <c r="D4" s="491" t="s">
        <v>8</v>
      </c>
      <c r="E4" s="492"/>
      <c r="H4" s="493" t="s">
        <v>9</v>
      </c>
      <c r="I4" s="494"/>
      <c r="J4" s="494"/>
      <c r="K4" s="494"/>
      <c r="L4" s="15" t="s">
        <v>10</v>
      </c>
      <c r="M4" s="16" t="s">
        <v>11</v>
      </c>
    </row>
    <row r="5" spans="1:14" ht="16.5" thickTop="1" thickBot="1" x14ac:dyDescent="0.3">
      <c r="A5" s="412">
        <v>42826</v>
      </c>
      <c r="B5" s="413">
        <v>89466.5</v>
      </c>
      <c r="C5" s="20" t="s">
        <v>414</v>
      </c>
      <c r="D5" s="398">
        <v>42826</v>
      </c>
      <c r="E5" s="399">
        <v>71357</v>
      </c>
      <c r="F5" s="23"/>
      <c r="G5" s="24">
        <v>42826</v>
      </c>
      <c r="H5" s="407">
        <v>0</v>
      </c>
      <c r="I5" s="26"/>
      <c r="J5" s="27"/>
      <c r="K5" s="27"/>
      <c r="L5" s="28" t="s">
        <v>415</v>
      </c>
      <c r="M5" s="29">
        <v>0</v>
      </c>
      <c r="N5" s="30"/>
    </row>
    <row r="6" spans="1:14" ht="15.75" thickBot="1" x14ac:dyDescent="0.3">
      <c r="A6" s="414">
        <v>42827</v>
      </c>
      <c r="B6" s="415">
        <v>62934.5</v>
      </c>
      <c r="C6" s="20" t="s">
        <v>417</v>
      </c>
      <c r="D6" s="400">
        <v>42827</v>
      </c>
      <c r="E6" s="401">
        <v>71466.5</v>
      </c>
      <c r="F6" s="36"/>
      <c r="G6" s="24">
        <v>42827</v>
      </c>
      <c r="H6" s="408">
        <v>22</v>
      </c>
      <c r="I6" s="38"/>
      <c r="J6" s="427" t="s">
        <v>15</v>
      </c>
      <c r="K6" s="428">
        <v>549</v>
      </c>
      <c r="L6" s="28" t="s">
        <v>416</v>
      </c>
      <c r="M6" s="29">
        <v>0</v>
      </c>
      <c r="N6" s="30"/>
    </row>
    <row r="7" spans="1:14" ht="15.75" thickBot="1" x14ac:dyDescent="0.3">
      <c r="A7" s="414">
        <v>42828</v>
      </c>
      <c r="B7" s="415">
        <v>41457.5</v>
      </c>
      <c r="C7" s="20" t="s">
        <v>419</v>
      </c>
      <c r="D7" s="400">
        <v>42828</v>
      </c>
      <c r="E7" s="401">
        <v>39864.5</v>
      </c>
      <c r="F7" s="23"/>
      <c r="G7" s="24">
        <v>42828</v>
      </c>
      <c r="H7" s="408">
        <v>33</v>
      </c>
      <c r="I7" s="38"/>
      <c r="J7" s="429" t="s">
        <v>18</v>
      </c>
      <c r="K7" s="430">
        <v>0</v>
      </c>
      <c r="L7" s="28" t="s">
        <v>418</v>
      </c>
      <c r="M7" s="29">
        <v>0</v>
      </c>
      <c r="N7" s="45"/>
    </row>
    <row r="8" spans="1:14" ht="15.75" thickBot="1" x14ac:dyDescent="0.3">
      <c r="A8" s="414">
        <v>42829</v>
      </c>
      <c r="B8" s="415">
        <v>29748</v>
      </c>
      <c r="C8" s="48" t="s">
        <v>421</v>
      </c>
      <c r="D8" s="400">
        <v>42829</v>
      </c>
      <c r="E8" s="401">
        <v>22864</v>
      </c>
      <c r="F8" s="23"/>
      <c r="G8" s="24">
        <v>42829</v>
      </c>
      <c r="H8" s="408">
        <v>0</v>
      </c>
      <c r="I8" s="38"/>
      <c r="J8" s="431" t="s">
        <v>22</v>
      </c>
      <c r="K8" s="432">
        <f>7187.5+7187.5+7187.5+7187.5</f>
        <v>28750</v>
      </c>
      <c r="L8" s="49" t="s">
        <v>420</v>
      </c>
      <c r="M8" s="29">
        <v>0</v>
      </c>
      <c r="N8" s="45"/>
    </row>
    <row r="9" spans="1:14" ht="15.75" thickBot="1" x14ac:dyDescent="0.3">
      <c r="A9" s="414">
        <v>42830</v>
      </c>
      <c r="B9" s="415">
        <v>32218</v>
      </c>
      <c r="C9" s="50" t="s">
        <v>422</v>
      </c>
      <c r="D9" s="400">
        <v>42830</v>
      </c>
      <c r="E9" s="401">
        <v>33708</v>
      </c>
      <c r="F9" s="23"/>
      <c r="G9" s="24">
        <v>42830</v>
      </c>
      <c r="H9" s="408">
        <v>0</v>
      </c>
      <c r="I9" s="419" t="s">
        <v>430</v>
      </c>
      <c r="J9" s="420" t="s">
        <v>410</v>
      </c>
      <c r="K9" s="421">
        <v>8905.58</v>
      </c>
      <c r="L9" s="49" t="s">
        <v>423</v>
      </c>
      <c r="M9" s="29">
        <v>0</v>
      </c>
      <c r="N9" s="30"/>
    </row>
    <row r="10" spans="1:14" ht="15.75" thickBot="1" x14ac:dyDescent="0.3">
      <c r="A10" s="414">
        <v>42831</v>
      </c>
      <c r="B10" s="415">
        <v>34641.35</v>
      </c>
      <c r="C10" s="48" t="s">
        <v>425</v>
      </c>
      <c r="D10" s="400">
        <v>42831</v>
      </c>
      <c r="E10" s="401">
        <v>34641.5</v>
      </c>
      <c r="F10" s="23"/>
      <c r="G10" s="24">
        <v>42831</v>
      </c>
      <c r="H10" s="408">
        <v>0</v>
      </c>
      <c r="I10" s="422" t="s">
        <v>431</v>
      </c>
      <c r="J10" s="209" t="s">
        <v>411</v>
      </c>
      <c r="K10" s="423">
        <v>8905.58</v>
      </c>
      <c r="L10" s="28" t="s">
        <v>424</v>
      </c>
      <c r="M10" s="29">
        <v>0</v>
      </c>
      <c r="N10" s="45"/>
    </row>
    <row r="11" spans="1:14" ht="15.75" thickBot="1" x14ac:dyDescent="0.3">
      <c r="A11" s="414">
        <v>42832</v>
      </c>
      <c r="B11" s="415">
        <v>53025.5</v>
      </c>
      <c r="C11" s="48" t="s">
        <v>427</v>
      </c>
      <c r="D11" s="400">
        <v>42832</v>
      </c>
      <c r="E11" s="401">
        <v>53025.5</v>
      </c>
      <c r="F11" s="23"/>
      <c r="G11" s="24">
        <v>42832</v>
      </c>
      <c r="H11" s="408">
        <v>0</v>
      </c>
      <c r="I11" s="422" t="s">
        <v>462</v>
      </c>
      <c r="J11" s="209" t="s">
        <v>412</v>
      </c>
      <c r="K11" s="423">
        <v>8462.7199999999993</v>
      </c>
      <c r="L11" s="28" t="s">
        <v>426</v>
      </c>
      <c r="M11" s="29">
        <v>0</v>
      </c>
      <c r="N11" s="30"/>
    </row>
    <row r="12" spans="1:14" ht="15.75" thickBot="1" x14ac:dyDescent="0.3">
      <c r="A12" s="414">
        <v>42833</v>
      </c>
      <c r="B12" s="415">
        <v>65809</v>
      </c>
      <c r="C12" s="48" t="s">
        <v>429</v>
      </c>
      <c r="D12" s="400">
        <v>42833</v>
      </c>
      <c r="E12" s="401">
        <v>65809</v>
      </c>
      <c r="F12" s="23"/>
      <c r="G12" s="24">
        <v>42833</v>
      </c>
      <c r="H12" s="408">
        <v>0</v>
      </c>
      <c r="I12" s="424" t="s">
        <v>487</v>
      </c>
      <c r="J12" s="209" t="s">
        <v>413</v>
      </c>
      <c r="K12" s="423">
        <v>8257.9699999999993</v>
      </c>
      <c r="L12" s="28" t="s">
        <v>428</v>
      </c>
      <c r="M12" s="29">
        <v>0</v>
      </c>
      <c r="N12" s="30"/>
    </row>
    <row r="13" spans="1:14" ht="15.75" thickBot="1" x14ac:dyDescent="0.3">
      <c r="A13" s="414">
        <v>42834</v>
      </c>
      <c r="B13" s="415">
        <v>72595.5</v>
      </c>
      <c r="C13" s="48" t="s">
        <v>433</v>
      </c>
      <c r="D13" s="400">
        <v>42834</v>
      </c>
      <c r="E13" s="401">
        <v>75792.5</v>
      </c>
      <c r="F13" s="23"/>
      <c r="G13" s="24">
        <v>42834</v>
      </c>
      <c r="H13" s="408">
        <v>0</v>
      </c>
      <c r="I13" s="425" t="s">
        <v>525</v>
      </c>
      <c r="J13" s="318" t="s">
        <v>499</v>
      </c>
      <c r="K13" s="426">
        <v>8250.8700000000008</v>
      </c>
      <c r="L13" s="28" t="s">
        <v>432</v>
      </c>
      <c r="M13" s="29">
        <v>0</v>
      </c>
      <c r="N13" s="45"/>
    </row>
    <row r="14" spans="1:14" ht="15.75" thickBot="1" x14ac:dyDescent="0.3">
      <c r="A14" s="414">
        <v>42835</v>
      </c>
      <c r="B14" s="415">
        <v>57925.5</v>
      </c>
      <c r="C14" s="50" t="s">
        <v>443</v>
      </c>
      <c r="D14" s="400">
        <v>42835</v>
      </c>
      <c r="E14" s="401">
        <v>61510.5</v>
      </c>
      <c r="F14" s="23"/>
      <c r="G14" s="24">
        <v>42835</v>
      </c>
      <c r="H14" s="408">
        <v>0</v>
      </c>
      <c r="I14" s="38"/>
      <c r="J14" s="53"/>
      <c r="K14" s="40">
        <v>0</v>
      </c>
      <c r="L14" s="28" t="s">
        <v>444</v>
      </c>
      <c r="M14" s="29">
        <v>0</v>
      </c>
      <c r="N14" s="45"/>
    </row>
    <row r="15" spans="1:14" ht="15.75" thickBot="1" x14ac:dyDescent="0.3">
      <c r="A15" s="414">
        <v>42836</v>
      </c>
      <c r="B15" s="415">
        <v>24251.5</v>
      </c>
      <c r="C15" s="50" t="s">
        <v>446</v>
      </c>
      <c r="D15" s="400">
        <v>42836</v>
      </c>
      <c r="E15" s="401">
        <v>24251.5</v>
      </c>
      <c r="F15" s="23"/>
      <c r="G15" s="24">
        <v>42836</v>
      </c>
      <c r="H15" s="408">
        <v>0</v>
      </c>
      <c r="I15" s="38"/>
      <c r="J15" s="52" t="s">
        <v>44</v>
      </c>
      <c r="K15" s="40">
        <v>0</v>
      </c>
      <c r="L15" s="28" t="s">
        <v>445</v>
      </c>
      <c r="M15" s="29">
        <v>0</v>
      </c>
      <c r="N15" s="45"/>
    </row>
    <row r="16" spans="1:14" ht="15.75" thickBot="1" x14ac:dyDescent="0.3">
      <c r="A16" s="414">
        <v>42837</v>
      </c>
      <c r="B16" s="415">
        <v>30506.5</v>
      </c>
      <c r="C16" s="50" t="s">
        <v>457</v>
      </c>
      <c r="D16" s="400">
        <v>42837</v>
      </c>
      <c r="E16" s="401">
        <v>30539.5</v>
      </c>
      <c r="F16" s="23"/>
      <c r="G16" s="24">
        <v>42837</v>
      </c>
      <c r="H16" s="408">
        <v>33</v>
      </c>
      <c r="I16" s="38"/>
      <c r="J16" s="54"/>
      <c r="K16" s="55">
        <v>0</v>
      </c>
      <c r="L16" s="28" t="s">
        <v>456</v>
      </c>
      <c r="M16" s="29">
        <v>0</v>
      </c>
      <c r="N16" s="45"/>
    </row>
    <row r="17" spans="1:14" ht="15.75" thickBot="1" x14ac:dyDescent="0.3">
      <c r="A17" s="414">
        <v>42838</v>
      </c>
      <c r="B17" s="415">
        <v>34467</v>
      </c>
      <c r="C17" s="50" t="s">
        <v>459</v>
      </c>
      <c r="D17" s="400">
        <v>42838</v>
      </c>
      <c r="E17" s="401">
        <v>43814.5</v>
      </c>
      <c r="F17" s="23"/>
      <c r="G17" s="24">
        <v>42838</v>
      </c>
      <c r="H17" s="408">
        <v>17</v>
      </c>
      <c r="I17" s="38"/>
      <c r="J17" s="483" t="s">
        <v>49</v>
      </c>
      <c r="K17" s="55">
        <v>0</v>
      </c>
      <c r="L17" s="28" t="s">
        <v>458</v>
      </c>
      <c r="M17" s="29">
        <v>0</v>
      </c>
      <c r="N17" s="45"/>
    </row>
    <row r="18" spans="1:14" ht="15.75" thickBot="1" x14ac:dyDescent="0.3">
      <c r="A18" s="414">
        <v>42839</v>
      </c>
      <c r="B18" s="416">
        <v>0</v>
      </c>
      <c r="C18" s="362" t="s">
        <v>464</v>
      </c>
      <c r="D18" s="400">
        <v>42839</v>
      </c>
      <c r="E18" s="402">
        <v>0</v>
      </c>
      <c r="F18" s="23"/>
      <c r="G18" s="24">
        <v>42839</v>
      </c>
      <c r="H18" s="409">
        <v>0</v>
      </c>
      <c r="I18" s="56"/>
      <c r="J18" s="483"/>
      <c r="K18" s="29">
        <v>0</v>
      </c>
      <c r="L18" s="363" t="s">
        <v>463</v>
      </c>
      <c r="M18" s="29">
        <v>0</v>
      </c>
      <c r="N18" s="45"/>
    </row>
    <row r="19" spans="1:14" ht="15.75" thickBot="1" x14ac:dyDescent="0.3">
      <c r="A19" s="414">
        <v>42840</v>
      </c>
      <c r="B19" s="415">
        <v>77923.5</v>
      </c>
      <c r="C19" s="50" t="s">
        <v>461</v>
      </c>
      <c r="D19" s="400">
        <v>42840</v>
      </c>
      <c r="E19" s="401">
        <v>80791.5</v>
      </c>
      <c r="F19" s="23"/>
      <c r="G19" s="24">
        <v>42840</v>
      </c>
      <c r="H19" s="408">
        <v>0</v>
      </c>
      <c r="I19" s="38"/>
      <c r="J19" s="52" t="s">
        <v>54</v>
      </c>
      <c r="K19" s="29">
        <v>0</v>
      </c>
      <c r="L19" s="28" t="s">
        <v>460</v>
      </c>
      <c r="M19" s="29">
        <v>0</v>
      </c>
      <c r="N19" s="45"/>
    </row>
    <row r="20" spans="1:14" ht="15.75" thickBot="1" x14ac:dyDescent="0.3">
      <c r="A20" s="414">
        <v>42841</v>
      </c>
      <c r="B20" s="415">
        <v>72250.5</v>
      </c>
      <c r="C20" s="57" t="s">
        <v>466</v>
      </c>
      <c r="D20" s="400">
        <v>42841</v>
      </c>
      <c r="E20" s="401">
        <v>76524</v>
      </c>
      <c r="F20" s="23"/>
      <c r="G20" s="24">
        <v>42841</v>
      </c>
      <c r="H20" s="408">
        <v>0</v>
      </c>
      <c r="I20" s="58"/>
      <c r="J20" s="59" t="s">
        <v>57</v>
      </c>
      <c r="K20" s="60">
        <v>0</v>
      </c>
      <c r="L20" s="28" t="s">
        <v>465</v>
      </c>
      <c r="M20" s="29">
        <v>0</v>
      </c>
      <c r="N20" s="45"/>
    </row>
    <row r="21" spans="1:14" ht="15.75" thickBot="1" x14ac:dyDescent="0.3">
      <c r="A21" s="414">
        <v>42842</v>
      </c>
      <c r="B21" s="415">
        <v>48721</v>
      </c>
      <c r="C21" s="57" t="s">
        <v>468</v>
      </c>
      <c r="D21" s="400">
        <v>42842</v>
      </c>
      <c r="E21" s="401">
        <v>38679</v>
      </c>
      <c r="F21" s="23"/>
      <c r="G21" s="24">
        <v>42842</v>
      </c>
      <c r="H21" s="408">
        <v>0</v>
      </c>
      <c r="I21" s="38"/>
      <c r="J21" s="61"/>
      <c r="K21" s="60">
        <v>0</v>
      </c>
      <c r="L21" s="28" t="s">
        <v>467</v>
      </c>
      <c r="M21" s="29">
        <v>0</v>
      </c>
      <c r="N21" s="45"/>
    </row>
    <row r="22" spans="1:14" ht="15.75" thickBot="1" x14ac:dyDescent="0.3">
      <c r="A22" s="414">
        <v>42843</v>
      </c>
      <c r="B22" s="415">
        <v>35278</v>
      </c>
      <c r="C22" s="50" t="s">
        <v>470</v>
      </c>
      <c r="D22" s="400">
        <v>42843</v>
      </c>
      <c r="E22" s="401">
        <v>55778</v>
      </c>
      <c r="F22" s="23"/>
      <c r="G22" s="24">
        <v>42843</v>
      </c>
      <c r="H22" s="408">
        <v>0</v>
      </c>
      <c r="I22" s="58"/>
      <c r="J22" s="62"/>
      <c r="K22" s="60">
        <v>0</v>
      </c>
      <c r="L22" s="28" t="s">
        <v>469</v>
      </c>
      <c r="M22" s="29">
        <v>0</v>
      </c>
      <c r="N22" s="45"/>
    </row>
    <row r="23" spans="1:14" ht="15.75" thickBot="1" x14ac:dyDescent="0.3">
      <c r="A23" s="414">
        <v>42844</v>
      </c>
      <c r="B23" s="415">
        <v>72962.5</v>
      </c>
      <c r="C23" s="50" t="s">
        <v>479</v>
      </c>
      <c r="D23" s="400">
        <v>42844</v>
      </c>
      <c r="E23" s="401">
        <v>56806.5</v>
      </c>
      <c r="F23" s="23"/>
      <c r="G23" s="24">
        <v>42844</v>
      </c>
      <c r="H23" s="408">
        <v>0</v>
      </c>
      <c r="I23" s="38"/>
      <c r="J23" s="63"/>
      <c r="K23" s="60">
        <v>0</v>
      </c>
      <c r="L23" s="28" t="s">
        <v>478</v>
      </c>
      <c r="M23" s="29">
        <v>0</v>
      </c>
      <c r="N23" s="45"/>
    </row>
    <row r="24" spans="1:14" ht="15.75" thickBot="1" x14ac:dyDescent="0.3">
      <c r="A24" s="414">
        <v>42845</v>
      </c>
      <c r="B24" s="415">
        <v>47648.5</v>
      </c>
      <c r="C24" s="50" t="s">
        <v>483</v>
      </c>
      <c r="D24" s="400">
        <v>42845</v>
      </c>
      <c r="E24" s="401">
        <v>48548.5</v>
      </c>
      <c r="F24" s="23"/>
      <c r="G24" s="24">
        <v>42845</v>
      </c>
      <c r="H24" s="408">
        <v>0</v>
      </c>
      <c r="I24" s="38"/>
      <c r="J24" s="359" t="s">
        <v>66</v>
      </c>
      <c r="K24" s="60">
        <v>870</v>
      </c>
      <c r="L24" s="28" t="s">
        <v>482</v>
      </c>
      <c r="M24" s="29">
        <v>0</v>
      </c>
      <c r="N24" s="45"/>
    </row>
    <row r="25" spans="1:14" ht="15.75" thickBot="1" x14ac:dyDescent="0.3">
      <c r="A25" s="414">
        <v>42846</v>
      </c>
      <c r="B25" s="415">
        <v>58849.5</v>
      </c>
      <c r="C25" s="57" t="s">
        <v>485</v>
      </c>
      <c r="D25" s="400">
        <v>42846</v>
      </c>
      <c r="E25" s="401">
        <v>64173</v>
      </c>
      <c r="F25" s="23"/>
      <c r="G25" s="24">
        <v>42846</v>
      </c>
      <c r="H25" s="408">
        <v>0</v>
      </c>
      <c r="I25" s="38"/>
      <c r="J25" s="68">
        <v>42830</v>
      </c>
      <c r="K25" s="60">
        <v>0</v>
      </c>
      <c r="L25" s="28" t="s">
        <v>484</v>
      </c>
      <c r="M25" s="29">
        <v>0</v>
      </c>
      <c r="N25" s="45"/>
    </row>
    <row r="26" spans="1:14" ht="15.75" thickBot="1" x14ac:dyDescent="0.3">
      <c r="A26" s="414">
        <v>42847</v>
      </c>
      <c r="B26" s="415">
        <v>0</v>
      </c>
      <c r="C26" s="50"/>
      <c r="D26" s="400">
        <v>42847</v>
      </c>
      <c r="E26" s="401">
        <v>85890.5</v>
      </c>
      <c r="F26" s="23"/>
      <c r="G26" s="24">
        <v>42847</v>
      </c>
      <c r="H26" s="408">
        <v>0</v>
      </c>
      <c r="I26" s="38"/>
      <c r="J26" s="360" t="s">
        <v>73</v>
      </c>
      <c r="K26" s="60">
        <v>900</v>
      </c>
      <c r="L26" s="28" t="s">
        <v>486</v>
      </c>
      <c r="M26" s="29">
        <v>0</v>
      </c>
      <c r="N26" s="45"/>
    </row>
    <row r="27" spans="1:14" ht="15.75" thickBot="1" x14ac:dyDescent="0.3">
      <c r="A27" s="414">
        <v>42848</v>
      </c>
      <c r="B27" s="415">
        <v>0</v>
      </c>
      <c r="C27" s="50"/>
      <c r="D27" s="400">
        <v>42848</v>
      </c>
      <c r="E27" s="401">
        <v>88010.5</v>
      </c>
      <c r="F27" s="23"/>
      <c r="G27" s="24">
        <v>42848</v>
      </c>
      <c r="H27" s="408">
        <v>0</v>
      </c>
      <c r="I27" s="38"/>
      <c r="J27" s="73">
        <v>42859</v>
      </c>
      <c r="K27" s="60">
        <v>0</v>
      </c>
      <c r="L27" s="28" t="s">
        <v>488</v>
      </c>
      <c r="M27" s="29">
        <v>0</v>
      </c>
    </row>
    <row r="28" spans="1:14" ht="15.75" thickBot="1" x14ac:dyDescent="0.3">
      <c r="A28" s="414">
        <v>42849</v>
      </c>
      <c r="B28" s="415">
        <v>0</v>
      </c>
      <c r="C28" s="50"/>
      <c r="D28" s="400">
        <v>42849</v>
      </c>
      <c r="E28" s="401">
        <v>68795</v>
      </c>
      <c r="F28" s="23"/>
      <c r="G28" s="24">
        <v>42849</v>
      </c>
      <c r="H28" s="408">
        <v>0</v>
      </c>
      <c r="I28" s="38"/>
      <c r="J28" s="358"/>
      <c r="K28" s="60">
        <v>0</v>
      </c>
      <c r="L28" s="75" t="s">
        <v>489</v>
      </c>
      <c r="M28" s="29">
        <v>0</v>
      </c>
    </row>
    <row r="29" spans="1:14" ht="15.75" thickBot="1" x14ac:dyDescent="0.3">
      <c r="A29" s="414">
        <v>42850</v>
      </c>
      <c r="B29" s="415">
        <v>23965</v>
      </c>
      <c r="C29" s="50" t="s">
        <v>491</v>
      </c>
      <c r="D29" s="400">
        <v>42850</v>
      </c>
      <c r="E29" s="401">
        <v>21653</v>
      </c>
      <c r="F29" s="23"/>
      <c r="G29" s="24">
        <v>42850</v>
      </c>
      <c r="H29" s="408">
        <v>0</v>
      </c>
      <c r="I29" s="38"/>
      <c r="J29" s="68"/>
      <c r="K29" s="60">
        <v>0</v>
      </c>
      <c r="L29" s="28" t="s">
        <v>490</v>
      </c>
      <c r="M29" s="29">
        <v>0</v>
      </c>
    </row>
    <row r="30" spans="1:14" ht="15.75" thickBot="1" x14ac:dyDescent="0.3">
      <c r="A30" s="414">
        <v>42851</v>
      </c>
      <c r="B30" s="415">
        <v>55511.5</v>
      </c>
      <c r="C30" s="20" t="s">
        <v>493</v>
      </c>
      <c r="D30" s="400">
        <v>42851</v>
      </c>
      <c r="E30" s="401">
        <v>38695.5</v>
      </c>
      <c r="F30" s="23"/>
      <c r="G30" s="24">
        <v>42851</v>
      </c>
      <c r="H30" s="408">
        <v>0</v>
      </c>
      <c r="I30" s="38"/>
      <c r="J30" s="76" t="s">
        <v>82</v>
      </c>
      <c r="K30" s="60">
        <v>0</v>
      </c>
      <c r="L30" s="75" t="s">
        <v>492</v>
      </c>
      <c r="M30" s="29">
        <v>0</v>
      </c>
    </row>
    <row r="31" spans="1:14" ht="15.75" thickBot="1" x14ac:dyDescent="0.3">
      <c r="A31" s="414">
        <v>42852</v>
      </c>
      <c r="B31" s="415">
        <v>52557.5</v>
      </c>
      <c r="C31" s="20" t="s">
        <v>520</v>
      </c>
      <c r="D31" s="400">
        <v>42852</v>
      </c>
      <c r="E31" s="401">
        <v>48499.5</v>
      </c>
      <c r="F31" s="23"/>
      <c r="G31" s="24">
        <v>42852</v>
      </c>
      <c r="H31" s="408">
        <v>33</v>
      </c>
      <c r="I31" s="38"/>
      <c r="J31" s="77"/>
      <c r="K31" s="60">
        <v>0</v>
      </c>
      <c r="L31" s="75" t="s">
        <v>519</v>
      </c>
      <c r="M31" s="29">
        <v>0</v>
      </c>
    </row>
    <row r="32" spans="1:14" ht="15.75" thickBot="1" x14ac:dyDescent="0.3">
      <c r="A32" s="414">
        <v>42853</v>
      </c>
      <c r="B32" s="415">
        <v>55688</v>
      </c>
      <c r="C32" s="20" t="s">
        <v>522</v>
      </c>
      <c r="D32" s="400">
        <v>42853</v>
      </c>
      <c r="E32" s="401">
        <v>55688</v>
      </c>
      <c r="F32" s="23"/>
      <c r="G32" s="24">
        <v>42853</v>
      </c>
      <c r="H32" s="408">
        <v>0</v>
      </c>
      <c r="I32" s="38"/>
      <c r="J32" s="76"/>
      <c r="K32" s="40"/>
      <c r="L32" s="28" t="s">
        <v>521</v>
      </c>
      <c r="M32" s="29">
        <v>0</v>
      </c>
    </row>
    <row r="33" spans="1:13" ht="15.75" thickBot="1" x14ac:dyDescent="0.3">
      <c r="A33" s="414">
        <v>42854</v>
      </c>
      <c r="B33" s="415">
        <v>83218</v>
      </c>
      <c r="C33" s="48" t="s">
        <v>524</v>
      </c>
      <c r="D33" s="400">
        <v>42854</v>
      </c>
      <c r="E33" s="401">
        <v>83218</v>
      </c>
      <c r="F33" s="23"/>
      <c r="G33" s="24">
        <v>42854</v>
      </c>
      <c r="H33" s="408">
        <v>0</v>
      </c>
      <c r="I33" s="38"/>
      <c r="J33" s="190"/>
      <c r="K33" s="191"/>
      <c r="L33" s="28" t="s">
        <v>523</v>
      </c>
      <c r="M33" s="29">
        <v>0</v>
      </c>
    </row>
    <row r="34" spans="1:13" ht="15.75" thickBot="1" x14ac:dyDescent="0.3">
      <c r="A34" s="417">
        <v>42855</v>
      </c>
      <c r="B34" s="418">
        <v>56266.5</v>
      </c>
      <c r="C34" s="57" t="s">
        <v>527</v>
      </c>
      <c r="D34" s="400">
        <v>42855</v>
      </c>
      <c r="E34" s="401">
        <v>54058</v>
      </c>
      <c r="F34" s="23"/>
      <c r="G34" s="24">
        <v>42855</v>
      </c>
      <c r="H34" s="408">
        <v>0</v>
      </c>
      <c r="I34" s="38"/>
      <c r="J34" s="190"/>
      <c r="K34" s="191"/>
      <c r="L34" s="80" t="s">
        <v>526</v>
      </c>
      <c r="M34" s="29">
        <v>0</v>
      </c>
    </row>
    <row r="35" spans="1:13" ht="15.75" thickBot="1" x14ac:dyDescent="0.3">
      <c r="A35" s="18"/>
      <c r="B35" s="34"/>
      <c r="C35" s="20"/>
      <c r="D35" s="400"/>
      <c r="E35" s="401"/>
      <c r="F35" s="23"/>
      <c r="G35" s="24"/>
      <c r="H35" s="408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403"/>
      <c r="E36" s="404">
        <v>0</v>
      </c>
      <c r="G36" s="86"/>
      <c r="H36" s="410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405"/>
      <c r="E37" s="406">
        <v>0</v>
      </c>
      <c r="G37" s="93"/>
      <c r="H37" s="411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1369886.35</v>
      </c>
      <c r="D38" s="100" t="s">
        <v>85</v>
      </c>
      <c r="E38" s="101">
        <f>SUM(E5:E37)</f>
        <v>1594453</v>
      </c>
      <c r="G38" s="330" t="s">
        <v>85</v>
      </c>
      <c r="H38" s="4">
        <f>SUM(H5:H37)</f>
        <v>138</v>
      </c>
      <c r="I38" s="4"/>
      <c r="J38" s="102" t="s">
        <v>85</v>
      </c>
      <c r="K38" s="103">
        <f t="shared" ref="K38" si="0">SUM(K5:K37)</f>
        <v>73851.72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479" t="s">
        <v>86</v>
      </c>
      <c r="H40" s="480"/>
      <c r="I40" s="331"/>
      <c r="J40" s="481">
        <f>H38+K38</f>
        <v>73989.72</v>
      </c>
      <c r="K40" s="482"/>
      <c r="L40" s="108"/>
      <c r="M40" s="108"/>
    </row>
    <row r="41" spans="1:13" ht="15.75" x14ac:dyDescent="0.25">
      <c r="A41" s="1"/>
      <c r="B41" s="5"/>
      <c r="C41" s="501" t="s">
        <v>87</v>
      </c>
      <c r="D41" s="501"/>
      <c r="E41" s="109">
        <f>E38-J40</f>
        <v>1520463.28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-1433692.55</v>
      </c>
      <c r="H43" s="500"/>
      <c r="I43" s="500"/>
      <c r="J43" s="500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86770.729999999981</v>
      </c>
      <c r="H44" s="502" t="s">
        <v>91</v>
      </c>
      <c r="I44" s="502"/>
      <c r="J44" s="503">
        <f>E46</f>
        <v>212163.83</v>
      </c>
      <c r="K44" s="504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125393.1</v>
      </c>
      <c r="H45" s="505" t="s">
        <v>3</v>
      </c>
      <c r="I45" s="505"/>
      <c r="J45" s="490">
        <v>-202777.97</v>
      </c>
      <c r="K45" s="490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212163.83</v>
      </c>
      <c r="I46" s="116"/>
      <c r="J46" s="495">
        <v>0</v>
      </c>
      <c r="K46" s="495"/>
      <c r="L46" s="108"/>
      <c r="M46" s="108"/>
    </row>
    <row r="47" spans="1:13" ht="19.5" thickBot="1" x14ac:dyDescent="0.3">
      <c r="A47" s="1"/>
      <c r="B47" s="5"/>
      <c r="E47" s="109"/>
      <c r="H47" s="496" t="s">
        <v>94</v>
      </c>
      <c r="I47" s="497"/>
      <c r="J47" s="498">
        <f>SUM(J44:K46)</f>
        <v>9385.859999999986</v>
      </c>
      <c r="K47" s="499"/>
      <c r="L47" s="108"/>
      <c r="M47" s="108"/>
    </row>
    <row r="48" spans="1:13" x14ac:dyDescent="0.25">
      <c r="A48" s="1"/>
      <c r="B48" s="5"/>
      <c r="C48" s="500"/>
      <c r="D48" s="500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C3:E3"/>
    <mergeCell ref="F3:G3"/>
    <mergeCell ref="A3:A4"/>
    <mergeCell ref="D4:E4"/>
    <mergeCell ref="H4:K4"/>
  </mergeCells>
  <pageMargins left="0.70866141732283472" right="0.70866141732283472" top="0.35433070866141736" bottom="0" header="0.31496062992125984" footer="0.31496062992125984"/>
  <pageSetup scale="78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Y70"/>
  <sheetViews>
    <sheetView topLeftCell="L19" workbookViewId="0">
      <selection activeCell="X22" sqref="X22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10" max="10" width="16.28515625" bestFit="1" customWidth="1"/>
    <col min="12" max="12" width="14.7109375" customWidth="1"/>
    <col min="14" max="14" width="12.42578125" customWidth="1"/>
    <col min="15" max="15" width="13.85546875" bestFit="1" customWidth="1"/>
    <col min="16" max="16" width="12.5703125" customWidth="1"/>
    <col min="19" max="19" width="14.28515625" customWidth="1"/>
    <col min="21" max="21" width="13.85546875" bestFit="1" customWidth="1"/>
    <col min="24" max="24" width="14.140625" customWidth="1"/>
  </cols>
  <sheetData>
    <row r="1" spans="1:25" ht="19.5" thickBot="1" x14ac:dyDescent="0.35">
      <c r="A1" s="1"/>
      <c r="B1" s="118"/>
      <c r="C1" s="506" t="s">
        <v>95</v>
      </c>
      <c r="D1" s="507"/>
      <c r="E1" s="508"/>
      <c r="F1" s="119"/>
      <c r="J1" s="45"/>
      <c r="K1" s="154"/>
      <c r="L1" s="343">
        <v>42838</v>
      </c>
      <c r="M1" s="216"/>
      <c r="N1" s="217" t="s">
        <v>141</v>
      </c>
      <c r="O1" s="111"/>
      <c r="P1" s="158"/>
      <c r="R1" s="12" t="s">
        <v>439</v>
      </c>
      <c r="S1" s="45">
        <f>6251.5+27831.35</f>
        <v>34082.85</v>
      </c>
      <c r="T1" s="154"/>
      <c r="U1" s="361">
        <v>42847</v>
      </c>
      <c r="V1" s="216"/>
      <c r="W1" s="217" t="s">
        <v>141</v>
      </c>
      <c r="X1" s="111"/>
      <c r="Y1" s="158"/>
    </row>
    <row r="2" spans="1:25" ht="20.25" thickTop="1" thickBot="1" x14ac:dyDescent="0.35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388"/>
      <c r="J2" s="45">
        <v>34046.5</v>
      </c>
      <c r="K2" s="376" t="s">
        <v>367</v>
      </c>
      <c r="L2" s="148">
        <v>2573.52</v>
      </c>
      <c r="M2" s="214" t="s">
        <v>143</v>
      </c>
      <c r="N2" s="160">
        <v>3797131</v>
      </c>
      <c r="O2" s="161">
        <v>11807</v>
      </c>
      <c r="P2" s="162">
        <v>42819</v>
      </c>
      <c r="S2" s="45">
        <f>2675+28401</f>
        <v>31076</v>
      </c>
      <c r="T2" s="365" t="s">
        <v>452</v>
      </c>
      <c r="U2" s="364">
        <v>31076.1</v>
      </c>
      <c r="V2" s="165"/>
      <c r="W2" s="160">
        <v>3797659</v>
      </c>
      <c r="X2" s="161">
        <v>6251.5</v>
      </c>
      <c r="Y2" s="162">
        <v>42836</v>
      </c>
    </row>
    <row r="3" spans="1:25" ht="15.75" x14ac:dyDescent="0.25">
      <c r="A3" s="125">
        <v>42826</v>
      </c>
      <c r="B3" s="126" t="s">
        <v>376</v>
      </c>
      <c r="C3" s="127">
        <v>64613.45</v>
      </c>
      <c r="D3" s="128">
        <v>42838</v>
      </c>
      <c r="E3" s="127">
        <v>64613.45</v>
      </c>
      <c r="F3" s="129">
        <f t="shared" ref="F3:F45" si="0">C3-E3</f>
        <v>0</v>
      </c>
      <c r="J3" s="45">
        <f>30311+5158</f>
        <v>35469</v>
      </c>
      <c r="K3" s="291" t="s">
        <v>371</v>
      </c>
      <c r="L3" s="139">
        <v>35468.9</v>
      </c>
      <c r="M3" s="159"/>
      <c r="N3" s="160">
        <v>3797132</v>
      </c>
      <c r="O3" s="161">
        <v>55000</v>
      </c>
      <c r="P3" s="162">
        <v>42820</v>
      </c>
      <c r="S3" s="45">
        <f>10066+1273.5+19644</f>
        <v>30983.5</v>
      </c>
      <c r="T3" s="132" t="s">
        <v>440</v>
      </c>
      <c r="U3" s="133">
        <v>21785.18</v>
      </c>
      <c r="V3" s="159" t="s">
        <v>143</v>
      </c>
      <c r="W3" s="160">
        <v>3797660</v>
      </c>
      <c r="X3" s="161">
        <v>20000</v>
      </c>
      <c r="Y3" s="162">
        <v>42837</v>
      </c>
    </row>
    <row r="4" spans="1:25" ht="15.75" x14ac:dyDescent="0.25">
      <c r="A4" s="131">
        <v>42828</v>
      </c>
      <c r="B4" s="132" t="s">
        <v>377</v>
      </c>
      <c r="C4" s="133">
        <v>33986.1</v>
      </c>
      <c r="D4" s="128">
        <v>42838</v>
      </c>
      <c r="E4" s="133">
        <v>33986.1</v>
      </c>
      <c r="F4" s="134">
        <f t="shared" si="0"/>
        <v>0</v>
      </c>
      <c r="J4" s="45">
        <v>35771</v>
      </c>
      <c r="K4" s="291" t="s">
        <v>372</v>
      </c>
      <c r="L4" s="139">
        <v>35771.11</v>
      </c>
      <c r="M4" s="163"/>
      <c r="N4" s="160">
        <v>3797133</v>
      </c>
      <c r="O4" s="161">
        <v>9357.5</v>
      </c>
      <c r="P4" s="162">
        <v>42820</v>
      </c>
      <c r="S4" s="45">
        <v>5952</v>
      </c>
      <c r="T4" s="132" t="s">
        <v>447</v>
      </c>
      <c r="U4" s="133">
        <v>5952.1</v>
      </c>
      <c r="V4" s="214"/>
      <c r="W4" s="160">
        <v>3797661</v>
      </c>
      <c r="X4" s="161">
        <v>10506.5</v>
      </c>
      <c r="Y4" s="162">
        <v>42837</v>
      </c>
    </row>
    <row r="5" spans="1:25" ht="15.75" x14ac:dyDescent="0.25">
      <c r="A5" s="131">
        <v>42829</v>
      </c>
      <c r="B5" s="132" t="s">
        <v>378</v>
      </c>
      <c r="C5" s="133">
        <v>30972</v>
      </c>
      <c r="D5" s="128">
        <v>42838</v>
      </c>
      <c r="E5" s="133">
        <v>30972</v>
      </c>
      <c r="F5" s="134">
        <f t="shared" si="0"/>
        <v>0</v>
      </c>
      <c r="J5" s="45">
        <f>4705+2681+17925.5+3125.5+3477.5</f>
        <v>31914.5</v>
      </c>
      <c r="K5" s="210" t="s">
        <v>373</v>
      </c>
      <c r="L5" s="334">
        <v>31914.3</v>
      </c>
      <c r="M5" s="164"/>
      <c r="N5" s="160">
        <v>3797134</v>
      </c>
      <c r="O5" s="161">
        <v>44834</v>
      </c>
      <c r="P5" s="162">
        <v>42821</v>
      </c>
      <c r="S5" s="45">
        <f>51054+4141.5+33732.5</f>
        <v>88928</v>
      </c>
      <c r="T5" s="132" t="s">
        <v>448</v>
      </c>
      <c r="U5" s="133">
        <v>88927.74</v>
      </c>
      <c r="V5" s="163"/>
      <c r="W5" s="160">
        <v>3797662</v>
      </c>
      <c r="X5" s="161">
        <v>25000</v>
      </c>
      <c r="Y5" s="162">
        <v>42838</v>
      </c>
    </row>
    <row r="6" spans="1:25" ht="15.75" x14ac:dyDescent="0.25">
      <c r="A6" s="131">
        <v>42830</v>
      </c>
      <c r="B6" s="132" t="s">
        <v>379</v>
      </c>
      <c r="C6" s="133">
        <v>37377.839999999997</v>
      </c>
      <c r="D6" s="128">
        <v>42838</v>
      </c>
      <c r="E6" s="133">
        <v>37377.839999999997</v>
      </c>
      <c r="F6" s="135">
        <f t="shared" si="0"/>
        <v>0</v>
      </c>
      <c r="J6" s="45">
        <v>34285.5</v>
      </c>
      <c r="K6" s="338" t="s">
        <v>374</v>
      </c>
      <c r="L6" s="314">
        <v>34285.699999999997</v>
      </c>
      <c r="M6" s="277"/>
      <c r="N6" s="160" t="s">
        <v>154</v>
      </c>
      <c r="O6" s="161">
        <v>10800</v>
      </c>
      <c r="P6" s="162">
        <v>42822</v>
      </c>
      <c r="S6" s="45">
        <f>34376.5+5642</f>
        <v>40018.5</v>
      </c>
      <c r="T6" s="132" t="s">
        <v>449</v>
      </c>
      <c r="U6" s="133">
        <v>40018.480000000003</v>
      </c>
      <c r="V6" s="164"/>
      <c r="W6" s="160">
        <v>3797663</v>
      </c>
      <c r="X6" s="161">
        <v>13467</v>
      </c>
      <c r="Y6" s="162">
        <v>42838</v>
      </c>
    </row>
    <row r="7" spans="1:25" ht="15.75" x14ac:dyDescent="0.25">
      <c r="A7" s="131">
        <v>42831</v>
      </c>
      <c r="B7" s="132" t="s">
        <v>380</v>
      </c>
      <c r="C7" s="133">
        <v>33143.72</v>
      </c>
      <c r="D7" s="128">
        <v>42838</v>
      </c>
      <c r="E7" s="133">
        <v>33143.72</v>
      </c>
      <c r="F7" s="135">
        <f t="shared" si="0"/>
        <v>0</v>
      </c>
      <c r="J7" s="45">
        <f>719+28986+34908.5</f>
        <v>64613.5</v>
      </c>
      <c r="K7" s="126" t="s">
        <v>376</v>
      </c>
      <c r="L7" s="127">
        <v>64613.45</v>
      </c>
      <c r="M7" s="163"/>
      <c r="N7" s="160">
        <v>3797135</v>
      </c>
      <c r="O7" s="161">
        <v>10606.5</v>
      </c>
      <c r="P7" s="162">
        <v>42822</v>
      </c>
      <c r="S7" s="45">
        <f>10042+21049</f>
        <v>31091</v>
      </c>
      <c r="T7" s="132" t="s">
        <v>450</v>
      </c>
      <c r="U7" s="133">
        <v>31090.880000000001</v>
      </c>
      <c r="V7" s="277"/>
      <c r="W7" s="160">
        <v>3797664</v>
      </c>
      <c r="X7" s="161">
        <v>55000</v>
      </c>
      <c r="Y7" s="162">
        <v>42840</v>
      </c>
    </row>
    <row r="8" spans="1:25" ht="15.75" x14ac:dyDescent="0.25">
      <c r="A8" s="131">
        <v>42831</v>
      </c>
      <c r="B8" s="132" t="s">
        <v>383</v>
      </c>
      <c r="C8" s="133">
        <v>34557.74</v>
      </c>
      <c r="D8" s="128">
        <v>42838</v>
      </c>
      <c r="E8" s="133">
        <v>34557.74</v>
      </c>
      <c r="F8" s="135">
        <f t="shared" si="0"/>
        <v>0</v>
      </c>
      <c r="J8" s="45">
        <f>3742+19009.5+11234.5</f>
        <v>33986</v>
      </c>
      <c r="K8" s="132" t="s">
        <v>377</v>
      </c>
      <c r="L8" s="133">
        <v>33986.1</v>
      </c>
      <c r="M8" s="165"/>
      <c r="N8" s="160">
        <v>3797136</v>
      </c>
      <c r="O8" s="161">
        <v>25000</v>
      </c>
      <c r="P8" s="162">
        <v>42823</v>
      </c>
      <c r="S8" s="45">
        <f>11988+18274.5</f>
        <v>30262.5</v>
      </c>
      <c r="T8" s="366" t="s">
        <v>453</v>
      </c>
      <c r="U8" s="339">
        <v>30262.400000000001</v>
      </c>
      <c r="V8" s="163"/>
      <c r="W8" s="160">
        <v>3797665</v>
      </c>
      <c r="X8" s="161">
        <v>22923.5</v>
      </c>
      <c r="Y8" s="162">
        <v>42840</v>
      </c>
    </row>
    <row r="9" spans="1:25" ht="15.75" x14ac:dyDescent="0.25">
      <c r="A9" s="131">
        <v>42833</v>
      </c>
      <c r="B9" s="132" t="s">
        <v>381</v>
      </c>
      <c r="C9" s="133">
        <v>36670.769999999997</v>
      </c>
      <c r="D9" s="128">
        <v>42838</v>
      </c>
      <c r="E9" s="133">
        <v>36670.769999999997</v>
      </c>
      <c r="F9" s="135">
        <f t="shared" si="0"/>
        <v>0</v>
      </c>
      <c r="J9" s="45">
        <v>30972</v>
      </c>
      <c r="K9" s="132" t="s">
        <v>378</v>
      </c>
      <c r="L9" s="133">
        <v>30972</v>
      </c>
      <c r="M9" s="163"/>
      <c r="N9" s="160">
        <v>3797137</v>
      </c>
      <c r="O9" s="166">
        <v>16607.5</v>
      </c>
      <c r="P9" s="167">
        <v>42823</v>
      </c>
      <c r="S9" s="45">
        <v>17003.5</v>
      </c>
      <c r="T9" s="195" t="s">
        <v>451</v>
      </c>
      <c r="U9" s="133">
        <v>31901.4</v>
      </c>
      <c r="V9" s="163"/>
      <c r="W9" s="160">
        <v>3797666</v>
      </c>
      <c r="X9" s="166">
        <v>45000</v>
      </c>
      <c r="Y9" s="167">
        <v>42841</v>
      </c>
    </row>
    <row r="10" spans="1:25" ht="15.75" x14ac:dyDescent="0.25">
      <c r="A10" s="131">
        <v>42833</v>
      </c>
      <c r="B10" s="132" t="s">
        <v>382</v>
      </c>
      <c r="C10" s="133">
        <v>30020.71</v>
      </c>
      <c r="D10" s="128">
        <v>42838</v>
      </c>
      <c r="E10" s="133">
        <v>30020.71</v>
      </c>
      <c r="F10" s="135">
        <f t="shared" si="0"/>
        <v>0</v>
      </c>
      <c r="J10" s="45">
        <f>28250+9127.5</f>
        <v>37377.5</v>
      </c>
      <c r="K10" s="132" t="s">
        <v>379</v>
      </c>
      <c r="L10" s="133">
        <v>37377.839999999997</v>
      </c>
      <c r="M10" s="168"/>
      <c r="N10" s="160" t="s">
        <v>154</v>
      </c>
      <c r="O10" s="148">
        <v>16000</v>
      </c>
      <c r="P10" s="167">
        <v>42825</v>
      </c>
      <c r="S10" s="45"/>
      <c r="T10" s="366" t="s">
        <v>454</v>
      </c>
      <c r="U10" s="339">
        <v>28383.72</v>
      </c>
      <c r="V10" s="168" t="s">
        <v>471</v>
      </c>
      <c r="W10" s="160">
        <v>3797667</v>
      </c>
      <c r="X10" s="148">
        <v>27250.5</v>
      </c>
      <c r="Y10" s="167">
        <v>42841</v>
      </c>
    </row>
    <row r="11" spans="1:25" ht="15.75" x14ac:dyDescent="0.25">
      <c r="A11" s="131">
        <v>42833</v>
      </c>
      <c r="B11" s="132" t="s">
        <v>384</v>
      </c>
      <c r="C11" s="133">
        <v>29078.62</v>
      </c>
      <c r="D11" s="128">
        <v>42838</v>
      </c>
      <c r="E11" s="133">
        <v>29078.62</v>
      </c>
      <c r="F11" s="135">
        <f t="shared" si="0"/>
        <v>0</v>
      </c>
      <c r="J11" s="45">
        <v>33144</v>
      </c>
      <c r="K11" s="132" t="s">
        <v>380</v>
      </c>
      <c r="L11" s="133">
        <v>33143.72</v>
      </c>
      <c r="M11" s="168"/>
      <c r="N11" s="160">
        <v>3797138</v>
      </c>
      <c r="O11" s="161">
        <v>12986.5</v>
      </c>
      <c r="P11" s="162">
        <v>42824</v>
      </c>
      <c r="S11" s="45"/>
      <c r="T11" s="366"/>
      <c r="U11" s="339">
        <v>0</v>
      </c>
      <c r="V11" s="168"/>
      <c r="W11" s="160">
        <v>3797700</v>
      </c>
      <c r="X11" s="161">
        <v>38679</v>
      </c>
      <c r="Y11" s="162">
        <v>42842</v>
      </c>
    </row>
    <row r="12" spans="1:25" ht="15.75" x14ac:dyDescent="0.25">
      <c r="A12" s="131">
        <v>42834</v>
      </c>
      <c r="B12" s="132" t="s">
        <v>385</v>
      </c>
      <c r="C12" s="133">
        <v>36581.08</v>
      </c>
      <c r="D12" s="128">
        <v>42838</v>
      </c>
      <c r="E12" s="133">
        <v>36581.08</v>
      </c>
      <c r="F12" s="135">
        <f t="shared" si="0"/>
        <v>0</v>
      </c>
      <c r="J12" s="45">
        <f>20663+1626+12269</f>
        <v>34558</v>
      </c>
      <c r="K12" s="132" t="s">
        <v>383</v>
      </c>
      <c r="L12" s="133">
        <v>34557.74</v>
      </c>
      <c r="M12" s="168"/>
      <c r="N12" s="160">
        <v>3797139</v>
      </c>
      <c r="O12" s="161">
        <v>25000</v>
      </c>
      <c r="P12" s="162">
        <v>42825</v>
      </c>
      <c r="S12" s="45"/>
      <c r="T12" s="132"/>
      <c r="U12" s="133">
        <v>0</v>
      </c>
      <c r="V12" s="168"/>
      <c r="W12" s="160" t="s">
        <v>154</v>
      </c>
      <c r="X12" s="161">
        <v>2685</v>
      </c>
      <c r="Y12" s="162">
        <v>42837</v>
      </c>
    </row>
    <row r="13" spans="1:25" ht="15.75" x14ac:dyDescent="0.25">
      <c r="A13" s="131">
        <v>42835</v>
      </c>
      <c r="B13" s="132" t="s">
        <v>387</v>
      </c>
      <c r="C13" s="133">
        <v>61865.22</v>
      </c>
      <c r="D13" s="128">
        <v>42838</v>
      </c>
      <c r="E13" s="133">
        <v>61865.22</v>
      </c>
      <c r="F13" s="135">
        <f t="shared" si="0"/>
        <v>0</v>
      </c>
      <c r="J13" s="45">
        <f>27562.5+6884+2224.5</f>
        <v>36671</v>
      </c>
      <c r="K13" s="132" t="s">
        <v>381</v>
      </c>
      <c r="L13" s="133">
        <v>36670.769999999997</v>
      </c>
      <c r="M13" s="168"/>
      <c r="N13" s="160">
        <v>3797140</v>
      </c>
      <c r="O13" s="161">
        <v>13650.5</v>
      </c>
      <c r="P13" s="162">
        <v>42825</v>
      </c>
      <c r="S13" s="45"/>
      <c r="T13" s="132"/>
      <c r="U13" s="133">
        <v>0</v>
      </c>
      <c r="V13" s="168"/>
      <c r="W13" s="160" t="s">
        <v>154</v>
      </c>
      <c r="X13" s="161">
        <v>4160</v>
      </c>
      <c r="Y13" s="162">
        <v>42835</v>
      </c>
    </row>
    <row r="14" spans="1:25" ht="15.75" x14ac:dyDescent="0.25">
      <c r="A14" s="131">
        <v>42837</v>
      </c>
      <c r="B14" s="132" t="s">
        <v>386</v>
      </c>
      <c r="C14" s="133">
        <v>31544.43</v>
      </c>
      <c r="D14" s="211" t="s">
        <v>437</v>
      </c>
      <c r="E14" s="133">
        <f>28829.74+2714.69</f>
        <v>31544.43</v>
      </c>
      <c r="F14" s="135">
        <f t="shared" si="0"/>
        <v>0</v>
      </c>
      <c r="J14" s="45">
        <f>20639.5+3540+5841</f>
        <v>30020.5</v>
      </c>
      <c r="K14" s="132" t="s">
        <v>382</v>
      </c>
      <c r="L14" s="133">
        <v>30020.71</v>
      </c>
      <c r="M14" s="168"/>
      <c r="N14" s="160">
        <v>3797141</v>
      </c>
      <c r="O14" s="161">
        <v>50000</v>
      </c>
      <c r="P14" s="162">
        <v>42826</v>
      </c>
      <c r="S14" s="45"/>
      <c r="T14" s="132"/>
      <c r="U14" s="133">
        <v>0</v>
      </c>
      <c r="V14" s="168"/>
      <c r="W14" s="160" t="s">
        <v>154</v>
      </c>
      <c r="X14" s="161">
        <v>3197</v>
      </c>
      <c r="Y14" s="162">
        <v>42835</v>
      </c>
    </row>
    <row r="15" spans="1:25" ht="15.75" x14ac:dyDescent="0.25">
      <c r="A15" s="131">
        <v>42837</v>
      </c>
      <c r="B15" s="132" t="s">
        <v>441</v>
      </c>
      <c r="C15" s="133">
        <v>28304</v>
      </c>
      <c r="D15" s="128">
        <v>42842</v>
      </c>
      <c r="E15" s="133">
        <v>28304</v>
      </c>
      <c r="F15" s="135">
        <f t="shared" si="0"/>
        <v>0</v>
      </c>
      <c r="J15" s="45">
        <f>22837+6241.5</f>
        <v>29078.5</v>
      </c>
      <c r="K15" s="132" t="s">
        <v>384</v>
      </c>
      <c r="L15" s="133">
        <v>29078.62</v>
      </c>
      <c r="M15" s="168"/>
      <c r="N15" s="160">
        <v>3797142</v>
      </c>
      <c r="O15" s="161">
        <v>20457</v>
      </c>
      <c r="P15" s="162">
        <v>42826</v>
      </c>
      <c r="S15" s="45"/>
      <c r="T15" s="132"/>
      <c r="U15" s="133">
        <v>0</v>
      </c>
      <c r="V15" s="168"/>
      <c r="W15" s="160">
        <v>3797668</v>
      </c>
      <c r="X15" s="161">
        <v>35278</v>
      </c>
      <c r="Y15" s="162">
        <v>42843</v>
      </c>
    </row>
    <row r="16" spans="1:25" ht="16.5" thickBot="1" x14ac:dyDescent="0.3">
      <c r="A16" s="131">
        <v>42838</v>
      </c>
      <c r="B16" s="132" t="s">
        <v>434</v>
      </c>
      <c r="C16" s="133">
        <v>66903</v>
      </c>
      <c r="D16" s="128">
        <v>42842</v>
      </c>
      <c r="E16" s="133">
        <v>66903</v>
      </c>
      <c r="F16" s="135">
        <f t="shared" si="0"/>
        <v>0</v>
      </c>
      <c r="J16" s="45">
        <f>28400+8181</f>
        <v>36581</v>
      </c>
      <c r="K16" s="132" t="s">
        <v>385</v>
      </c>
      <c r="L16" s="133">
        <v>36581.08</v>
      </c>
      <c r="M16" s="197"/>
      <c r="N16" s="198" t="s">
        <v>154</v>
      </c>
      <c r="O16" s="148">
        <v>8890</v>
      </c>
      <c r="P16" s="167">
        <v>42817</v>
      </c>
      <c r="S16" s="45"/>
      <c r="T16" s="367"/>
      <c r="U16" s="288">
        <v>0</v>
      </c>
      <c r="V16" s="325"/>
      <c r="W16" s="295"/>
      <c r="X16" s="296">
        <v>0</v>
      </c>
      <c r="Y16" s="297"/>
    </row>
    <row r="17" spans="1:25" ht="16.5" thickBot="1" x14ac:dyDescent="0.3">
      <c r="A17" s="131">
        <v>42840</v>
      </c>
      <c r="B17" s="132" t="s">
        <v>438</v>
      </c>
      <c r="C17" s="133">
        <v>44282.9</v>
      </c>
      <c r="D17" s="128">
        <v>42842</v>
      </c>
      <c r="E17" s="133">
        <v>44282.9</v>
      </c>
      <c r="F17" s="135">
        <f t="shared" si="0"/>
        <v>0</v>
      </c>
      <c r="J17" s="45">
        <v>44844.5</v>
      </c>
      <c r="K17" s="132" t="s">
        <v>387</v>
      </c>
      <c r="L17" s="219">
        <v>61869.22</v>
      </c>
      <c r="M17" s="345" t="s">
        <v>216</v>
      </c>
      <c r="N17" s="270" t="s">
        <v>154</v>
      </c>
      <c r="O17" s="148">
        <v>2960.5</v>
      </c>
      <c r="P17" s="167">
        <v>42821</v>
      </c>
      <c r="S17" s="371">
        <f>SUM(S1:S16)</f>
        <v>309397.84999999998</v>
      </c>
      <c r="T17" s="371"/>
      <c r="U17" s="371">
        <f>SUM(U2:U16)</f>
        <v>309398</v>
      </c>
      <c r="V17" s="372"/>
      <c r="W17" s="373"/>
      <c r="X17" s="370">
        <f>SUM(X2:X16)</f>
        <v>309398</v>
      </c>
      <c r="Y17" s="323"/>
    </row>
    <row r="18" spans="1:25" ht="15.75" x14ac:dyDescent="0.25">
      <c r="A18" s="131">
        <v>42840</v>
      </c>
      <c r="B18" s="132" t="s">
        <v>439</v>
      </c>
      <c r="C18" s="133">
        <v>60353.37</v>
      </c>
      <c r="D18" s="128">
        <v>42842</v>
      </c>
      <c r="E18" s="341">
        <v>60353.37</v>
      </c>
      <c r="F18" s="135">
        <f t="shared" si="0"/>
        <v>0</v>
      </c>
      <c r="J18" s="45">
        <v>0</v>
      </c>
      <c r="K18" s="132" t="s">
        <v>386</v>
      </c>
      <c r="L18" s="133">
        <v>28829.74</v>
      </c>
      <c r="M18" s="344" t="s">
        <v>368</v>
      </c>
      <c r="N18" s="270" t="s">
        <v>154</v>
      </c>
      <c r="O18" s="148">
        <v>7159</v>
      </c>
      <c r="P18" s="167">
        <v>42824</v>
      </c>
      <c r="S18" s="38"/>
      <c r="T18" s="256"/>
      <c r="U18" s="108"/>
      <c r="V18" s="368"/>
      <c r="W18" s="369"/>
      <c r="X18" s="38"/>
      <c r="Y18" s="128"/>
    </row>
    <row r="19" spans="1:25" ht="15.75" x14ac:dyDescent="0.25">
      <c r="A19" s="131">
        <v>42842</v>
      </c>
      <c r="B19" s="365" t="s">
        <v>452</v>
      </c>
      <c r="C19" s="364">
        <v>31076.1</v>
      </c>
      <c r="D19" s="128">
        <v>42847</v>
      </c>
      <c r="E19" s="374">
        <v>31076.1</v>
      </c>
      <c r="F19" s="135">
        <f t="shared" si="0"/>
        <v>0</v>
      </c>
      <c r="J19" s="179">
        <v>0</v>
      </c>
      <c r="K19" s="132"/>
      <c r="L19" s="133">
        <v>0</v>
      </c>
      <c r="M19" s="172"/>
      <c r="N19" s="198">
        <v>3797143</v>
      </c>
      <c r="O19" s="148">
        <v>45000</v>
      </c>
      <c r="P19" s="167">
        <v>42827</v>
      </c>
      <c r="S19" s="284"/>
      <c r="T19" s="256"/>
      <c r="U19" s="108"/>
      <c r="V19" s="186"/>
      <c r="W19" s="187"/>
      <c r="X19" s="38"/>
      <c r="Y19" s="128"/>
    </row>
    <row r="20" spans="1:25" ht="15.75" x14ac:dyDescent="0.25">
      <c r="A20" s="131">
        <v>42842</v>
      </c>
      <c r="B20" s="132" t="s">
        <v>440</v>
      </c>
      <c r="C20" s="133">
        <v>30983.7</v>
      </c>
      <c r="D20" s="211" t="s">
        <v>472</v>
      </c>
      <c r="E20" s="342">
        <f>9198.52+21785.18</f>
        <v>30983.7</v>
      </c>
      <c r="F20" s="135">
        <f t="shared" si="0"/>
        <v>0</v>
      </c>
      <c r="J20" s="179">
        <v>0</v>
      </c>
      <c r="K20" s="132"/>
      <c r="L20" s="133">
        <v>0</v>
      </c>
      <c r="M20" s="172"/>
      <c r="N20" s="198">
        <v>3797144</v>
      </c>
      <c r="O20" s="148">
        <v>17934.5</v>
      </c>
      <c r="P20" s="167">
        <v>42827</v>
      </c>
      <c r="S20" s="284"/>
      <c r="T20" s="256"/>
      <c r="U20" s="108"/>
      <c r="V20" s="186"/>
      <c r="W20" s="187"/>
      <c r="X20" s="38"/>
      <c r="Y20" s="128"/>
    </row>
    <row r="21" spans="1:25" ht="16.5" thickBot="1" x14ac:dyDescent="0.3">
      <c r="A21" s="131">
        <v>42843</v>
      </c>
      <c r="B21" s="132" t="s">
        <v>447</v>
      </c>
      <c r="C21" s="133">
        <v>5952.1</v>
      </c>
      <c r="D21" s="128">
        <v>42847</v>
      </c>
      <c r="E21" s="342">
        <v>5952.1</v>
      </c>
      <c r="F21" s="135">
        <f t="shared" si="0"/>
        <v>0</v>
      </c>
      <c r="J21" s="179">
        <v>0</v>
      </c>
      <c r="K21" s="196"/>
      <c r="L21" s="133">
        <v>0</v>
      </c>
      <c r="M21" s="198"/>
      <c r="N21" s="274">
        <v>3797145</v>
      </c>
      <c r="O21" s="148">
        <v>35000</v>
      </c>
      <c r="P21" s="167">
        <v>42828</v>
      </c>
      <c r="R21" t="s">
        <v>481</v>
      </c>
      <c r="S21" s="45">
        <v>14898</v>
      </c>
      <c r="T21" s="154"/>
      <c r="U21" s="343">
        <v>42854</v>
      </c>
      <c r="V21" s="216"/>
      <c r="W21" s="217" t="s">
        <v>141</v>
      </c>
      <c r="X21" s="111"/>
      <c r="Y21" s="158"/>
    </row>
    <row r="22" spans="1:25" ht="16.5" thickTop="1" x14ac:dyDescent="0.25">
      <c r="A22" s="131">
        <v>42843</v>
      </c>
      <c r="B22" s="132" t="s">
        <v>448</v>
      </c>
      <c r="C22" s="133">
        <v>88927.74</v>
      </c>
      <c r="D22" s="128">
        <v>42847</v>
      </c>
      <c r="E22" s="342">
        <v>88927.74</v>
      </c>
      <c r="F22" s="135">
        <f t="shared" si="0"/>
        <v>0</v>
      </c>
      <c r="J22" s="179">
        <v>0</v>
      </c>
      <c r="K22" s="209"/>
      <c r="L22" s="196">
        <v>0</v>
      </c>
      <c r="M22" s="209"/>
      <c r="N22" s="210">
        <v>3797146</v>
      </c>
      <c r="O22" s="148">
        <v>6457.5</v>
      </c>
      <c r="P22" s="167">
        <v>42828</v>
      </c>
      <c r="S22" s="45">
        <f>20500+19865.5</f>
        <v>40365.5</v>
      </c>
      <c r="T22" s="366" t="s">
        <v>454</v>
      </c>
      <c r="U22" s="339">
        <v>11981.94</v>
      </c>
      <c r="V22" s="204" t="s">
        <v>143</v>
      </c>
      <c r="W22" s="160">
        <v>3797669</v>
      </c>
      <c r="X22" s="161">
        <v>30000</v>
      </c>
      <c r="Y22" s="162">
        <v>42844</v>
      </c>
    </row>
    <row r="23" spans="1:25" ht="15.75" x14ac:dyDescent="0.25">
      <c r="A23" s="131">
        <v>42845</v>
      </c>
      <c r="B23" s="132" t="s">
        <v>449</v>
      </c>
      <c r="C23" s="133">
        <v>40018.480000000003</v>
      </c>
      <c r="D23" s="128">
        <v>42847</v>
      </c>
      <c r="E23" s="342">
        <v>40018.480000000003</v>
      </c>
      <c r="F23" s="135">
        <f t="shared" si="0"/>
        <v>0</v>
      </c>
      <c r="J23" s="179">
        <v>0</v>
      </c>
      <c r="K23" s="209"/>
      <c r="L23" s="196">
        <v>0</v>
      </c>
      <c r="M23" s="209"/>
      <c r="N23" s="210">
        <v>3797150</v>
      </c>
      <c r="O23" s="148">
        <v>23000</v>
      </c>
      <c r="P23" s="167">
        <v>42829</v>
      </c>
      <c r="S23" s="45">
        <f>17699+9224.5</f>
        <v>26923.5</v>
      </c>
      <c r="T23" s="366" t="s">
        <v>455</v>
      </c>
      <c r="U23" s="339">
        <v>26923.71</v>
      </c>
      <c r="V23" s="159"/>
      <c r="W23" s="160">
        <v>3797670</v>
      </c>
      <c r="X23" s="161">
        <v>42962.5</v>
      </c>
      <c r="Y23" s="162">
        <v>42844</v>
      </c>
    </row>
    <row r="24" spans="1:25" ht="15.75" x14ac:dyDescent="0.25">
      <c r="A24" s="131">
        <v>42845</v>
      </c>
      <c r="B24" s="132" t="s">
        <v>450</v>
      </c>
      <c r="C24" s="133">
        <v>31090.880000000001</v>
      </c>
      <c r="D24" s="128">
        <v>42847</v>
      </c>
      <c r="E24" s="342">
        <v>31090.880000000001</v>
      </c>
      <c r="F24" s="135">
        <f t="shared" si="0"/>
        <v>0</v>
      </c>
      <c r="J24" s="179">
        <v>0</v>
      </c>
      <c r="K24" s="209"/>
      <c r="L24" s="196">
        <v>0</v>
      </c>
      <c r="M24" s="209"/>
      <c r="N24" s="210">
        <v>3797149</v>
      </c>
      <c r="O24" s="148">
        <v>6748</v>
      </c>
      <c r="P24" s="167">
        <v>42829</v>
      </c>
      <c r="S24" s="45">
        <f>38424+134.5</f>
        <v>38558.5</v>
      </c>
      <c r="T24" s="365" t="s">
        <v>473</v>
      </c>
      <c r="U24" s="339">
        <v>38558.449999999997</v>
      </c>
      <c r="V24" s="214"/>
      <c r="W24" s="160">
        <v>3797671</v>
      </c>
      <c r="X24" s="161">
        <v>25000</v>
      </c>
      <c r="Y24" s="162">
        <v>42845</v>
      </c>
    </row>
    <row r="25" spans="1:25" ht="15.75" x14ac:dyDescent="0.25">
      <c r="A25" s="131">
        <v>42845</v>
      </c>
      <c r="B25" s="366" t="s">
        <v>453</v>
      </c>
      <c r="C25" s="339">
        <v>30262.400000000001</v>
      </c>
      <c r="D25" s="128">
        <v>42847</v>
      </c>
      <c r="E25" s="134">
        <v>30262.400000000001</v>
      </c>
      <c r="F25" s="135">
        <f t="shared" si="0"/>
        <v>0</v>
      </c>
      <c r="J25" s="179">
        <v>0</v>
      </c>
      <c r="K25" s="209"/>
      <c r="L25" s="196">
        <v>0</v>
      </c>
      <c r="M25" s="209"/>
      <c r="N25" s="210" t="s">
        <v>154</v>
      </c>
      <c r="O25" s="148">
        <v>12000</v>
      </c>
      <c r="P25" s="167">
        <v>42830</v>
      </c>
      <c r="S25" s="45">
        <v>31255.5</v>
      </c>
      <c r="T25" s="132" t="s">
        <v>474</v>
      </c>
      <c r="U25" s="133">
        <v>31259.69</v>
      </c>
      <c r="V25" s="163"/>
      <c r="W25" s="160">
        <v>3797672</v>
      </c>
      <c r="X25" s="161">
        <v>22648.5</v>
      </c>
      <c r="Y25" s="162">
        <v>42845</v>
      </c>
    </row>
    <row r="26" spans="1:25" ht="15.75" x14ac:dyDescent="0.25">
      <c r="A26" s="131">
        <v>42846</v>
      </c>
      <c r="B26" s="195" t="s">
        <v>451</v>
      </c>
      <c r="C26" s="133">
        <v>31901.4</v>
      </c>
      <c r="D26" s="128">
        <v>42847</v>
      </c>
      <c r="E26" s="342">
        <v>31901.4</v>
      </c>
      <c r="F26" s="135">
        <f t="shared" si="0"/>
        <v>0</v>
      </c>
      <c r="J26" s="179">
        <v>0</v>
      </c>
      <c r="K26" s="209"/>
      <c r="L26" s="196">
        <v>0</v>
      </c>
      <c r="M26" s="209"/>
      <c r="N26" s="210">
        <v>3797148</v>
      </c>
      <c r="O26" s="148">
        <v>16678</v>
      </c>
      <c r="P26" s="167">
        <v>42830</v>
      </c>
      <c r="S26" s="45">
        <f>2312+21653+5079</f>
        <v>29044</v>
      </c>
      <c r="T26" s="132" t="s">
        <v>477</v>
      </c>
      <c r="U26" s="133">
        <v>29043.919999999998</v>
      </c>
      <c r="V26" s="164"/>
      <c r="W26" s="160" t="s">
        <v>154</v>
      </c>
      <c r="X26" s="161">
        <v>30000</v>
      </c>
      <c r="Y26" s="162">
        <v>42846</v>
      </c>
    </row>
    <row r="27" spans="1:25" ht="15.75" x14ac:dyDescent="0.25">
      <c r="A27" s="131">
        <v>42846</v>
      </c>
      <c r="B27" s="366" t="s">
        <v>454</v>
      </c>
      <c r="C27" s="339">
        <v>40365.660000000003</v>
      </c>
      <c r="D27" s="211" t="s">
        <v>495</v>
      </c>
      <c r="E27" s="134">
        <f>28383.72+11981.94</f>
        <v>40365.660000000003</v>
      </c>
      <c r="F27" s="135">
        <f t="shared" si="0"/>
        <v>0</v>
      </c>
      <c r="J27" s="179">
        <v>0</v>
      </c>
      <c r="K27" s="209"/>
      <c r="L27" s="196">
        <v>0</v>
      </c>
      <c r="M27" s="209"/>
      <c r="N27" s="210" t="s">
        <v>154</v>
      </c>
      <c r="O27" s="148">
        <v>3540</v>
      </c>
      <c r="P27" s="167">
        <v>42828</v>
      </c>
      <c r="S27" s="45">
        <v>27455</v>
      </c>
      <c r="T27" s="290" t="s">
        <v>475</v>
      </c>
      <c r="U27" s="133">
        <v>37542.839999999997</v>
      </c>
      <c r="V27" s="277"/>
      <c r="W27" s="160">
        <v>3797673</v>
      </c>
      <c r="X27" s="161">
        <v>28849</v>
      </c>
      <c r="Y27" s="162">
        <v>42846</v>
      </c>
    </row>
    <row r="28" spans="1:25" ht="15.75" x14ac:dyDescent="0.25">
      <c r="A28" s="131">
        <v>42846</v>
      </c>
      <c r="B28" s="366" t="s">
        <v>455</v>
      </c>
      <c r="C28" s="339">
        <v>26923.71</v>
      </c>
      <c r="D28" s="128">
        <v>42854</v>
      </c>
      <c r="E28" s="342">
        <v>26923.71</v>
      </c>
      <c r="F28" s="135">
        <f t="shared" si="0"/>
        <v>0</v>
      </c>
      <c r="J28" s="179">
        <v>0</v>
      </c>
      <c r="K28" s="209"/>
      <c r="L28" s="196">
        <v>0</v>
      </c>
      <c r="M28" s="209"/>
      <c r="N28" s="210">
        <v>3797147</v>
      </c>
      <c r="O28" s="148">
        <v>34641.5</v>
      </c>
      <c r="P28" s="167">
        <v>42831</v>
      </c>
      <c r="S28" s="45">
        <f>16816+15987</f>
        <v>32803</v>
      </c>
      <c r="T28" s="376" t="s">
        <v>494</v>
      </c>
      <c r="U28" s="339">
        <v>32802.86</v>
      </c>
      <c r="V28" s="163"/>
      <c r="W28" s="160">
        <v>3797679</v>
      </c>
      <c r="X28" s="161">
        <v>12465</v>
      </c>
      <c r="Y28" s="162">
        <v>42850</v>
      </c>
    </row>
    <row r="29" spans="1:25" ht="15.75" x14ac:dyDescent="0.25">
      <c r="A29" s="131">
        <v>42848</v>
      </c>
      <c r="B29" s="365" t="s">
        <v>473</v>
      </c>
      <c r="C29" s="339">
        <v>38558.449999999997</v>
      </c>
      <c r="D29" s="128">
        <v>42854</v>
      </c>
      <c r="E29" s="339">
        <v>38558.449999999997</v>
      </c>
      <c r="F29" s="135">
        <f t="shared" si="0"/>
        <v>0</v>
      </c>
      <c r="J29" s="179"/>
      <c r="K29" s="209"/>
      <c r="L29" s="196">
        <v>0</v>
      </c>
      <c r="M29" s="209"/>
      <c r="N29" s="210">
        <v>3797651</v>
      </c>
      <c r="O29" s="148">
        <v>35000</v>
      </c>
      <c r="P29" s="167">
        <v>42832</v>
      </c>
      <c r="S29" s="45">
        <f>17629.5+11399+41158.5</f>
        <v>70187</v>
      </c>
      <c r="T29" s="291" t="s">
        <v>476</v>
      </c>
      <c r="U29" s="178">
        <v>101915.86</v>
      </c>
      <c r="V29" s="163"/>
      <c r="W29" s="160" t="s">
        <v>154</v>
      </c>
      <c r="X29" s="166">
        <v>11500</v>
      </c>
      <c r="Y29" s="167">
        <v>42850</v>
      </c>
    </row>
    <row r="30" spans="1:25" ht="16.5" thickBot="1" x14ac:dyDescent="0.3">
      <c r="A30" s="131">
        <v>42848</v>
      </c>
      <c r="B30" s="132" t="s">
        <v>474</v>
      </c>
      <c r="C30" s="133">
        <v>31259.69</v>
      </c>
      <c r="D30" s="128">
        <v>42854</v>
      </c>
      <c r="E30" s="133">
        <v>31259.69</v>
      </c>
      <c r="F30" s="135">
        <f t="shared" si="0"/>
        <v>0</v>
      </c>
      <c r="J30" s="179">
        <v>0</v>
      </c>
      <c r="K30" s="209"/>
      <c r="L30" s="196">
        <v>0</v>
      </c>
      <c r="M30" s="209"/>
      <c r="N30" s="210">
        <v>3797652</v>
      </c>
      <c r="O30" s="148">
        <v>18025.5</v>
      </c>
      <c r="P30" s="167">
        <v>42832</v>
      </c>
      <c r="R30">
        <v>71431.960000000006</v>
      </c>
      <c r="S30" s="45">
        <v>21935.5</v>
      </c>
      <c r="T30" s="291" t="s">
        <v>480</v>
      </c>
      <c r="U30" s="340">
        <v>23400.23</v>
      </c>
      <c r="V30" s="168" t="s">
        <v>159</v>
      </c>
      <c r="W30" s="160" t="s">
        <v>154</v>
      </c>
      <c r="X30" s="148">
        <v>4344</v>
      </c>
      <c r="Y30" s="167">
        <v>42844</v>
      </c>
    </row>
    <row r="31" spans="1:25" ht="16.5" thickBot="1" x14ac:dyDescent="0.3">
      <c r="A31" s="131">
        <v>42849</v>
      </c>
      <c r="B31" s="132" t="s">
        <v>477</v>
      </c>
      <c r="C31" s="133">
        <v>29043.919999999998</v>
      </c>
      <c r="D31" s="128">
        <v>42854</v>
      </c>
      <c r="E31" s="133">
        <v>29043.919999999998</v>
      </c>
      <c r="F31" s="135">
        <f t="shared" si="0"/>
        <v>0</v>
      </c>
      <c r="J31" s="273">
        <f>SUM(J1:J30)</f>
        <v>583333</v>
      </c>
      <c r="K31" s="271"/>
      <c r="L31" s="275">
        <f>SUM(L2:L30)</f>
        <v>597714.5199999999</v>
      </c>
      <c r="M31" s="276"/>
      <c r="N31" s="276"/>
      <c r="O31" s="275">
        <f>SUM(O2:O30)</f>
        <v>595141</v>
      </c>
      <c r="P31" s="272"/>
      <c r="S31" s="45">
        <v>0</v>
      </c>
      <c r="T31" s="291"/>
      <c r="U31" s="340">
        <v>0</v>
      </c>
      <c r="V31" s="168"/>
      <c r="W31" s="160" t="s">
        <v>154</v>
      </c>
      <c r="X31" s="161">
        <v>8415</v>
      </c>
      <c r="Y31" s="162">
        <v>42844</v>
      </c>
    </row>
    <row r="32" spans="1:25" ht="15.75" x14ac:dyDescent="0.25">
      <c r="A32" s="287">
        <v>42850</v>
      </c>
      <c r="B32" s="290" t="s">
        <v>475</v>
      </c>
      <c r="C32" s="133">
        <v>37542.839999999997</v>
      </c>
      <c r="D32" s="128">
        <v>42854</v>
      </c>
      <c r="E32" s="133">
        <v>37542.839999999997</v>
      </c>
      <c r="F32" s="289">
        <f t="shared" si="0"/>
        <v>0</v>
      </c>
      <c r="S32" s="45">
        <v>0</v>
      </c>
      <c r="T32" s="132"/>
      <c r="U32" s="133">
        <v>0</v>
      </c>
      <c r="V32" s="168"/>
      <c r="W32" s="160" t="s">
        <v>154</v>
      </c>
      <c r="X32" s="161">
        <v>4057</v>
      </c>
      <c r="Y32" s="162">
        <v>42842</v>
      </c>
    </row>
    <row r="33" spans="1:25" ht="15.75" x14ac:dyDescent="0.25">
      <c r="A33" s="287">
        <v>42851</v>
      </c>
      <c r="B33" s="376" t="s">
        <v>494</v>
      </c>
      <c r="C33" s="339">
        <v>32802.86</v>
      </c>
      <c r="D33" s="128">
        <v>42854</v>
      </c>
      <c r="E33" s="339">
        <v>32802.86</v>
      </c>
      <c r="F33" s="289">
        <f t="shared" si="0"/>
        <v>0</v>
      </c>
      <c r="S33" s="45">
        <v>0</v>
      </c>
      <c r="T33" s="132"/>
      <c r="U33" s="133">
        <v>0</v>
      </c>
      <c r="V33" s="168"/>
      <c r="W33" s="160">
        <v>3797681</v>
      </c>
      <c r="X33" s="161">
        <v>18695.5</v>
      </c>
      <c r="Y33" s="162">
        <v>42851</v>
      </c>
    </row>
    <row r="34" spans="1:25" ht="15.75" x14ac:dyDescent="0.25">
      <c r="A34" s="287">
        <v>42852</v>
      </c>
      <c r="B34" s="291" t="s">
        <v>476</v>
      </c>
      <c r="C34" s="340">
        <v>101915.86</v>
      </c>
      <c r="D34" s="128">
        <v>42854</v>
      </c>
      <c r="E34" s="340">
        <v>101915.86</v>
      </c>
      <c r="F34" s="289">
        <f t="shared" si="0"/>
        <v>0</v>
      </c>
      <c r="S34" s="45">
        <v>0</v>
      </c>
      <c r="T34" s="132"/>
      <c r="U34" s="133">
        <v>0</v>
      </c>
      <c r="V34" s="168"/>
      <c r="W34" s="160">
        <v>3797680</v>
      </c>
      <c r="X34" s="161">
        <v>20000</v>
      </c>
      <c r="Y34" s="162">
        <v>42851</v>
      </c>
    </row>
    <row r="35" spans="1:25" ht="15.75" x14ac:dyDescent="0.25">
      <c r="A35" s="287">
        <v>42853</v>
      </c>
      <c r="B35" s="291" t="s">
        <v>480</v>
      </c>
      <c r="C35" s="178">
        <v>71431.960000000006</v>
      </c>
      <c r="D35" s="346" t="s">
        <v>528</v>
      </c>
      <c r="E35" s="389">
        <f>23400.23+48031.73</f>
        <v>71431.960000000006</v>
      </c>
      <c r="F35" s="289">
        <f t="shared" si="0"/>
        <v>0</v>
      </c>
      <c r="J35" s="4"/>
      <c r="S35" s="45">
        <v>0</v>
      </c>
      <c r="T35" s="132"/>
      <c r="U35" s="133">
        <v>0</v>
      </c>
      <c r="V35" s="168"/>
      <c r="W35" s="160">
        <v>3797682</v>
      </c>
      <c r="X35" s="161">
        <v>30000</v>
      </c>
      <c r="Y35" s="162">
        <v>42852</v>
      </c>
    </row>
    <row r="36" spans="1:25" ht="16.5" thickBot="1" x14ac:dyDescent="0.3">
      <c r="A36" s="287">
        <v>42854</v>
      </c>
      <c r="B36" s="291" t="s">
        <v>496</v>
      </c>
      <c r="C36" s="139">
        <v>39360.85</v>
      </c>
      <c r="D36" s="137">
        <v>42868</v>
      </c>
      <c r="E36" s="347">
        <v>39360.85</v>
      </c>
      <c r="F36" s="289">
        <f t="shared" si="0"/>
        <v>0</v>
      </c>
      <c r="I36" s="9" t="s">
        <v>435</v>
      </c>
      <c r="J36" s="45">
        <v>17024.5</v>
      </c>
      <c r="K36" s="154"/>
      <c r="L36" s="357">
        <v>42842</v>
      </c>
      <c r="M36" s="216"/>
      <c r="N36" s="217" t="s">
        <v>141</v>
      </c>
      <c r="O36" s="111"/>
      <c r="P36" s="158"/>
      <c r="S36" s="45">
        <v>0</v>
      </c>
      <c r="T36" s="367"/>
      <c r="U36" s="288">
        <v>0</v>
      </c>
      <c r="V36" s="325"/>
      <c r="W36" s="295">
        <v>3797683</v>
      </c>
      <c r="X36" s="296">
        <v>11158.5</v>
      </c>
      <c r="Y36" s="297">
        <v>42852</v>
      </c>
    </row>
    <row r="37" spans="1:25" ht="17.25" thickTop="1" thickBot="1" x14ac:dyDescent="0.3">
      <c r="A37" s="287">
        <v>42854</v>
      </c>
      <c r="B37" s="291" t="s">
        <v>497</v>
      </c>
      <c r="C37" s="139">
        <v>34019</v>
      </c>
      <c r="D37" s="137">
        <v>42868</v>
      </c>
      <c r="E37" s="347">
        <v>34019</v>
      </c>
      <c r="F37" s="166">
        <f t="shared" si="0"/>
        <v>0</v>
      </c>
      <c r="J37" s="45">
        <v>31544.5</v>
      </c>
      <c r="K37" s="132" t="s">
        <v>386</v>
      </c>
      <c r="L37" s="133">
        <v>2714.69</v>
      </c>
      <c r="M37" s="214" t="s">
        <v>143</v>
      </c>
      <c r="N37" s="160">
        <v>3797653</v>
      </c>
      <c r="O37" s="161">
        <v>44500</v>
      </c>
      <c r="P37" s="162">
        <v>42833</v>
      </c>
      <c r="S37" s="371">
        <v>0</v>
      </c>
      <c r="T37" s="196"/>
      <c r="U37" s="196">
        <v>0</v>
      </c>
      <c r="V37" s="344"/>
      <c r="W37" s="270" t="s">
        <v>158</v>
      </c>
      <c r="X37" s="148">
        <v>11399</v>
      </c>
      <c r="Y37" s="167">
        <v>42850</v>
      </c>
    </row>
    <row r="38" spans="1:25" ht="16.5" thickBot="1" x14ac:dyDescent="0.3">
      <c r="A38" s="287"/>
      <c r="B38" s="298"/>
      <c r="C38" s="139"/>
      <c r="D38" s="137"/>
      <c r="E38" s="347"/>
      <c r="F38" s="166">
        <f t="shared" si="0"/>
        <v>0</v>
      </c>
      <c r="J38" s="45">
        <f>17240+11064</f>
        <v>28304</v>
      </c>
      <c r="K38" s="132" t="s">
        <v>441</v>
      </c>
      <c r="L38" s="133">
        <v>28304</v>
      </c>
      <c r="M38" s="172"/>
      <c r="N38" s="160" t="s">
        <v>154</v>
      </c>
      <c r="O38" s="161">
        <v>500</v>
      </c>
      <c r="P38" s="162">
        <v>42837</v>
      </c>
      <c r="S38" s="377">
        <v>0</v>
      </c>
      <c r="T38" s="209"/>
      <c r="U38" s="196">
        <v>0</v>
      </c>
      <c r="V38" s="209"/>
      <c r="W38" s="378">
        <v>3797677</v>
      </c>
      <c r="X38" s="375">
        <v>21935.5</v>
      </c>
      <c r="Y38" s="379">
        <v>42848</v>
      </c>
    </row>
    <row r="39" spans="1:25" ht="16.5" thickBot="1" x14ac:dyDescent="0.3">
      <c r="A39" s="287"/>
      <c r="B39" s="291"/>
      <c r="C39" s="139"/>
      <c r="D39" s="128"/>
      <c r="E39" s="139"/>
      <c r="F39" s="166">
        <f t="shared" si="0"/>
        <v>0</v>
      </c>
      <c r="J39" s="45">
        <f>61531.5+5371.5</f>
        <v>66903</v>
      </c>
      <c r="K39" s="132" t="s">
        <v>434</v>
      </c>
      <c r="L39" s="133">
        <v>66903</v>
      </c>
      <c r="M39" s="214"/>
      <c r="N39" s="160">
        <v>3797654</v>
      </c>
      <c r="O39" s="161">
        <v>20809</v>
      </c>
      <c r="P39" s="162">
        <v>42833</v>
      </c>
      <c r="S39" s="371">
        <f>SUM(S21:S38)</f>
        <v>333425.5</v>
      </c>
      <c r="T39" s="380"/>
      <c r="U39" s="382">
        <f>SUM(U22:U38)</f>
        <v>333429.5</v>
      </c>
      <c r="V39" s="381"/>
      <c r="W39" s="373"/>
      <c r="X39" s="383">
        <f>SUM(X22:X38)</f>
        <v>333429.5</v>
      </c>
      <c r="Y39" s="323"/>
    </row>
    <row r="40" spans="1:25" ht="15.75" x14ac:dyDescent="0.25">
      <c r="A40" s="287"/>
      <c r="B40" s="291"/>
      <c r="C40" s="139"/>
      <c r="D40" s="128"/>
      <c r="E40" s="139"/>
      <c r="F40" s="166">
        <f t="shared" si="0"/>
        <v>0</v>
      </c>
      <c r="J40" s="45">
        <f>44283</f>
        <v>44283</v>
      </c>
      <c r="K40" s="132" t="s">
        <v>438</v>
      </c>
      <c r="L40" s="133">
        <v>44282.9</v>
      </c>
      <c r="M40" s="163"/>
      <c r="N40" s="160">
        <v>3797655</v>
      </c>
      <c r="O40" s="161">
        <v>45000</v>
      </c>
      <c r="P40" s="162">
        <v>42834</v>
      </c>
    </row>
    <row r="41" spans="1:25" ht="15.75" x14ac:dyDescent="0.25">
      <c r="A41" s="287"/>
      <c r="B41" s="291"/>
      <c r="C41" s="139"/>
      <c r="D41" s="128"/>
      <c r="E41" s="148"/>
      <c r="F41" s="166">
        <f t="shared" si="0"/>
        <v>0</v>
      </c>
      <c r="J41" s="45">
        <f>8271+18000</f>
        <v>26271</v>
      </c>
      <c r="K41" s="132" t="s">
        <v>439</v>
      </c>
      <c r="L41" s="133">
        <v>60353.37</v>
      </c>
      <c r="M41" s="164"/>
      <c r="N41" s="160">
        <v>3797656</v>
      </c>
      <c r="O41" s="161">
        <v>27595.5</v>
      </c>
      <c r="P41" s="162">
        <v>42834</v>
      </c>
    </row>
    <row r="42" spans="1:25" ht="15.75" x14ac:dyDescent="0.25">
      <c r="A42" s="131"/>
      <c r="B42" s="291"/>
      <c r="C42" s="139"/>
      <c r="D42" s="209"/>
      <c r="E42" s="139"/>
      <c r="F42" s="166">
        <f t="shared" si="0"/>
        <v>0</v>
      </c>
      <c r="J42" s="45"/>
      <c r="K42" s="132" t="s">
        <v>440</v>
      </c>
      <c r="L42" s="288">
        <v>9198.52</v>
      </c>
      <c r="M42" s="277" t="s">
        <v>159</v>
      </c>
      <c r="N42" s="160">
        <v>3797657</v>
      </c>
      <c r="O42" s="161">
        <v>57925.5</v>
      </c>
      <c r="P42" s="162">
        <v>42835</v>
      </c>
    </row>
    <row r="43" spans="1:25" ht="15.75" x14ac:dyDescent="0.25">
      <c r="A43" s="131"/>
      <c r="B43" s="291"/>
      <c r="C43" s="139"/>
      <c r="D43" s="209"/>
      <c r="E43" s="139"/>
      <c r="F43" s="166">
        <f t="shared" si="0"/>
        <v>0</v>
      </c>
      <c r="J43" s="45"/>
      <c r="K43" s="132"/>
      <c r="L43" s="133"/>
      <c r="M43" s="165"/>
      <c r="N43" s="160">
        <v>3797658</v>
      </c>
      <c r="O43" s="161">
        <v>18000</v>
      </c>
      <c r="P43" s="162">
        <v>42836</v>
      </c>
    </row>
    <row r="44" spans="1:25" ht="15.75" x14ac:dyDescent="0.25">
      <c r="A44" s="332"/>
      <c r="B44" s="210"/>
      <c r="C44" s="315"/>
      <c r="D44" s="333"/>
      <c r="E44" s="333"/>
      <c r="F44" s="333">
        <f t="shared" si="0"/>
        <v>0</v>
      </c>
      <c r="J44" s="45"/>
      <c r="K44" s="132"/>
      <c r="L44" s="133"/>
      <c r="M44" s="163"/>
      <c r="N44" s="160"/>
      <c r="O44" s="166"/>
      <c r="P44" s="167"/>
    </row>
    <row r="45" spans="1:25" ht="16.5" thickBot="1" x14ac:dyDescent="0.3">
      <c r="A45" s="332"/>
      <c r="B45" s="338"/>
      <c r="C45" s="314"/>
      <c r="D45" s="299"/>
      <c r="E45" s="314"/>
      <c r="F45" s="314">
        <f t="shared" si="0"/>
        <v>0</v>
      </c>
      <c r="J45" s="45"/>
      <c r="K45" s="132"/>
      <c r="L45" s="133"/>
      <c r="M45" s="168"/>
      <c r="N45" s="160"/>
      <c r="O45" s="148"/>
      <c r="P45" s="167"/>
    </row>
    <row r="46" spans="1:25" ht="16.5" thickBot="1" x14ac:dyDescent="0.3">
      <c r="A46" s="271"/>
      <c r="B46" s="335"/>
      <c r="C46" s="336">
        <f>SUM(C3:C45)</f>
        <v>1433692.55</v>
      </c>
      <c r="D46" s="335"/>
      <c r="E46" s="275">
        <f>SUM(E3:E45)</f>
        <v>1433692.55</v>
      </c>
      <c r="F46" s="337">
        <f>SUM(F3:F45)</f>
        <v>0</v>
      </c>
      <c r="J46" s="45"/>
      <c r="K46" s="132"/>
      <c r="L46" s="133"/>
      <c r="M46" s="168"/>
      <c r="N46" s="160"/>
      <c r="O46" s="161"/>
      <c r="P46" s="162"/>
    </row>
    <row r="47" spans="1:25" ht="16.5" thickBot="1" x14ac:dyDescent="0.3">
      <c r="J47" s="273">
        <f>SUM(J35:J46)</f>
        <v>214330</v>
      </c>
      <c r="K47" s="271"/>
      <c r="L47" s="275">
        <f>SUM(L37:L46)</f>
        <v>211756.47999999998</v>
      </c>
      <c r="M47" s="276"/>
      <c r="N47" s="276"/>
      <c r="O47" s="275">
        <f>SUM(O37:O46)</f>
        <v>214330</v>
      </c>
      <c r="P47" s="272"/>
    </row>
    <row r="49" spans="12:15" ht="15.75" thickBot="1" x14ac:dyDescent="0.3"/>
    <row r="50" spans="12:15" ht="15.75" x14ac:dyDescent="0.25">
      <c r="L50" s="350" t="s">
        <v>436</v>
      </c>
      <c r="M50" s="351"/>
      <c r="N50" s="351"/>
      <c r="O50" s="352"/>
    </row>
    <row r="51" spans="12:15" ht="16.5" thickBot="1" x14ac:dyDescent="0.3">
      <c r="L51" s="353"/>
      <c r="M51" s="354">
        <v>2573.52</v>
      </c>
      <c r="N51" s="355"/>
      <c r="O51" s="356"/>
    </row>
    <row r="70" spans="16:16" x14ac:dyDescent="0.25">
      <c r="P70" t="s">
        <v>88</v>
      </c>
    </row>
  </sheetData>
  <sortState ref="T28:U30">
    <sortCondition ref="U28:U30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68"/>
  <sheetViews>
    <sheetView workbookViewId="0">
      <selection activeCell="I51" sqref="I5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486" t="s">
        <v>498</v>
      </c>
      <c r="C1" s="486"/>
      <c r="D1" s="486"/>
      <c r="E1" s="486"/>
      <c r="F1" s="486"/>
      <c r="G1" s="486"/>
      <c r="H1" s="486"/>
      <c r="I1" s="486"/>
      <c r="J1" s="486"/>
      <c r="L1" s="2" t="s">
        <v>1</v>
      </c>
      <c r="M1" s="3"/>
    </row>
    <row r="2" spans="1:14" ht="1.5" customHeight="1" thickBot="1" x14ac:dyDescent="0.3">
      <c r="A2" s="1"/>
      <c r="B2" s="5"/>
      <c r="D2" s="384"/>
      <c r="E2" s="8"/>
      <c r="L2" s="9"/>
      <c r="M2" s="3"/>
    </row>
    <row r="3" spans="1:14" ht="19.5" thickBot="1" x14ac:dyDescent="0.35">
      <c r="A3" s="473" t="s">
        <v>3</v>
      </c>
      <c r="B3" s="10" t="s">
        <v>4</v>
      </c>
      <c r="C3" s="487" t="s">
        <v>2</v>
      </c>
      <c r="D3" s="487"/>
      <c r="E3" s="487"/>
      <c r="F3" s="488">
        <v>2000</v>
      </c>
      <c r="G3" s="488"/>
      <c r="I3" s="5"/>
      <c r="L3" s="9"/>
      <c r="M3" s="3"/>
    </row>
    <row r="4" spans="1:14" ht="20.25" thickTop="1" thickBot="1" x14ac:dyDescent="0.35">
      <c r="A4" s="474"/>
      <c r="B4" s="13">
        <v>125393.1</v>
      </c>
      <c r="C4" s="14"/>
      <c r="D4" s="491" t="s">
        <v>8</v>
      </c>
      <c r="E4" s="492"/>
      <c r="H4" s="493" t="s">
        <v>9</v>
      </c>
      <c r="I4" s="494"/>
      <c r="J4" s="494"/>
      <c r="K4" s="494"/>
      <c r="L4" s="15" t="s">
        <v>10</v>
      </c>
      <c r="M4" s="16" t="s">
        <v>11</v>
      </c>
    </row>
    <row r="5" spans="1:14" ht="16.5" thickTop="1" thickBot="1" x14ac:dyDescent="0.3">
      <c r="A5" s="18">
        <v>42856</v>
      </c>
      <c r="B5" s="34">
        <v>48169</v>
      </c>
      <c r="C5" s="20" t="s">
        <v>536</v>
      </c>
      <c r="D5" s="21">
        <v>42856</v>
      </c>
      <c r="E5" s="35">
        <v>48169</v>
      </c>
      <c r="F5" s="23"/>
      <c r="G5" s="24">
        <v>42856</v>
      </c>
      <c r="H5" s="192">
        <v>0</v>
      </c>
      <c r="I5" s="26"/>
      <c r="J5" s="27"/>
      <c r="K5" s="27"/>
      <c r="L5" s="28" t="s">
        <v>546</v>
      </c>
      <c r="M5" s="29">
        <v>0</v>
      </c>
      <c r="N5" s="30"/>
    </row>
    <row r="6" spans="1:14" ht="15.75" thickBot="1" x14ac:dyDescent="0.3">
      <c r="A6" s="18">
        <v>42857</v>
      </c>
      <c r="B6" s="34">
        <v>27693</v>
      </c>
      <c r="C6" s="20" t="s">
        <v>537</v>
      </c>
      <c r="D6" s="21">
        <v>42857</v>
      </c>
      <c r="E6" s="35">
        <v>27726</v>
      </c>
      <c r="F6" s="36"/>
      <c r="G6" s="24">
        <v>42857</v>
      </c>
      <c r="H6" s="37">
        <v>33</v>
      </c>
      <c r="I6" s="38"/>
      <c r="J6" s="39" t="s">
        <v>15</v>
      </c>
      <c r="K6" s="40">
        <v>549</v>
      </c>
      <c r="L6" s="28" t="s">
        <v>547</v>
      </c>
      <c r="M6" s="29">
        <v>0</v>
      </c>
      <c r="N6" s="30"/>
    </row>
    <row r="7" spans="1:14" ht="15.75" thickBot="1" x14ac:dyDescent="0.3">
      <c r="A7" s="18">
        <v>42858</v>
      </c>
      <c r="B7" s="34">
        <v>36305</v>
      </c>
      <c r="C7" s="20" t="s">
        <v>538</v>
      </c>
      <c r="D7" s="21">
        <v>42858</v>
      </c>
      <c r="E7" s="35">
        <v>31205.5</v>
      </c>
      <c r="F7" s="23"/>
      <c r="G7" s="24">
        <v>42858</v>
      </c>
      <c r="H7" s="37">
        <v>0</v>
      </c>
      <c r="I7" s="38"/>
      <c r="J7" s="43" t="s">
        <v>18</v>
      </c>
      <c r="K7" s="44">
        <v>17806</v>
      </c>
      <c r="L7" s="28" t="s">
        <v>548</v>
      </c>
      <c r="M7" s="29">
        <v>0</v>
      </c>
      <c r="N7" s="45"/>
    </row>
    <row r="8" spans="1:14" ht="15.75" thickBot="1" x14ac:dyDescent="0.3">
      <c r="A8" s="18">
        <v>42859</v>
      </c>
      <c r="B8" s="34">
        <v>37139</v>
      </c>
      <c r="C8" s="48" t="s">
        <v>539</v>
      </c>
      <c r="D8" s="21">
        <v>42859</v>
      </c>
      <c r="E8" s="35">
        <v>44586</v>
      </c>
      <c r="F8" s="23"/>
      <c r="G8" s="24">
        <v>42859</v>
      </c>
      <c r="H8" s="37">
        <v>0</v>
      </c>
      <c r="I8" s="38"/>
      <c r="J8" s="39" t="s">
        <v>22</v>
      </c>
      <c r="K8" s="36">
        <f>7187.5+7187.5+7187.5+7187.5</f>
        <v>28750</v>
      </c>
      <c r="L8" s="49" t="s">
        <v>549</v>
      </c>
      <c r="M8" s="29">
        <v>0</v>
      </c>
      <c r="N8" s="45"/>
    </row>
    <row r="9" spans="1:14" ht="15.75" thickBot="1" x14ac:dyDescent="0.3">
      <c r="A9" s="18">
        <v>42860</v>
      </c>
      <c r="B9" s="34">
        <v>72814</v>
      </c>
      <c r="C9" s="50" t="s">
        <v>540</v>
      </c>
      <c r="D9" s="21">
        <v>42860</v>
      </c>
      <c r="E9" s="35">
        <v>72819</v>
      </c>
      <c r="F9" s="23"/>
      <c r="G9" s="24">
        <v>42860</v>
      </c>
      <c r="H9" s="37">
        <v>5</v>
      </c>
      <c r="I9" s="38" t="s">
        <v>543</v>
      </c>
      <c r="J9" s="39" t="s">
        <v>500</v>
      </c>
      <c r="K9" s="36">
        <v>9291.2999999999993</v>
      </c>
      <c r="L9" s="49" t="s">
        <v>550</v>
      </c>
      <c r="M9" s="29">
        <v>0</v>
      </c>
      <c r="N9" s="30"/>
    </row>
    <row r="10" spans="1:14" ht="15.75" thickBot="1" x14ac:dyDescent="0.3">
      <c r="A10" s="18">
        <v>42861</v>
      </c>
      <c r="B10" s="34">
        <v>96589</v>
      </c>
      <c r="C10" s="48" t="s">
        <v>541</v>
      </c>
      <c r="D10" s="21">
        <v>42861</v>
      </c>
      <c r="E10" s="35">
        <v>96594</v>
      </c>
      <c r="F10" s="23"/>
      <c r="G10" s="24">
        <v>42861</v>
      </c>
      <c r="H10" s="37">
        <v>5</v>
      </c>
      <c r="I10" s="51" t="s">
        <v>588</v>
      </c>
      <c r="J10" s="39" t="s">
        <v>501</v>
      </c>
      <c r="K10" s="36">
        <v>9291.2999999999993</v>
      </c>
      <c r="L10" s="28" t="s">
        <v>551</v>
      </c>
      <c r="M10" s="29">
        <v>0</v>
      </c>
      <c r="N10" s="45"/>
    </row>
    <row r="11" spans="1:14" ht="15.75" thickBot="1" x14ac:dyDescent="0.3">
      <c r="A11" s="18">
        <v>42862</v>
      </c>
      <c r="B11" s="34">
        <v>63759.5</v>
      </c>
      <c r="C11" s="48" t="s">
        <v>544</v>
      </c>
      <c r="D11" s="21">
        <v>42862</v>
      </c>
      <c r="E11" s="35">
        <v>72169</v>
      </c>
      <c r="F11" s="23"/>
      <c r="G11" s="24">
        <v>42862</v>
      </c>
      <c r="H11" s="37">
        <v>10</v>
      </c>
      <c r="I11" s="51" t="s">
        <v>589</v>
      </c>
      <c r="J11" s="39" t="s">
        <v>502</v>
      </c>
      <c r="K11" s="36">
        <v>8234.57</v>
      </c>
      <c r="L11" s="28" t="s">
        <v>552</v>
      </c>
      <c r="M11" s="29">
        <v>0</v>
      </c>
      <c r="N11" s="30"/>
    </row>
    <row r="12" spans="1:14" ht="15.75" thickBot="1" x14ac:dyDescent="0.3">
      <c r="A12" s="18">
        <v>42863</v>
      </c>
      <c r="B12" s="34">
        <v>51683</v>
      </c>
      <c r="C12" s="48" t="s">
        <v>553</v>
      </c>
      <c r="D12" s="21">
        <v>42863</v>
      </c>
      <c r="E12" s="35">
        <v>51683</v>
      </c>
      <c r="F12" s="23"/>
      <c r="G12" s="24">
        <v>42863</v>
      </c>
      <c r="H12" s="37">
        <v>0</v>
      </c>
      <c r="I12" s="38" t="s">
        <v>606</v>
      </c>
      <c r="J12" s="39" t="s">
        <v>542</v>
      </c>
      <c r="K12" s="36">
        <v>8234.57</v>
      </c>
      <c r="L12" s="28" t="s">
        <v>545</v>
      </c>
      <c r="M12" s="29">
        <v>0</v>
      </c>
      <c r="N12" s="30"/>
    </row>
    <row r="13" spans="1:14" ht="15.75" thickBot="1" x14ac:dyDescent="0.3">
      <c r="A13" s="18">
        <v>42864</v>
      </c>
      <c r="B13" s="34">
        <v>35060</v>
      </c>
      <c r="C13" s="48" t="s">
        <v>557</v>
      </c>
      <c r="D13" s="21">
        <v>42864</v>
      </c>
      <c r="E13" s="35">
        <v>35070</v>
      </c>
      <c r="F13" s="23"/>
      <c r="G13" s="24">
        <v>42864</v>
      </c>
      <c r="H13" s="37">
        <v>10</v>
      </c>
      <c r="I13" s="38"/>
      <c r="J13" s="52"/>
      <c r="K13" s="40">
        <v>0</v>
      </c>
      <c r="L13" s="28" t="s">
        <v>558</v>
      </c>
      <c r="M13" s="29">
        <v>0</v>
      </c>
      <c r="N13" s="45"/>
    </row>
    <row r="14" spans="1:14" ht="15.75" thickBot="1" x14ac:dyDescent="0.3">
      <c r="A14" s="18">
        <v>42865</v>
      </c>
      <c r="B14" s="34">
        <v>29417</v>
      </c>
      <c r="C14" s="50" t="s">
        <v>560</v>
      </c>
      <c r="D14" s="21">
        <v>42865</v>
      </c>
      <c r="E14" s="35">
        <v>29929</v>
      </c>
      <c r="F14" s="23"/>
      <c r="G14" s="24">
        <v>42865</v>
      </c>
      <c r="H14" s="37">
        <v>512</v>
      </c>
      <c r="I14" s="38"/>
      <c r="J14" s="53"/>
      <c r="K14" s="40">
        <v>0</v>
      </c>
      <c r="L14" s="28" t="s">
        <v>559</v>
      </c>
      <c r="M14" s="29">
        <v>0</v>
      </c>
      <c r="N14" s="45"/>
    </row>
    <row r="15" spans="1:14" ht="15.75" thickBot="1" x14ac:dyDescent="0.3">
      <c r="A15" s="18">
        <v>42866</v>
      </c>
      <c r="B15" s="34">
        <v>33819</v>
      </c>
      <c r="C15" s="50" t="s">
        <v>562</v>
      </c>
      <c r="D15" s="21">
        <v>42866</v>
      </c>
      <c r="E15" s="35">
        <v>38422</v>
      </c>
      <c r="F15" s="23"/>
      <c r="G15" s="24">
        <v>42866</v>
      </c>
      <c r="H15" s="37">
        <v>0</v>
      </c>
      <c r="I15" s="38"/>
      <c r="J15" s="52" t="s">
        <v>44</v>
      </c>
      <c r="K15" s="40">
        <v>0</v>
      </c>
      <c r="L15" s="28" t="s">
        <v>561</v>
      </c>
      <c r="M15" s="29">
        <v>0</v>
      </c>
      <c r="N15" s="45"/>
    </row>
    <row r="16" spans="1:14" ht="15.75" thickBot="1" x14ac:dyDescent="0.3">
      <c r="A16" s="18">
        <v>42867</v>
      </c>
      <c r="B16" s="34">
        <v>51013</v>
      </c>
      <c r="C16" s="50" t="s">
        <v>564</v>
      </c>
      <c r="D16" s="21">
        <v>42867</v>
      </c>
      <c r="E16" s="35">
        <v>51013</v>
      </c>
      <c r="F16" s="23"/>
      <c r="G16" s="24">
        <v>42867</v>
      </c>
      <c r="H16" s="37">
        <v>0</v>
      </c>
      <c r="I16" s="38"/>
      <c r="J16" s="54"/>
      <c r="K16" s="55">
        <v>0</v>
      </c>
      <c r="L16" s="28" t="s">
        <v>563</v>
      </c>
      <c r="M16" s="29">
        <v>0</v>
      </c>
      <c r="N16" s="45"/>
    </row>
    <row r="17" spans="1:14" ht="15.75" thickBot="1" x14ac:dyDescent="0.3">
      <c r="A17" s="18">
        <v>42868</v>
      </c>
      <c r="B17" s="34">
        <v>87300</v>
      </c>
      <c r="C17" s="50" t="s">
        <v>566</v>
      </c>
      <c r="D17" s="21">
        <v>42868</v>
      </c>
      <c r="E17" s="35">
        <v>93648</v>
      </c>
      <c r="F17" s="23"/>
      <c r="G17" s="24">
        <v>42868</v>
      </c>
      <c r="H17" s="37">
        <v>0</v>
      </c>
      <c r="I17" s="38"/>
      <c r="J17" s="483" t="s">
        <v>49</v>
      </c>
      <c r="K17" s="55">
        <v>0</v>
      </c>
      <c r="L17" s="28" t="s">
        <v>565</v>
      </c>
      <c r="M17" s="29">
        <v>0</v>
      </c>
      <c r="N17" s="45"/>
    </row>
    <row r="18" spans="1:14" ht="15.75" thickBot="1" x14ac:dyDescent="0.3">
      <c r="A18" s="18">
        <v>42869</v>
      </c>
      <c r="B18" s="34">
        <v>67550.5</v>
      </c>
      <c r="C18" s="48" t="s">
        <v>568</v>
      </c>
      <c r="D18" s="21">
        <v>42869</v>
      </c>
      <c r="E18" s="35">
        <v>52534</v>
      </c>
      <c r="F18" s="23"/>
      <c r="G18" s="24">
        <v>42869</v>
      </c>
      <c r="H18" s="37">
        <v>10</v>
      </c>
      <c r="I18" s="56"/>
      <c r="J18" s="483"/>
      <c r="K18" s="29">
        <v>0</v>
      </c>
      <c r="L18" s="386" t="s">
        <v>567</v>
      </c>
      <c r="M18" s="29">
        <v>0</v>
      </c>
      <c r="N18" s="45"/>
    </row>
    <row r="19" spans="1:14" ht="15.75" thickBot="1" x14ac:dyDescent="0.3">
      <c r="A19" s="18">
        <v>42870</v>
      </c>
      <c r="B19" s="34">
        <v>53896.5</v>
      </c>
      <c r="C19" s="50" t="s">
        <v>570</v>
      </c>
      <c r="D19" s="21">
        <v>42870</v>
      </c>
      <c r="E19" s="35">
        <v>53906.3</v>
      </c>
      <c r="F19" s="23"/>
      <c r="G19" s="24">
        <v>42870</v>
      </c>
      <c r="H19" s="37">
        <v>10</v>
      </c>
      <c r="I19" s="38"/>
      <c r="J19" s="52" t="s">
        <v>54</v>
      </c>
      <c r="K19" s="29">
        <v>0</v>
      </c>
      <c r="L19" s="28" t="s">
        <v>569</v>
      </c>
      <c r="M19" s="29">
        <v>0</v>
      </c>
      <c r="N19" s="45"/>
    </row>
    <row r="20" spans="1:14" ht="15.75" thickBot="1" x14ac:dyDescent="0.3">
      <c r="A20" s="18">
        <v>42871</v>
      </c>
      <c r="B20" s="34">
        <v>37951.5</v>
      </c>
      <c r="C20" s="57" t="s">
        <v>572</v>
      </c>
      <c r="D20" s="21">
        <v>42871</v>
      </c>
      <c r="E20" s="35">
        <v>31703.5</v>
      </c>
      <c r="F20" s="23"/>
      <c r="G20" s="24">
        <v>42871</v>
      </c>
      <c r="H20" s="37">
        <v>0</v>
      </c>
      <c r="I20" s="58"/>
      <c r="J20" s="59" t="s">
        <v>57</v>
      </c>
      <c r="K20" s="60">
        <v>0</v>
      </c>
      <c r="L20" s="28" t="s">
        <v>571</v>
      </c>
      <c r="M20" s="29">
        <v>0</v>
      </c>
      <c r="N20" s="45"/>
    </row>
    <row r="21" spans="1:14" ht="15.75" thickBot="1" x14ac:dyDescent="0.3">
      <c r="A21" s="18">
        <v>42872</v>
      </c>
      <c r="B21" s="34">
        <v>35343</v>
      </c>
      <c r="C21" s="57" t="s">
        <v>574</v>
      </c>
      <c r="D21" s="21">
        <v>42872</v>
      </c>
      <c r="E21" s="35">
        <v>30640</v>
      </c>
      <c r="F21" s="23"/>
      <c r="G21" s="24">
        <v>42872</v>
      </c>
      <c r="H21" s="37">
        <v>0</v>
      </c>
      <c r="I21" s="38"/>
      <c r="J21" s="61"/>
      <c r="K21" s="60">
        <v>0</v>
      </c>
      <c r="L21" s="28" t="s">
        <v>573</v>
      </c>
      <c r="M21" s="29">
        <v>0</v>
      </c>
      <c r="N21" s="45"/>
    </row>
    <row r="22" spans="1:14" ht="15.75" thickBot="1" x14ac:dyDescent="0.3">
      <c r="A22" s="18">
        <v>42873</v>
      </c>
      <c r="B22" s="34">
        <v>47132.5</v>
      </c>
      <c r="C22" s="50" t="s">
        <v>576</v>
      </c>
      <c r="D22" s="21">
        <v>42873</v>
      </c>
      <c r="E22" s="35">
        <v>47968.5</v>
      </c>
      <c r="F22" s="23"/>
      <c r="G22" s="24">
        <v>42873</v>
      </c>
      <c r="H22" s="37">
        <v>0</v>
      </c>
      <c r="I22" s="58"/>
      <c r="J22" s="62"/>
      <c r="K22" s="60">
        <v>0</v>
      </c>
      <c r="L22" s="28" t="s">
        <v>575</v>
      </c>
      <c r="M22" s="29">
        <v>0</v>
      </c>
      <c r="N22" s="45"/>
    </row>
    <row r="23" spans="1:14" ht="15.75" thickBot="1" x14ac:dyDescent="0.3">
      <c r="A23" s="18">
        <v>42874</v>
      </c>
      <c r="B23" s="34">
        <v>46578</v>
      </c>
      <c r="C23" s="50" t="s">
        <v>576</v>
      </c>
      <c r="D23" s="21">
        <v>42874</v>
      </c>
      <c r="E23" s="35">
        <v>46578</v>
      </c>
      <c r="F23" s="23"/>
      <c r="G23" s="24">
        <v>42874</v>
      </c>
      <c r="H23" s="37">
        <v>0</v>
      </c>
      <c r="I23" s="38"/>
      <c r="J23" s="63"/>
      <c r="K23" s="60">
        <v>0</v>
      </c>
      <c r="L23" s="28" t="s">
        <v>586</v>
      </c>
      <c r="M23" s="29">
        <v>0</v>
      </c>
      <c r="N23" s="45"/>
    </row>
    <row r="24" spans="1:14" ht="15.75" thickBot="1" x14ac:dyDescent="0.3">
      <c r="A24" s="18">
        <v>42875</v>
      </c>
      <c r="B24" s="34">
        <v>84225.5</v>
      </c>
      <c r="C24" s="50" t="s">
        <v>587</v>
      </c>
      <c r="D24" s="21">
        <v>42875</v>
      </c>
      <c r="E24" s="35">
        <v>86668.5</v>
      </c>
      <c r="F24" s="23"/>
      <c r="G24" s="24">
        <v>42875</v>
      </c>
      <c r="H24" s="37">
        <v>33</v>
      </c>
      <c r="I24" s="38"/>
      <c r="J24" s="359" t="s">
        <v>66</v>
      </c>
      <c r="K24" s="60">
        <v>870</v>
      </c>
      <c r="L24" s="28" t="s">
        <v>590</v>
      </c>
      <c r="M24" s="29">
        <v>0</v>
      </c>
      <c r="N24" s="45"/>
    </row>
    <row r="25" spans="1:14" ht="15.75" thickBot="1" x14ac:dyDescent="0.3">
      <c r="A25" s="18">
        <v>42876</v>
      </c>
      <c r="B25" s="34">
        <v>64806.5</v>
      </c>
      <c r="C25" s="57" t="s">
        <v>592</v>
      </c>
      <c r="D25" s="21">
        <v>42876</v>
      </c>
      <c r="E25" s="35">
        <v>63980.5</v>
      </c>
      <c r="F25" s="23"/>
      <c r="G25" s="24">
        <v>42876</v>
      </c>
      <c r="H25" s="37">
        <v>10</v>
      </c>
      <c r="I25" s="38"/>
      <c r="J25" s="68">
        <v>42859</v>
      </c>
      <c r="K25" s="60">
        <v>0</v>
      </c>
      <c r="L25" s="28" t="s">
        <v>591</v>
      </c>
      <c r="M25" s="29">
        <v>0</v>
      </c>
      <c r="N25" s="45"/>
    </row>
    <row r="26" spans="1:14" ht="15.75" thickBot="1" x14ac:dyDescent="0.3">
      <c r="A26" s="18">
        <v>42877</v>
      </c>
      <c r="B26" s="34">
        <v>53801.5</v>
      </c>
      <c r="C26" s="50" t="s">
        <v>594</v>
      </c>
      <c r="D26" s="21">
        <v>42877</v>
      </c>
      <c r="E26" s="35">
        <v>56673.5</v>
      </c>
      <c r="F26" s="23"/>
      <c r="G26" s="24">
        <v>42877</v>
      </c>
      <c r="H26" s="37">
        <v>0</v>
      </c>
      <c r="I26" s="38"/>
      <c r="J26" s="360" t="s">
        <v>73</v>
      </c>
      <c r="K26" s="60">
        <v>900</v>
      </c>
      <c r="L26" s="28" t="s">
        <v>593</v>
      </c>
      <c r="M26" s="29">
        <v>0</v>
      </c>
      <c r="N26" s="45"/>
    </row>
    <row r="27" spans="1:14" ht="15.75" thickBot="1" x14ac:dyDescent="0.3">
      <c r="A27" s="18">
        <v>42878</v>
      </c>
      <c r="B27" s="34">
        <v>18349</v>
      </c>
      <c r="C27" s="50" t="s">
        <v>596</v>
      </c>
      <c r="D27" s="21">
        <v>42878</v>
      </c>
      <c r="E27" s="35">
        <v>18349</v>
      </c>
      <c r="F27" s="23"/>
      <c r="G27" s="24">
        <v>42878</v>
      </c>
      <c r="H27" s="37">
        <v>0</v>
      </c>
      <c r="I27" s="38"/>
      <c r="J27" s="68">
        <v>42879</v>
      </c>
      <c r="K27" s="60">
        <v>0</v>
      </c>
      <c r="L27" s="28" t="s">
        <v>595</v>
      </c>
      <c r="M27" s="29">
        <v>0</v>
      </c>
    </row>
    <row r="28" spans="1:14" ht="15.75" thickBot="1" x14ac:dyDescent="0.3">
      <c r="A28" s="18">
        <v>42879</v>
      </c>
      <c r="B28" s="34">
        <v>29681</v>
      </c>
      <c r="C28" s="50" t="s">
        <v>596</v>
      </c>
      <c r="D28" s="21">
        <v>42879</v>
      </c>
      <c r="E28" s="35">
        <v>30581</v>
      </c>
      <c r="F28" s="23"/>
      <c r="G28" s="24">
        <v>42879</v>
      </c>
      <c r="H28" s="37">
        <v>0</v>
      </c>
      <c r="I28" s="38"/>
      <c r="J28" s="358" t="s">
        <v>442</v>
      </c>
      <c r="K28" s="60">
        <v>0</v>
      </c>
      <c r="L28" s="75" t="s">
        <v>597</v>
      </c>
      <c r="M28" s="29">
        <v>0</v>
      </c>
    </row>
    <row r="29" spans="1:14" ht="15.75" thickBot="1" x14ac:dyDescent="0.3">
      <c r="A29" s="18">
        <v>42880</v>
      </c>
      <c r="B29" s="34">
        <v>32389</v>
      </c>
      <c r="C29" s="50" t="s">
        <v>598</v>
      </c>
      <c r="D29" s="21">
        <v>42880</v>
      </c>
      <c r="E29" s="35">
        <v>35019</v>
      </c>
      <c r="F29" s="23"/>
      <c r="G29" s="24">
        <v>42880</v>
      </c>
      <c r="H29" s="37">
        <v>110</v>
      </c>
      <c r="I29" s="38"/>
      <c r="J29" s="68"/>
      <c r="K29" s="60">
        <v>0</v>
      </c>
      <c r="L29" s="28" t="s">
        <v>599</v>
      </c>
      <c r="M29" s="29">
        <v>0</v>
      </c>
    </row>
    <row r="30" spans="1:14" ht="15.75" thickBot="1" x14ac:dyDescent="0.3">
      <c r="A30" s="18">
        <v>42881</v>
      </c>
      <c r="B30" s="34">
        <v>65691.5</v>
      </c>
      <c r="C30" s="57" t="s">
        <v>601</v>
      </c>
      <c r="D30" s="21">
        <v>42881</v>
      </c>
      <c r="E30" s="35">
        <v>60442.5</v>
      </c>
      <c r="F30" s="23"/>
      <c r="G30" s="24">
        <v>42881</v>
      </c>
      <c r="H30" s="37">
        <v>33</v>
      </c>
      <c r="I30" s="38"/>
      <c r="J30" s="76" t="s">
        <v>82</v>
      </c>
      <c r="K30" s="60">
        <v>0</v>
      </c>
      <c r="L30" s="75" t="s">
        <v>600</v>
      </c>
      <c r="M30" s="29">
        <v>0</v>
      </c>
    </row>
    <row r="31" spans="1:14" ht="15.75" thickBot="1" x14ac:dyDescent="0.3">
      <c r="A31" s="18">
        <v>42882</v>
      </c>
      <c r="B31" s="34">
        <v>80224.5</v>
      </c>
      <c r="C31" s="57" t="s">
        <v>603</v>
      </c>
      <c r="D31" s="21">
        <v>42882</v>
      </c>
      <c r="E31" s="35">
        <v>81336.5</v>
      </c>
      <c r="F31" s="23"/>
      <c r="G31" s="24">
        <v>42882</v>
      </c>
      <c r="H31" s="37">
        <v>0</v>
      </c>
      <c r="I31" s="38"/>
      <c r="J31" s="77"/>
      <c r="K31" s="60">
        <v>0</v>
      </c>
      <c r="L31" s="75" t="s">
        <v>602</v>
      </c>
      <c r="M31" s="29">
        <v>0</v>
      </c>
    </row>
    <row r="32" spans="1:14" ht="15.75" thickBot="1" x14ac:dyDescent="0.3">
      <c r="A32" s="18">
        <v>42883</v>
      </c>
      <c r="B32" s="34">
        <v>74885.5</v>
      </c>
      <c r="C32" s="48" t="s">
        <v>605</v>
      </c>
      <c r="D32" s="21">
        <v>42883</v>
      </c>
      <c r="E32" s="35">
        <v>72375.5</v>
      </c>
      <c r="F32" s="23"/>
      <c r="G32" s="24">
        <v>42883</v>
      </c>
      <c r="H32" s="37">
        <v>10</v>
      </c>
      <c r="I32" s="38"/>
      <c r="J32" s="76"/>
      <c r="K32" s="40"/>
      <c r="L32" s="28" t="s">
        <v>604</v>
      </c>
      <c r="M32" s="29">
        <v>0</v>
      </c>
    </row>
    <row r="33" spans="1:13" ht="15.75" thickBot="1" x14ac:dyDescent="0.3">
      <c r="A33" s="18">
        <v>42884</v>
      </c>
      <c r="B33" s="34">
        <v>0</v>
      </c>
      <c r="C33" s="48"/>
      <c r="D33" s="21">
        <v>42884</v>
      </c>
      <c r="E33" s="35">
        <v>52905</v>
      </c>
      <c r="F33" s="23"/>
      <c r="G33" s="24">
        <v>42884</v>
      </c>
      <c r="H33" s="37">
        <v>20</v>
      </c>
      <c r="I33" s="38"/>
      <c r="J33" s="190"/>
      <c r="K33" s="191"/>
      <c r="L33" s="28" t="s">
        <v>622</v>
      </c>
      <c r="M33" s="29">
        <v>52885</v>
      </c>
    </row>
    <row r="34" spans="1:13" ht="15.75" thickBot="1" x14ac:dyDescent="0.3">
      <c r="A34" s="18">
        <v>42885</v>
      </c>
      <c r="B34" s="34">
        <v>0</v>
      </c>
      <c r="C34" s="57"/>
      <c r="D34" s="21">
        <v>42885</v>
      </c>
      <c r="E34" s="35">
        <v>20625.5</v>
      </c>
      <c r="F34" s="23"/>
      <c r="G34" s="24">
        <v>42885</v>
      </c>
      <c r="H34" s="37">
        <v>0</v>
      </c>
      <c r="I34" s="38"/>
      <c r="J34" s="190"/>
      <c r="K34" s="191"/>
      <c r="L34" s="80" t="s">
        <v>623</v>
      </c>
      <c r="M34" s="29">
        <v>20625.400000000001</v>
      </c>
    </row>
    <row r="35" spans="1:13" ht="15.75" thickBot="1" x14ac:dyDescent="0.3">
      <c r="A35" s="18">
        <v>42886</v>
      </c>
      <c r="B35" s="34">
        <v>30593.5</v>
      </c>
      <c r="C35" s="20" t="s">
        <v>641</v>
      </c>
      <c r="D35" s="21">
        <v>42886</v>
      </c>
      <c r="E35" s="35">
        <v>44120</v>
      </c>
      <c r="F35" s="23"/>
      <c r="G35" s="24">
        <v>42886</v>
      </c>
      <c r="H35" s="37">
        <v>0</v>
      </c>
      <c r="I35" s="38"/>
      <c r="J35" s="76"/>
      <c r="K35" s="40"/>
      <c r="L35" s="81" t="s">
        <v>624</v>
      </c>
      <c r="M35" s="29">
        <v>13526.5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87036.9</v>
      </c>
    </row>
    <row r="38" spans="1:13" x14ac:dyDescent="0.25">
      <c r="A38" s="98" t="s">
        <v>85</v>
      </c>
      <c r="B38" s="99">
        <f>SUM(B5:B37)</f>
        <v>1493860</v>
      </c>
      <c r="D38" s="100" t="s">
        <v>85</v>
      </c>
      <c r="E38" s="101">
        <f>SUM(E5:E37)</f>
        <v>1579440.3</v>
      </c>
      <c r="G38" s="384" t="s">
        <v>85</v>
      </c>
      <c r="H38" s="4">
        <f>SUM(H5:H37)</f>
        <v>811</v>
      </c>
      <c r="I38" s="4"/>
      <c r="J38" s="102" t="s">
        <v>85</v>
      </c>
      <c r="K38" s="103">
        <f t="shared" ref="K38" si="0">SUM(K5:K37)</f>
        <v>83926.74000000002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479" t="s">
        <v>86</v>
      </c>
      <c r="H40" s="480"/>
      <c r="I40" s="385"/>
      <c r="J40" s="481">
        <f>H38+K38</f>
        <v>84737.74000000002</v>
      </c>
      <c r="K40" s="482"/>
      <c r="L40" s="108"/>
      <c r="M40" s="108"/>
    </row>
    <row r="41" spans="1:13" ht="15.75" x14ac:dyDescent="0.25">
      <c r="A41" s="1"/>
      <c r="B41" s="5"/>
      <c r="C41" s="501" t="s">
        <v>87</v>
      </c>
      <c r="D41" s="501"/>
      <c r="E41" s="109">
        <f>E38-J40</f>
        <v>1494702.56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-1512441.64</v>
      </c>
      <c r="H43" s="500"/>
      <c r="I43" s="500"/>
      <c r="J43" s="500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-17739.079999999842</v>
      </c>
      <c r="H44" s="502" t="s">
        <v>91</v>
      </c>
      <c r="I44" s="502"/>
      <c r="J44" s="503">
        <f>E46</f>
        <v>100576.92000000016</v>
      </c>
      <c r="K44" s="504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118316</v>
      </c>
      <c r="H45" s="505" t="s">
        <v>3</v>
      </c>
      <c r="I45" s="505"/>
      <c r="J45" s="490">
        <f>-B4</f>
        <v>-125393.1</v>
      </c>
      <c r="K45" s="490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100576.92000000016</v>
      </c>
      <c r="I46" s="116"/>
      <c r="J46" s="495">
        <v>0</v>
      </c>
      <c r="K46" s="495"/>
      <c r="L46" s="108"/>
      <c r="M46" s="108"/>
    </row>
    <row r="47" spans="1:13" ht="19.5" thickBot="1" x14ac:dyDescent="0.3">
      <c r="A47" s="1"/>
      <c r="B47" s="5"/>
      <c r="E47" s="109"/>
      <c r="H47" s="496" t="s">
        <v>270</v>
      </c>
      <c r="I47" s="497"/>
      <c r="J47" s="498">
        <f>SUM(J44:K46)</f>
        <v>-24816.179999999847</v>
      </c>
      <c r="K47" s="499"/>
      <c r="L47" s="108"/>
      <c r="M47" s="108"/>
    </row>
    <row r="48" spans="1:13" x14ac:dyDescent="0.25">
      <c r="A48" s="1"/>
      <c r="B48" s="5"/>
      <c r="C48" s="500"/>
      <c r="D48" s="500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C3:E3"/>
    <mergeCell ref="F3:G3"/>
    <mergeCell ref="A3:A4"/>
    <mergeCell ref="D4:E4"/>
    <mergeCell ref="H4:K4"/>
  </mergeCells>
  <pageMargins left="0.31496062992125984" right="0.11811023622047245" top="0.15748031496062992" bottom="0" header="0.31496062992125984" footer="0.31496062992125984"/>
  <pageSetup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ENERO  2017   </vt:lpstr>
      <vt:lpstr>REMISIONES ENERO 2017  </vt:lpstr>
      <vt:lpstr>FEBRERO  2017    </vt:lpstr>
      <vt:lpstr>REMISIONES FEBRERO 2017    </vt:lpstr>
      <vt:lpstr>MARZO  2017    </vt:lpstr>
      <vt:lpstr>REMISIONES MARZO 2017     </vt:lpstr>
      <vt:lpstr>A B R I L     2 0 1 7   </vt:lpstr>
      <vt:lpstr>REMISIONES  ABRIL  2017    </vt:lpstr>
      <vt:lpstr>M A Y O   2 0 1 7   </vt:lpstr>
      <vt:lpstr>REMISIONES  MAYO  2017   </vt:lpstr>
      <vt:lpstr>J U N I O    2 0 1 7    </vt:lpstr>
      <vt:lpstr>REMISIONES  JUNIO  2017    </vt:lpstr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2017-06-29T20:26:17Z</cp:lastPrinted>
  <dcterms:created xsi:type="dcterms:W3CDTF">2017-02-14T14:35:35Z</dcterms:created>
  <dcterms:modified xsi:type="dcterms:W3CDTF">2017-07-13T17:16:17Z</dcterms:modified>
</cp:coreProperties>
</file>