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0" windowWidth="24000" windowHeight="9735" firstSheet="14" activeTab="17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A B R I L     2 0 1 7   " sheetId="7" r:id="rId7"/>
    <sheet name="REMISIONES  ABRIL  2017    " sheetId="8" r:id="rId8"/>
    <sheet name="M A Y O   2 0 1 7   " sheetId="9" r:id="rId9"/>
    <sheet name="REMISIONES  MAYO  2017   " sheetId="10" r:id="rId10"/>
    <sheet name="J U N I O    2 0 1 7    " sheetId="11" r:id="rId11"/>
    <sheet name="REMISIONES  JUNIO  2017    " sheetId="12" r:id="rId12"/>
    <sheet name="J U L I O   2 0 1 7       " sheetId="13" r:id="rId13"/>
    <sheet name="REMISIONES   J U L I O   2017" sheetId="14" r:id="rId14"/>
    <sheet name="A G O S T O    2 0 1 7     " sheetId="17" r:id="rId15"/>
    <sheet name="REMISIONES  AGOSTO 2017" sheetId="18" r:id="rId16"/>
    <sheet name="SEPTIEMBRE   2017     " sheetId="19" r:id="rId17"/>
    <sheet name="REMISIONES  SEPTIEMBRE  2017" sheetId="20" r:id="rId18"/>
    <sheet name="Hoja3" sheetId="15" r:id="rId19"/>
    <sheet name="Hoja4" sheetId="16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0" l="1"/>
  <c r="J3" i="20" l="1"/>
  <c r="J2" i="20"/>
  <c r="O31" i="20"/>
  <c r="L31" i="20"/>
  <c r="J31" i="20" l="1"/>
  <c r="C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E45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H38" i="19"/>
  <c r="E38" i="19"/>
  <c r="M37" i="19"/>
  <c r="B38" i="19"/>
  <c r="K8" i="19"/>
  <c r="K38" i="19" s="1"/>
  <c r="F22" i="20" l="1"/>
  <c r="F45" i="20" s="1"/>
  <c r="J40" i="19"/>
  <c r="E41" i="19" s="1"/>
  <c r="E44" i="19" s="1"/>
  <c r="E46" i="19" s="1"/>
  <c r="J44" i="19" s="1"/>
  <c r="J47" i="19" s="1"/>
  <c r="E22" i="18"/>
  <c r="T19" i="18"/>
  <c r="R8" i="18" l="1"/>
  <c r="R7" i="18"/>
  <c r="R6" i="18"/>
  <c r="R5" i="18"/>
  <c r="R2" i="18"/>
  <c r="W19" i="18"/>
  <c r="R19" i="18" l="1"/>
  <c r="N52" i="18" l="1"/>
  <c r="K52" i="18"/>
  <c r="I41" i="18"/>
  <c r="I39" i="18"/>
  <c r="I37" i="18"/>
  <c r="I35" i="18"/>
  <c r="F27" i="18"/>
  <c r="F28" i="18"/>
  <c r="F29" i="18"/>
  <c r="F32" i="18"/>
  <c r="F33" i="18"/>
  <c r="F34" i="18"/>
  <c r="F35" i="18"/>
  <c r="F36" i="18"/>
  <c r="F37" i="18"/>
  <c r="F38" i="18"/>
  <c r="F39" i="18"/>
  <c r="F40" i="18"/>
  <c r="E14" i="18"/>
  <c r="I52" i="18" l="1"/>
  <c r="F26" i="18"/>
  <c r="H38" i="17"/>
  <c r="E38" i="17"/>
  <c r="M37" i="17"/>
  <c r="B17" i="17"/>
  <c r="B38" i="17" s="1"/>
  <c r="K8" i="17"/>
  <c r="K38" i="17" s="1"/>
  <c r="J40" i="17" l="1"/>
  <c r="E41" i="17" s="1"/>
  <c r="E44" i="17" s="1"/>
  <c r="E46" i="17" s="1"/>
  <c r="J44" i="17" s="1"/>
  <c r="J47" i="17" s="1"/>
  <c r="F25" i="18" l="1"/>
  <c r="P17" i="17" l="1"/>
  <c r="E31" i="14" l="1"/>
  <c r="I2" i="18"/>
  <c r="I19" i="18"/>
  <c r="I17" i="18"/>
  <c r="I16" i="18"/>
  <c r="I14" i="18" l="1"/>
  <c r="I13" i="18"/>
  <c r="I12" i="18"/>
  <c r="I11" i="18"/>
  <c r="I9" i="18" l="1"/>
  <c r="I8" i="18"/>
  <c r="I7" i="18"/>
  <c r="I4" i="18"/>
  <c r="I31" i="18" l="1"/>
  <c r="N31" i="18"/>
  <c r="K31" i="18"/>
  <c r="J44" i="11" l="1"/>
  <c r="C56" i="14" l="1"/>
  <c r="C45" i="18" l="1"/>
  <c r="F44" i="18"/>
  <c r="F43" i="18"/>
  <c r="F42" i="18"/>
  <c r="F41" i="18"/>
  <c r="F31" i="18"/>
  <c r="F30" i="18"/>
  <c r="F24" i="18"/>
  <c r="F23" i="18"/>
  <c r="F22" i="18"/>
  <c r="F21" i="18"/>
  <c r="F20" i="18"/>
  <c r="F19" i="18"/>
  <c r="F18" i="18"/>
  <c r="F17" i="18"/>
  <c r="F16" i="18"/>
  <c r="F15" i="18"/>
  <c r="E45" i="18"/>
  <c r="F14" i="18"/>
  <c r="F12" i="18"/>
  <c r="F11" i="18"/>
  <c r="F10" i="18"/>
  <c r="F9" i="18"/>
  <c r="F8" i="18"/>
  <c r="F7" i="18"/>
  <c r="F6" i="18"/>
  <c r="F5" i="18"/>
  <c r="F4" i="18"/>
  <c r="F3" i="18"/>
  <c r="V38" i="17"/>
  <c r="S38" i="17"/>
  <c r="P38" i="17"/>
  <c r="AA37" i="17"/>
  <c r="Y8" i="17"/>
  <c r="Y38" i="17" s="1"/>
  <c r="F13" i="18" l="1"/>
  <c r="F45" i="18" s="1"/>
  <c r="X40" i="17"/>
  <c r="S41" i="17" s="1"/>
  <c r="S44" i="17" s="1"/>
  <c r="S46" i="17" s="1"/>
  <c r="X44" i="17" s="1"/>
  <c r="X47" i="17" s="1"/>
  <c r="E24" i="14"/>
  <c r="W13" i="14"/>
  <c r="T13" i="14"/>
  <c r="R13" i="14"/>
  <c r="R8" i="14"/>
  <c r="R7" i="14"/>
  <c r="R5" i="14"/>
  <c r="R4" i="14"/>
  <c r="R3" i="14" l="1"/>
  <c r="E14" i="14" l="1"/>
  <c r="I40" i="14"/>
  <c r="I39" i="14"/>
  <c r="F42" i="14"/>
  <c r="F43" i="14"/>
  <c r="F44" i="14"/>
  <c r="F45" i="14"/>
  <c r="F46" i="14"/>
  <c r="F47" i="14"/>
  <c r="F48" i="14"/>
  <c r="F49" i="14"/>
  <c r="F50" i="14"/>
  <c r="I37" i="14"/>
  <c r="I36" i="14"/>
  <c r="I35" i="14"/>
  <c r="I33" i="14"/>
  <c r="I34" i="14"/>
  <c r="I32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N51" i="14"/>
  <c r="K51" i="14"/>
  <c r="I51" i="14" l="1"/>
  <c r="F16" i="14"/>
  <c r="F17" i="14"/>
  <c r="F18" i="14"/>
  <c r="F19" i="14"/>
  <c r="F20" i="14"/>
  <c r="F21" i="14"/>
  <c r="F22" i="14"/>
  <c r="F8" i="14" l="1"/>
  <c r="F9" i="14"/>
  <c r="F10" i="14"/>
  <c r="F11" i="14"/>
  <c r="F12" i="14"/>
  <c r="F13" i="14"/>
  <c r="F14" i="14"/>
  <c r="F15" i="14"/>
  <c r="E37" i="12" l="1"/>
  <c r="I17" i="14"/>
  <c r="I16" i="14"/>
  <c r="I15" i="14"/>
  <c r="I8" i="14"/>
  <c r="I7" i="14"/>
  <c r="I4" i="14"/>
  <c r="I3" i="14"/>
  <c r="N27" i="14"/>
  <c r="K27" i="14"/>
  <c r="I27" i="14" l="1"/>
  <c r="F55" i="14"/>
  <c r="F54" i="14"/>
  <c r="F53" i="14"/>
  <c r="F52" i="14"/>
  <c r="F51" i="14"/>
  <c r="F28" i="14"/>
  <c r="F27" i="14"/>
  <c r="F26" i="14"/>
  <c r="F25" i="14"/>
  <c r="F24" i="14"/>
  <c r="F23" i="14"/>
  <c r="E56" i="14"/>
  <c r="F7" i="14"/>
  <c r="F6" i="14"/>
  <c r="F5" i="14"/>
  <c r="F4" i="14"/>
  <c r="F3" i="14"/>
  <c r="H38" i="13"/>
  <c r="E38" i="13"/>
  <c r="B38" i="13"/>
  <c r="M37" i="13"/>
  <c r="K8" i="13"/>
  <c r="K38" i="13" s="1"/>
  <c r="J40" i="13" l="1"/>
  <c r="E41" i="13" s="1"/>
  <c r="E44" i="13" s="1"/>
  <c r="E46" i="13" s="1"/>
  <c r="J44" i="13" s="1"/>
  <c r="J47" i="13" s="1"/>
  <c r="F56" i="14"/>
  <c r="E25" i="12"/>
  <c r="S21" i="12"/>
  <c r="X21" i="12"/>
  <c r="S12" i="12"/>
  <c r="S8" i="12"/>
  <c r="S7" i="12"/>
  <c r="S6" i="12"/>
  <c r="S4" i="12"/>
  <c r="S3" i="12"/>
  <c r="U21" i="12"/>
  <c r="E15" i="12" l="1"/>
  <c r="I40" i="12"/>
  <c r="I39" i="12"/>
  <c r="I38" i="12"/>
  <c r="I37" i="12"/>
  <c r="I34" i="12"/>
  <c r="I33" i="12"/>
  <c r="N51" i="12"/>
  <c r="K51" i="12"/>
  <c r="I51" i="12" l="1"/>
  <c r="E37" i="10" l="1"/>
  <c r="I16" i="12"/>
  <c r="I15" i="12" l="1"/>
  <c r="I14" i="12"/>
  <c r="I13" i="12"/>
  <c r="I10" i="12"/>
  <c r="N27" i="12"/>
  <c r="I5" i="12"/>
  <c r="I4" i="12" l="1"/>
  <c r="I2" i="12"/>
  <c r="K27" i="12" l="1"/>
  <c r="I27" i="12"/>
  <c r="J45" i="9" l="1"/>
  <c r="E49" i="12" l="1"/>
  <c r="C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H38" i="11"/>
  <c r="E38" i="11"/>
  <c r="B38" i="11"/>
  <c r="M37" i="11"/>
  <c r="K8" i="11"/>
  <c r="K38" i="11" s="1"/>
  <c r="J40" i="11" l="1"/>
  <c r="E41" i="11" s="1"/>
  <c r="E44" i="11" s="1"/>
  <c r="E46" i="11" s="1"/>
  <c r="J42" i="11" s="1"/>
  <c r="F49" i="12"/>
  <c r="E25" i="10"/>
  <c r="S2" i="10"/>
  <c r="S1" i="10"/>
  <c r="S5" i="10"/>
  <c r="S10" i="10"/>
  <c r="S12" i="10"/>
  <c r="U27" i="10"/>
  <c r="S9" i="10"/>
  <c r="S27" i="10" l="1"/>
  <c r="S7" i="10" l="1"/>
  <c r="S3" i="10"/>
  <c r="X27" i="10" l="1"/>
  <c r="E17" i="10" l="1"/>
  <c r="N50" i="10"/>
  <c r="I39" i="10"/>
  <c r="I38" i="10"/>
  <c r="I36" i="10"/>
  <c r="I34" i="10"/>
  <c r="I33" i="10"/>
  <c r="I32" i="10"/>
  <c r="I29" i="10"/>
  <c r="K50" i="10"/>
  <c r="I50" i="10" l="1"/>
  <c r="E35" i="8" l="1"/>
  <c r="F29" i="10" l="1"/>
  <c r="F30" i="10"/>
  <c r="F31" i="10"/>
  <c r="F32" i="10"/>
  <c r="F33" i="10"/>
  <c r="F34" i="10"/>
  <c r="F35" i="10"/>
  <c r="F36" i="10"/>
  <c r="F37" i="10"/>
  <c r="F38" i="10"/>
  <c r="F39" i="10"/>
  <c r="F40" i="10"/>
  <c r="I16" i="10"/>
  <c r="I15" i="10"/>
  <c r="I13" i="10"/>
  <c r="I12" i="10"/>
  <c r="I10" i="10"/>
  <c r="I9" i="10"/>
  <c r="I7" i="10"/>
  <c r="I5" i="10"/>
  <c r="I4" i="10"/>
  <c r="I3" i="10"/>
  <c r="I2" i="10"/>
  <c r="N27" i="10"/>
  <c r="K27" i="10"/>
  <c r="I27" i="10" l="1"/>
  <c r="C49" i="10" l="1"/>
  <c r="F48" i="10"/>
  <c r="F47" i="10"/>
  <c r="F46" i="10"/>
  <c r="F45" i="10"/>
  <c r="F44" i="10"/>
  <c r="F43" i="10"/>
  <c r="F42" i="10"/>
  <c r="F4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38" i="9"/>
  <c r="E38" i="9"/>
  <c r="B38" i="9"/>
  <c r="M37" i="9"/>
  <c r="K8" i="9"/>
  <c r="K38" i="9" s="1"/>
  <c r="F49" i="10" l="1"/>
  <c r="E49" i="10"/>
  <c r="J40" i="9"/>
  <c r="E41" i="9" s="1"/>
  <c r="E44" i="9" s="1"/>
  <c r="E46" i="9" s="1"/>
  <c r="J44" i="9" s="1"/>
  <c r="J47" i="9" s="1"/>
  <c r="U39" i="8"/>
  <c r="E27" i="8" l="1"/>
  <c r="X39" i="8" l="1"/>
  <c r="S39" i="8"/>
  <c r="S29" i="8"/>
  <c r="S28" i="8"/>
  <c r="S26" i="8" l="1"/>
  <c r="S24" i="8" l="1"/>
  <c r="S23" i="8"/>
  <c r="S22" i="8" l="1"/>
  <c r="F29" i="8" l="1"/>
  <c r="E20" i="8" l="1"/>
  <c r="X17" i="8"/>
  <c r="S17" i="8"/>
  <c r="U17" i="8"/>
  <c r="S8" i="8"/>
  <c r="S2" i="8"/>
  <c r="S7" i="8"/>
  <c r="S6" i="8"/>
  <c r="S5" i="8"/>
  <c r="S3" i="8"/>
  <c r="S1" i="8"/>
  <c r="J41" i="8" l="1"/>
  <c r="J40" i="8"/>
  <c r="J39" i="8"/>
  <c r="J38" i="8" l="1"/>
  <c r="E14" i="8" l="1"/>
  <c r="J47" i="8"/>
  <c r="O47" i="8"/>
  <c r="L47" i="8"/>
  <c r="L31" i="8" l="1"/>
  <c r="E40" i="6" l="1"/>
  <c r="F35" i="8"/>
  <c r="F36" i="8"/>
  <c r="F37" i="8"/>
  <c r="F38" i="8"/>
  <c r="F39" i="8"/>
  <c r="F40" i="8"/>
  <c r="F41" i="8"/>
  <c r="F42" i="8"/>
  <c r="F43" i="8"/>
  <c r="F44" i="8"/>
  <c r="J16" i="8"/>
  <c r="O31" i="8"/>
  <c r="J15" i="8"/>
  <c r="J14" i="8"/>
  <c r="J13" i="8"/>
  <c r="J12" i="8"/>
  <c r="J10" i="8"/>
  <c r="J8" i="8"/>
  <c r="J7" i="8"/>
  <c r="J5" i="8"/>
  <c r="J3" i="8"/>
  <c r="J31" i="8" l="1"/>
  <c r="H38" i="7"/>
  <c r="E38" i="7"/>
  <c r="B38" i="7"/>
  <c r="M37" i="7"/>
  <c r="K8" i="7"/>
  <c r="K38" i="7" s="1"/>
  <c r="E46" i="8"/>
  <c r="C46" i="8"/>
  <c r="F4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6" i="8" l="1"/>
  <c r="J40" i="7"/>
  <c r="E41" i="7" s="1"/>
  <c r="E44" i="7" s="1"/>
  <c r="E46" i="7" s="1"/>
  <c r="J44" i="7" s="1"/>
  <c r="J47" i="7" s="1"/>
  <c r="E45" i="6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l="1"/>
  <c r="S4" i="6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<sst xmlns="http://schemas.openxmlformats.org/spreadsheetml/2006/main" count="1912" uniqueCount="965">
  <si>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</si>
  <si>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</si>
  <si>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</si>
  <si>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</si>
  <si>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</si>
  <si>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</si>
  <si>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</si>
  <si>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</si>
  <si>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</si>
  <si>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</si>
  <si>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</si>
  <si>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</si>
  <si>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</si>
  <si>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</si>
  <si>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</si>
  <si>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</si>
  <si>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</si>
  <si>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</si>
  <si>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</si>
  <si>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</si>
  <si>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</si>
  <si>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</si>
  <si>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</si>
  <si>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</si>
  <si>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</si>
  <si>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</si>
  <si>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</si>
  <si>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</si>
  <si>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</si>
  <si>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</si>
  <si>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</si>
  <si>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</si>
  <si>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</si>
  <si>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</si>
  <si>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</si>
  <si>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</si>
  <si>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</si>
  <si>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</si>
  <si>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</si>
  <si>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</si>
  <si>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</si>
  <si>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</si>
  <si>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</si>
  <si>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</si>
  <si>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</si>
  <si>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</si>
  <si>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</si>
  <si>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</si>
  <si>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</si>
  <si>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</si>
  <si>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</si>
  <si>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</si>
  <si>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</si>
  <si>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</si>
  <si>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</si>
  <si>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</si>
  <si>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</si>
  <si>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</si>
  <si>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</si>
  <si>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</si>
  <si>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</si>
  <si>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</si>
  <si>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</si>
  <si>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</si>
  <si>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</si>
  <si>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</si>
  <si>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</si>
  <si>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</si>
  <si>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</si>
  <si>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</si>
  <si>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</si>
  <si>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</si>
  <si>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</si>
  <si>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</si>
  <si>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</si>
  <si>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</si>
  <si>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</si>
  <si>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</si>
  <si>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</si>
  <si>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</si>
  <si>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</si>
  <si>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</si>
  <si>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</si>
  <si>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</si>
  <si>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</si>
  <si>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</si>
  <si>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</si>
  <si>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</si>
  <si>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</si>
  <si>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</si>
  <si>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</si>
  <si>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</si>
  <si>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</si>
  <si>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</si>
  <si>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</si>
  <si>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</si>
  <si>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</si>
  <si>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</si>
  <si>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</si>
  <si>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</si>
  <si>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</si>
  <si>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</si>
  <si>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</si>
  <si>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</si>
  <si>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</si>
  <si>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</si>
  <si>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</si>
  <si>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</si>
  <si>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</si>
  <si>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</si>
  <si>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</si>
  <si>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</si>
  <si>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</si>
  <si>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</si>
  <si>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</si>
  <si>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</si>
  <si>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</si>
  <si>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</si>
  <si>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</si>
  <si>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</si>
  <si>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</si>
  <si>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</si>
  <si>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</si>
  <si>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</si>
  <si>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</si>
  <si>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</si>
  <si>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</si>
  <si>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</si>
  <si>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</si>
  <si>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</si>
  <si>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</si>
  <si>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</si>
  <si>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</si>
  <si>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</si>
  <si>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</si>
  <si>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</si>
  <si>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</si>
  <si>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</si>
  <si>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</si>
  <si>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</si>
  <si>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</si>
  <si>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</si>
  <si>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</si>
  <si>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</si>
  <si>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</si>
  <si>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</si>
  <si>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</si>
  <si>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</si>
  <si>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</si>
  <si>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</si>
  <si>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</si>
  <si>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</si>
  <si>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</si>
  <si>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</si>
  <si>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</si>
  <si>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</si>
  <si>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</si>
  <si>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</si>
  <si>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</si>
  <si>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</si>
  <si>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</si>
  <si>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</si>
  <si>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</si>
  <si>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</si>
  <si>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</si>
  <si>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</si>
  <si>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</si>
  <si>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</si>
  <si>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</si>
  <si>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</si>
  <si>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</si>
  <si>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</si>
  <si>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</si>
  <si>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</si>
  <si>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</si>
  <si>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</si>
  <si>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</si>
  <si>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</si>
  <si>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</si>
  <si>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</si>
  <si>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</si>
  <si>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</si>
  <si>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</si>
  <si>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</si>
  <si>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</si>
  <si>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</si>
  <si>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</si>
  <si>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</si>
  <si>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</si>
  <si>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</si>
  <si>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</si>
  <si>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</si>
  <si>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</si>
  <si>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</si>
  <si>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</si>
  <si>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</si>
  <si>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</si>
  <si>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</si>
  <si>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</si>
  <si>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</si>
  <si>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</si>
  <si>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</si>
  <si>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</si>
  <si>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</si>
  <si>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</si>
  <si>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</si>
  <si>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</si>
  <si>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</si>
  <si>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</si>
  <si>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</si>
  <si>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</si>
  <si>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</si>
  <si>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</si>
  <si>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</si>
  <si>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</si>
  <si>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</si>
  <si>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</si>
  <si>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</si>
  <si>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</si>
  <si>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</si>
  <si>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</si>
  <si>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</si>
  <si>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</si>
  <si>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</si>
  <si>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</si>
  <si>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</si>
  <si>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</si>
  <si>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</si>
  <si>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</si>
  <si>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</si>
  <si>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</si>
  <si>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</si>
  <si>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</si>
  <si>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</si>
  <si>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</si>
  <si>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</si>
  <si>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</si>
  <si>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</si>
  <si>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</si>
  <si>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</si>
  <si>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</si>
  <si>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</si>
  <si>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</si>
  <si>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</si>
  <si>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</si>
  <si>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</si>
  <si>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</si>
  <si>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</si>
  <si>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</si>
  <si>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</si>
  <si>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</si>
  <si>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</si>
  <si>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</si>
  <si>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</si>
  <si>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</si>
  <si>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</si>
  <si>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</si>
  <si>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</si>
  <si>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</si>
  <si>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</si>
  <si>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</si>
  <si>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</si>
  <si>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</si>
  <si>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</si>
  <si>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</si>
  <si>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</si>
  <si>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</si>
  <si>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</si>
  <si>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</si>
  <si>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</si>
  <si>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</si>
  <si>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</si>
  <si>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</si>
  <si>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</si>
  <si>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</si>
  <si>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</si>
  <si>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</si>
  <si>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</si>
  <si>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</si>
  <si>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</si>
  <si>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</si>
  <si>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</si>
  <si>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</si>
  <si>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</si>
  <si>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</si>
  <si>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</si>
  <si>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</si>
  <si>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</si>
  <si>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</si>
  <si>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</si>
  <si>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</si>
  <si>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</si>
  <si>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</si>
  <si>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</si>
  <si>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</si>
  <si>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</si>
  <si>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</si>
  <si>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</si>
  <si>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</si>
  <si>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</si>
  <si>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</si>
  <si>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</si>
  <si>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</si>
  <si>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</si>
  <si>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</si>
  <si>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</si>
  <si>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</si>
  <si>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</si>
  <si>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</si>
  <si>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</si>
  <si>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</si>
  <si>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</si>
  <si>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</si>
  <si>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</si>
  <si>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</si>
  <si>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</si>
  <si>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</si>
  <si>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</si>
  <si>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</si>
  <si>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</si>
  <si>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</si>
  <si>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</si>
  <si>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</si>
  <si>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</si>
  <si>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</si>
  <si>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</si>
  <si>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</si>
  <si>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</si>
  <si>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</si>
  <si>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</si>
  <si>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</si>
  <si>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</si>
  <si>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</si>
  <si>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</si>
  <si>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</si>
  <si>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</si>
  <si>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</si>
  <si>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</si>
  <si>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</si>
  <si>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</si>
  <si>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</si>
  <si>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</si>
  <si>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</si>
  <si>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</si>
  <si>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</si>
  <si>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</si>
  <si>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</si>
  <si>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</si>
  <si>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</si>
  <si>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</si>
  <si>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</si>
  <si>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</si>
  <si>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</si>
  <si>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</si>
  <si>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</si>
  <si>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</si>
  <si>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</si>
  <si>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</si>
  <si>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</si>
  <si>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</si>
  <si>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</si>
  <si>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</si>
  <si>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</si>
  <si>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</si>
  <si>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</si>
  <si>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</si>
  <si>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</si>
  <si>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</si>
  <si>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</si>
  <si>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</si>
  <si>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</si>
  <si>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</si>
  <si>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</si>
  <si>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</si>
  <si>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</si>
  <si>
    <t xml:space="preserve">BALANCE       DE     A B R I L .            2 0 1 7      HERRADURA </t>
  </si>
  <si>
    <t>06559 D</t>
  </si>
  <si>
    <t>06755 D</t>
  </si>
  <si>
    <t>06858 D</t>
  </si>
  <si>
    <t>06931 D</t>
  </si>
  <si>
    <t>07041 D</t>
  </si>
  <si>
    <t>07305 D</t>
  </si>
  <si>
    <t>07319 D</t>
  </si>
  <si>
    <t>07135 D</t>
  </si>
  <si>
    <t>07330 D</t>
  </si>
  <si>
    <t>07447 D</t>
  </si>
  <si>
    <t>07787 D</t>
  </si>
  <si>
    <t>07511 D</t>
  </si>
  <si>
    <t xml:space="preserve">30-Mar --13-Abril </t>
  </si>
  <si>
    <t># 1371---# 1393</t>
  </si>
  <si>
    <t>R-5385-5448</t>
  </si>
  <si>
    <t>R-5498-5602-5750-5752</t>
  </si>
  <si>
    <t># 1394---# 1428</t>
  </si>
  <si>
    <t># 1429---# 1474</t>
  </si>
  <si>
    <t>R-5752-5812</t>
  </si>
  <si>
    <t># 1475---# 1527</t>
  </si>
  <si>
    <t>R-5812-5814-6078</t>
  </si>
  <si>
    <t># 1528---# 1574</t>
  </si>
  <si>
    <t>R-6073--6277</t>
  </si>
  <si>
    <t># 1575---# 1599</t>
  </si>
  <si>
    <t>R-6277-6307-6310</t>
  </si>
  <si>
    <t># 1600---# 1619</t>
  </si>
  <si>
    <t>R-6310</t>
  </si>
  <si>
    <t># 1620---# 1645</t>
  </si>
  <si>
    <t>R-6310-6425-6559</t>
  </si>
  <si>
    <t>R-6559</t>
  </si>
  <si>
    <t>R-6559-6755</t>
  </si>
  <si>
    <t># 1646---# 1675</t>
  </si>
  <si>
    <t>20--26 mar</t>
  </si>
  <si>
    <t>.</t>
  </si>
  <si>
    <t>NOMINA 13</t>
  </si>
  <si>
    <t>NOMINA 14</t>
  </si>
  <si>
    <t>NOMINA 15</t>
  </si>
  <si>
    <t>NOMINA 16</t>
  </si>
  <si>
    <t>R-6755-6858-6931</t>
  </si>
  <si>
    <t># 1709---# 1752</t>
  </si>
  <si>
    <t># 1753--- # 1785</t>
  </si>
  <si>
    <t>R-6931-7041-7135</t>
  </si>
  <si>
    <t># 1786---# 1810</t>
  </si>
  <si>
    <t>R-7135--7305</t>
  </si>
  <si>
    <t># 1811---# 1834</t>
  </si>
  <si>
    <t>R-7305-7319</t>
  </si>
  <si>
    <t>R-7319--7330</t>
  </si>
  <si>
    <t># 1835---# 1864</t>
  </si>
  <si>
    <t># 1865---# 1895</t>
  </si>
  <si>
    <t>R-7330--7447</t>
  </si>
  <si>
    <t># 1896---# 1929</t>
  </si>
  <si>
    <t>R-1896--1929</t>
  </si>
  <si>
    <t># 1930---# 1982</t>
  </si>
  <si>
    <t>R-7511-7787-7865</t>
  </si>
  <si>
    <t>27--02-Abril</t>
  </si>
  <si>
    <t>03-09-Abril</t>
  </si>
  <si>
    <t># 1983---# 2037</t>
  </si>
  <si>
    <t>R-7865--7898</t>
  </si>
  <si>
    <t>07898 D</t>
  </si>
  <si>
    <t>7511 D</t>
  </si>
  <si>
    <t xml:space="preserve">SE CUBRE EL PAGO DEL DIA 13 DE ABRIL POR  </t>
  </si>
  <si>
    <t>13-Abr--17-Abr</t>
  </si>
  <si>
    <t>08113 D</t>
  </si>
  <si>
    <t>08115 D</t>
  </si>
  <si>
    <t>08200 D</t>
  </si>
  <si>
    <t>07865 D</t>
  </si>
  <si>
    <t xml:space="preserve">Dr. KARINA </t>
  </si>
  <si>
    <t>R-789*8-8113</t>
  </si>
  <si>
    <t># 2038---# 2075</t>
  </si>
  <si>
    <t># 2076---# 2111</t>
  </si>
  <si>
    <t>R-8115</t>
  </si>
  <si>
    <t>08465 D</t>
  </si>
  <si>
    <t>08473 D</t>
  </si>
  <si>
    <t>08642 D</t>
  </si>
  <si>
    <t>08729 D</t>
  </si>
  <si>
    <t>08767 D</t>
  </si>
  <si>
    <t>08195 D</t>
  </si>
  <si>
    <t>08748 D</t>
  </si>
  <si>
    <t>08918 D</t>
  </si>
  <si>
    <t>08922 D</t>
  </si>
  <si>
    <t># 2112---# 2140</t>
  </si>
  <si>
    <t>R-8115-8195</t>
  </si>
  <si>
    <t># 2141---# 2189</t>
  </si>
  <si>
    <t>R-8195-8200</t>
  </si>
  <si>
    <t># 2190---# 2254</t>
  </si>
  <si>
    <t>R-8200-8465-8473</t>
  </si>
  <si>
    <t>10-16 Abril</t>
  </si>
  <si>
    <t>xxxxxxxxx</t>
  </si>
  <si>
    <t>XXXXX</t>
  </si>
  <si>
    <t># 2255---# 2290</t>
  </si>
  <si>
    <t>R-8473-*8642</t>
  </si>
  <si>
    <t># 2291---# 2332</t>
  </si>
  <si>
    <t>R-8642-8729-8748</t>
  </si>
  <si>
    <t># 2333---# 2369</t>
  </si>
  <si>
    <t>R-8748-8767</t>
  </si>
  <si>
    <t>ABONO.</t>
  </si>
  <si>
    <t xml:space="preserve">17-Abril--22-Abril </t>
  </si>
  <si>
    <t>09085 D</t>
  </si>
  <si>
    <t>09095 D</t>
  </si>
  <si>
    <t>09423 D</t>
  </si>
  <si>
    <t>09581 D</t>
  </si>
  <si>
    <t>09160 D</t>
  </si>
  <si>
    <t># 2370---# 2406</t>
  </si>
  <si>
    <t>R-8767-8918-8922</t>
  </si>
  <si>
    <t>09719 D</t>
  </si>
  <si>
    <t>8767 D</t>
  </si>
  <si>
    <t># 2407---# 2444</t>
  </si>
  <si>
    <t>R-8922-9085</t>
  </si>
  <si>
    <t># 2445---# 2505</t>
  </si>
  <si>
    <t>R-9085--9095</t>
  </si>
  <si>
    <t># 2506---# 2559</t>
  </si>
  <si>
    <t>17-23 abril</t>
  </si>
  <si>
    <t># 2560---# 2617</t>
  </si>
  <si>
    <t># 2618---# 2663</t>
  </si>
  <si>
    <t># 2664---# 2695</t>
  </si>
  <si>
    <t>R-9160</t>
  </si>
  <si>
    <t># 2696---# 2722</t>
  </si>
  <si>
    <t>R-9160-9562-9581</t>
  </si>
  <si>
    <t>09562 D</t>
  </si>
  <si>
    <t xml:space="preserve">22-Abril --29-Abril </t>
  </si>
  <si>
    <t>09959 D</t>
  </si>
  <si>
    <t>09968 D</t>
  </si>
  <si>
    <t xml:space="preserve">BALANCE       DE     MAYO             2 0 1 7      HERRADURA </t>
  </si>
  <si>
    <t>NOMINA 17</t>
  </si>
  <si>
    <t>NOMINA 18</t>
  </si>
  <si>
    <t>NOMINA 19</t>
  </si>
  <si>
    <t>NOMINA 20</t>
  </si>
  <si>
    <t>10070 D</t>
  </si>
  <si>
    <t>10206 D</t>
  </si>
  <si>
    <t>10466 D</t>
  </si>
  <si>
    <t>10468 D</t>
  </si>
  <si>
    <t>10557 D</t>
  </si>
  <si>
    <t>10645 D</t>
  </si>
  <si>
    <t>10581 D</t>
  </si>
  <si>
    <t>10745 D</t>
  </si>
  <si>
    <t>10906 D</t>
  </si>
  <si>
    <t>10922 D</t>
  </si>
  <si>
    <t>10978 D</t>
  </si>
  <si>
    <t>11030 D</t>
  </si>
  <si>
    <t>11250 D</t>
  </si>
  <si>
    <t>11393 D</t>
  </si>
  <si>
    <t>11440 D</t>
  </si>
  <si>
    <t>11447 D</t>
  </si>
  <si>
    <t># 2723---# 2753</t>
  </si>
  <si>
    <t>R-9581</t>
  </si>
  <si>
    <t># 2754---# 2800</t>
  </si>
  <si>
    <t>R-9581--9719</t>
  </si>
  <si>
    <t># 2801---# 2853</t>
  </si>
  <si>
    <t>R-9719-9959</t>
  </si>
  <si>
    <t>24-30 Abril</t>
  </si>
  <si>
    <t># 2854---# 2915</t>
  </si>
  <si>
    <t>R-9959-9968-10070</t>
  </si>
  <si>
    <t>29-Abril--13-MAY</t>
  </si>
  <si>
    <t>11559 D</t>
  </si>
  <si>
    <t>11750 D</t>
  </si>
  <si>
    <t>11886 D</t>
  </si>
  <si>
    <t>12017 D</t>
  </si>
  <si>
    <t>12175 D</t>
  </si>
  <si>
    <t>12150 D</t>
  </si>
  <si>
    <t>12329 D</t>
  </si>
  <si>
    <t>R-10070-10206-10466</t>
  </si>
  <si>
    <t>R-10466-10468-10557</t>
  </si>
  <si>
    <t>R-10557</t>
  </si>
  <si>
    <t>R-10557-10645</t>
  </si>
  <si>
    <t>R-10645-10581-10745</t>
  </si>
  <si>
    <t>R-10745-10906</t>
  </si>
  <si>
    <t>NOMINA 21</t>
  </si>
  <si>
    <t>1--7-Mayo</t>
  </si>
  <si>
    <t>R-10906-10922-10978</t>
  </si>
  <si>
    <t># 3201 B---# 3240 B</t>
  </si>
  <si>
    <t># 2916---# 2951 B</t>
  </si>
  <si>
    <t># 2952---# 2983 B</t>
  </si>
  <si>
    <t># 2984---# 3014 B</t>
  </si>
  <si>
    <t># 3015---# 3053 B</t>
  </si>
  <si>
    <t># 3054---# 3100 B</t>
  </si>
  <si>
    <t># 3101---# 3150 B</t>
  </si>
  <si>
    <t># 3151---# 3200 B</t>
  </si>
  <si>
    <t>R-10978-11030</t>
  </si>
  <si>
    <t>12588 D</t>
  </si>
  <si>
    <t>12592 D</t>
  </si>
  <si>
    <t>12743 D</t>
  </si>
  <si>
    <t>R-11030-11250-11393</t>
  </si>
  <si>
    <t># 3241 B---# 3275 B</t>
  </si>
  <si>
    <t># 3276 B---# 3305 B</t>
  </si>
  <si>
    <t>R-11393-11440</t>
  </si>
  <si>
    <t># 3306 B---# 3338 B</t>
  </si>
  <si>
    <t>R-11440-11447</t>
  </si>
  <si>
    <t># 3339 B ---# 3382 B</t>
  </si>
  <si>
    <t>R-11447-11559</t>
  </si>
  <si>
    <t># 3383 B ---# 3442 B</t>
  </si>
  <si>
    <t>R-11559-11750-11886</t>
  </si>
  <si>
    <t># 3443 B--- # 3500 B</t>
  </si>
  <si>
    <t>R-11886-12017-12150</t>
  </si>
  <si>
    <t># 3501 B--- # 3538 B</t>
  </si>
  <si>
    <t>R-12150</t>
  </si>
  <si>
    <t># 3539 B--- # 3564 B</t>
  </si>
  <si>
    <t>R-12150-12175</t>
  </si>
  <si>
    <t># 3565 B--- # 3590 B</t>
  </si>
  <si>
    <t>R-12175-12329</t>
  </si>
  <si>
    <t># 3591 B--- # 3622 B</t>
  </si>
  <si>
    <t>R-12329</t>
  </si>
  <si>
    <t>13-May --22-May</t>
  </si>
  <si>
    <t>12848 D</t>
  </si>
  <si>
    <t>12798 D</t>
  </si>
  <si>
    <t>13069 D</t>
  </si>
  <si>
    <t>13214 D</t>
  </si>
  <si>
    <t>13470 D</t>
  </si>
  <si>
    <t>13483 D</t>
  </si>
  <si>
    <t>13626 D</t>
  </si>
  <si>
    <t>13711 D</t>
  </si>
  <si>
    <t># 3623---# 3679 B</t>
  </si>
  <si>
    <t>R-12588--12592-12743</t>
  </si>
  <si>
    <t>8--14 May</t>
  </si>
  <si>
    <t>15-21 May</t>
  </si>
  <si>
    <t># 3680 B---# 3730 B</t>
  </si>
  <si>
    <t># 3731 B---# 3785 B</t>
  </si>
  <si>
    <t>R-12743-12798-12848</t>
  </si>
  <si>
    <t># 3786 B---# 3820 B</t>
  </si>
  <si>
    <t>R-12848-1369-13214</t>
  </si>
  <si>
    <t># 3821 B---# 3845 B</t>
  </si>
  <si>
    <t>R-13214</t>
  </si>
  <si>
    <t># 3846 B---# 3875 B</t>
  </si>
  <si>
    <t>R-13214-13470</t>
  </si>
  <si>
    <t># 3876 B--- # 3909 B</t>
  </si>
  <si>
    <t># 3910 B ---# 3970 B</t>
  </si>
  <si>
    <t>R-13470-13478-13483</t>
  </si>
  <si>
    <t># 3971 B---# 4022 B</t>
  </si>
  <si>
    <t>R-13483-13626-13711</t>
  </si>
  <si>
    <t># 4023 B---# 4070 B</t>
  </si>
  <si>
    <t>R-13711-13824-13870</t>
  </si>
  <si>
    <t>22-28-May</t>
  </si>
  <si>
    <t>13478 D</t>
  </si>
  <si>
    <t>SIN REMISION</t>
  </si>
  <si>
    <t>22-May --31-May</t>
  </si>
  <si>
    <t>13824 D</t>
  </si>
  <si>
    <t>13870 D</t>
  </si>
  <si>
    <t>14193 D</t>
  </si>
  <si>
    <t>14199 D</t>
  </si>
  <si>
    <t>14256 D</t>
  </si>
  <si>
    <t>14263 D</t>
  </si>
  <si>
    <t>14266 D</t>
  </si>
  <si>
    <t>14546 D</t>
  </si>
  <si>
    <t>14548 D</t>
  </si>
  <si>
    <t>14616 D</t>
  </si>
  <si>
    <t>14654 D</t>
  </si>
  <si>
    <t>14800 D</t>
  </si>
  <si>
    <t># 4071 B---# 4119 B</t>
  </si>
  <si>
    <t># 4120B---# 4142 B</t>
  </si>
  <si>
    <t># 4143 B ---# 4178 B</t>
  </si>
  <si>
    <t xml:space="preserve">BALANCE       DE     JUNIO             2 0 1 7      HERRADURA </t>
  </si>
  <si>
    <t>14920 D</t>
  </si>
  <si>
    <t>15168 D</t>
  </si>
  <si>
    <t>15218 D</t>
  </si>
  <si>
    <t>15504 D</t>
  </si>
  <si>
    <t>15480 D</t>
  </si>
  <si>
    <t># 4179---# 4212</t>
  </si>
  <si>
    <t>R-14193</t>
  </si>
  <si>
    <t>NOMINA 22</t>
  </si>
  <si>
    <t>NOMINA 23</t>
  </si>
  <si>
    <t>NOMINA 24</t>
  </si>
  <si>
    <t>NOMINA 25</t>
  </si>
  <si>
    <t># 4213---# 4268</t>
  </si>
  <si>
    <t xml:space="preserve">         APOYO CAMARAS </t>
  </si>
  <si>
    <t>R-14193-14199-14256-14263-14266-14546</t>
  </si>
  <si>
    <t># 4269---# 4327</t>
  </si>
  <si>
    <t>R-13870</t>
  </si>
  <si>
    <t>29-04 JUN</t>
  </si>
  <si>
    <t># 4328---# 4369</t>
  </si>
  <si>
    <t>R-14546-14616-14654</t>
  </si>
  <si>
    <t># 4403---# 4430</t>
  </si>
  <si>
    <t>R-14800-14920</t>
  </si>
  <si>
    <t>R-14654-14800</t>
  </si>
  <si>
    <t># 4370---# 4402</t>
  </si>
  <si>
    <t># 4431---# 4460</t>
  </si>
  <si>
    <t>R-14920-15168</t>
  </si>
  <si>
    <t># 4461---# 4496</t>
  </si>
  <si>
    <t>R-15168-15218</t>
  </si>
  <si>
    <t># 4497---# 4542</t>
  </si>
  <si>
    <t>R-15218</t>
  </si>
  <si>
    <t># 4543---# 4578</t>
  </si>
  <si>
    <t>R-15218-15480</t>
  </si>
  <si>
    <t>31-May -15-Jun</t>
  </si>
  <si>
    <t>15701 D</t>
  </si>
  <si>
    <t>15857 D</t>
  </si>
  <si>
    <t xml:space="preserve">BALANCE       DE     MARZO            2 0 1 7      HERRADURA </t>
  </si>
  <si>
    <t>16108 D</t>
  </si>
  <si>
    <t>16273 D</t>
  </si>
  <si>
    <t>16426 D</t>
  </si>
  <si>
    <t># 4579---# 4624</t>
  </si>
  <si>
    <t>R-15480-14548-15504-15857</t>
  </si>
  <si>
    <t>FANTAN</t>
  </si>
  <si>
    <t>05-11 JUN</t>
  </si>
  <si>
    <t># 4625---# 4655</t>
  </si>
  <si>
    <t>R-15857-15701-16108</t>
  </si>
  <si>
    <t># 4656---# 4682</t>
  </si>
  <si>
    <t>R-16108</t>
  </si>
  <si>
    <t># 4683---# 4713</t>
  </si>
  <si>
    <t>R-16108--PANZA</t>
  </si>
  <si>
    <t># 4714---# 4746</t>
  </si>
  <si>
    <t>R-16108-16273</t>
  </si>
  <si>
    <t># 4747--- # 4796</t>
  </si>
  <si>
    <t>PANZA</t>
  </si>
  <si>
    <t># 4797--- # 4874</t>
  </si>
  <si>
    <t>R-16273-16426</t>
  </si>
  <si>
    <t>16661 D</t>
  </si>
  <si>
    <t>16811 D</t>
  </si>
  <si>
    <t>16939 D</t>
  </si>
  <si>
    <t>16948 D</t>
  </si>
  <si>
    <t>16975 D</t>
  </si>
  <si>
    <t>12-18 JUNIO</t>
  </si>
  <si>
    <t># 4875---# 4930</t>
  </si>
  <si>
    <t>R-14426-16661</t>
  </si>
  <si>
    <t xml:space="preserve">15-Jun --23-Jun </t>
  </si>
  <si>
    <t>16934 D</t>
  </si>
  <si>
    <t>17231 D</t>
  </si>
  <si>
    <t>17234 D</t>
  </si>
  <si>
    <t>17267 D</t>
  </si>
  <si>
    <t>17384 D</t>
  </si>
  <si>
    <t>17447 D</t>
  </si>
  <si>
    <t>17477 D</t>
  </si>
  <si>
    <t>17575 D</t>
  </si>
  <si>
    <t>17618 D</t>
  </si>
  <si>
    <t># 4931---# 4968</t>
  </si>
  <si>
    <t>R-1661-16811-16934</t>
  </si>
  <si>
    <t>R-538 GG</t>
  </si>
  <si>
    <t>PAPEL</t>
  </si>
  <si>
    <t>R-16934-16939</t>
  </si>
  <si>
    <t># 4969---# 50102</t>
  </si>
  <si>
    <t># 50103---# 50141</t>
  </si>
  <si>
    <t>R-16939-16948-16975</t>
  </si>
  <si>
    <t># 50142---# 50179</t>
  </si>
  <si>
    <t>R-16975-17231</t>
  </si>
  <si>
    <t># 50180---# 50218</t>
  </si>
  <si>
    <t>R-17231-17234</t>
  </si>
  <si>
    <t># 50219---# 50279</t>
  </si>
  <si>
    <t>R-17234-17267-17384-17447-17477</t>
  </si>
  <si>
    <t>19-25 JUN</t>
  </si>
  <si>
    <t># 50280--- # 50334</t>
  </si>
  <si>
    <t>R-17477-17575-17618</t>
  </si>
  <si>
    <t>23-Jun --29-Jun</t>
  </si>
  <si>
    <t>17752 D</t>
  </si>
  <si>
    <t>17879 D</t>
  </si>
  <si>
    <t>17988 D</t>
  </si>
  <si>
    <t>18116 D</t>
  </si>
  <si>
    <t>18153 D</t>
  </si>
  <si>
    <t xml:space="preserve">BALANCE       DE     JULIO             2 0 1 7      HERRADURA </t>
  </si>
  <si>
    <t>NOMINA 26</t>
  </si>
  <si>
    <t>NOMINA 27</t>
  </si>
  <si>
    <t>NOMINA 28</t>
  </si>
  <si>
    <t>NOMINA 29</t>
  </si>
  <si>
    <t>18168 D</t>
  </si>
  <si>
    <t>18253 D</t>
  </si>
  <si>
    <t>18254 D</t>
  </si>
  <si>
    <t>18256 D</t>
  </si>
  <si>
    <t>18387 D</t>
  </si>
  <si>
    <t>18389 D</t>
  </si>
  <si>
    <t>18696 D</t>
  </si>
  <si>
    <t>18659 D</t>
  </si>
  <si>
    <t>18802 D</t>
  </si>
  <si>
    <t>Manto CAMARAS</t>
  </si>
  <si>
    <t>19077 D</t>
  </si>
  <si>
    <t>19420 D</t>
  </si>
  <si>
    <t>19559 D</t>
  </si>
  <si>
    <t>19566 D</t>
  </si>
  <si>
    <t>19704 D</t>
  </si>
  <si>
    <t xml:space="preserve">26-Jun --15-Jul </t>
  </si>
  <si>
    <t># 50335---# 50372</t>
  </si>
  <si>
    <t>R-17618--17752</t>
  </si>
  <si>
    <t># 50373---# 50402</t>
  </si>
  <si>
    <t>R-17752--17879</t>
  </si>
  <si>
    <t># 50403---# 50438</t>
  </si>
  <si>
    <t>R-17879</t>
  </si>
  <si>
    <t># 50439---# 50475</t>
  </si>
  <si>
    <t>R-17879-17988-18116-18153</t>
  </si>
  <si>
    <t>50476---# 50530</t>
  </si>
  <si>
    <t>R-18153-18168</t>
  </si>
  <si>
    <t>50531---# 5600</t>
  </si>
  <si>
    <t>R-18168-18253-18254-18256-18387-18389-18659</t>
  </si>
  <si>
    <t>R-18659-18696-18802</t>
  </si>
  <si>
    <t>19983 D</t>
  </si>
  <si>
    <t>20192 D</t>
  </si>
  <si>
    <t>20193 D</t>
  </si>
  <si>
    <t>20245 D</t>
  </si>
  <si>
    <t>693 GG</t>
  </si>
  <si>
    <t>50601---# 50656</t>
  </si>
  <si>
    <t># 50657---# 50691</t>
  </si>
  <si>
    <t>R-18802</t>
  </si>
  <si>
    <t># 50692---# 50729</t>
  </si>
  <si>
    <t># 50767---# 51797</t>
  </si>
  <si>
    <t>R-18802--19077</t>
  </si>
  <si>
    <t># 50798---# 50849</t>
  </si>
  <si>
    <t>R-19077</t>
  </si>
  <si>
    <t># 50850---# 50885</t>
  </si>
  <si>
    <t>tiket</t>
  </si>
  <si>
    <t xml:space="preserve">cuero papel </t>
  </si>
  <si>
    <t>R-19420-19566</t>
  </si>
  <si>
    <t># 50928---# 50966</t>
  </si>
  <si>
    <t># 50886---# 50927</t>
  </si>
  <si>
    <t>R-19566-19559</t>
  </si>
  <si>
    <t># 50967---# 50987</t>
  </si>
  <si>
    <t># 50988--# 51000--601--624</t>
  </si>
  <si>
    <t>R-19559-19704</t>
  </si>
  <si>
    <t>20349 D</t>
  </si>
  <si>
    <t>20465 D</t>
  </si>
  <si>
    <t>20602 D</t>
  </si>
  <si>
    <t>20753 D</t>
  </si>
  <si>
    <t xml:space="preserve">15-Jul--22-Jul </t>
  </si>
  <si>
    <t># 0625--# 0664</t>
  </si>
  <si>
    <t>R-19704</t>
  </si>
  <si>
    <t># 0665--# 0716</t>
  </si>
  <si>
    <t>R-19704-19983</t>
  </si>
  <si>
    <t># 0717---# 0772</t>
  </si>
  <si>
    <t>R-19983-20192</t>
  </si>
  <si>
    <t>10-16-Jul</t>
  </si>
  <si>
    <t># 0773---# 0823</t>
  </si>
  <si>
    <t>R-20192-20193.-202458</t>
  </si>
  <si>
    <t>26-02-Jul</t>
  </si>
  <si>
    <t>NOMINA 30</t>
  </si>
  <si>
    <t>03-09 Jul</t>
  </si>
  <si>
    <t># 0824---# 0862</t>
  </si>
  <si>
    <t>R-20245-20349</t>
  </si>
  <si>
    <t># 0863---# 0890</t>
  </si>
  <si>
    <t>R-20349-20465</t>
  </si>
  <si>
    <t># 0891---# 0914</t>
  </si>
  <si>
    <t>R-20465-20602</t>
  </si>
  <si>
    <t>20676 D</t>
  </si>
  <si>
    <t>20874 D</t>
  </si>
  <si>
    <t>20875 D</t>
  </si>
  <si>
    <t>21185 D</t>
  </si>
  <si>
    <t>21301 D</t>
  </si>
  <si>
    <t>21333 D</t>
  </si>
  <si>
    <t>21397 D</t>
  </si>
  <si>
    <t>21501 D</t>
  </si>
  <si>
    <t>R-20602-20676</t>
  </si>
  <si>
    <t># 0915---# 0953</t>
  </si>
  <si>
    <t># 0954---# 0005</t>
  </si>
  <si>
    <t>R-20753-20676</t>
  </si>
  <si>
    <t>R-20753-2874-20875</t>
  </si>
  <si>
    <t>17-23-Jul</t>
  </si>
  <si>
    <t>Marisol 23-Jul</t>
  </si>
  <si>
    <t>R-20875-21185</t>
  </si>
  <si>
    <t># 0054--# 0098</t>
  </si>
  <si>
    <t># 0006---# 0053</t>
  </si>
  <si>
    <t># 0099---# 0128</t>
  </si>
  <si>
    <t>R-21185--21301</t>
  </si>
  <si>
    <t># 0129---# 0159</t>
  </si>
  <si>
    <t>R-21301</t>
  </si>
  <si>
    <t xml:space="preserve">22-Jul --29-JUL </t>
  </si>
  <si>
    <t>21665 D</t>
  </si>
  <si>
    <t>21853 D</t>
  </si>
  <si>
    <t xml:space="preserve">BALANCE       DE    AGOSTO              2 0 1 7      HERRADURA </t>
  </si>
  <si>
    <t>}</t>
  </si>
  <si>
    <t>21770 D</t>
  </si>
  <si>
    <t>22022 D</t>
  </si>
  <si>
    <t># 0160---#0190</t>
  </si>
  <si>
    <t>R-21301-21333-21397</t>
  </si>
  <si>
    <t># 0191---#0233</t>
  </si>
  <si>
    <t>R-21397</t>
  </si>
  <si>
    <t># 0234---# 0281</t>
  </si>
  <si>
    <t>R-21397+21501+21665</t>
  </si>
  <si>
    <t># 0282---# 0334</t>
  </si>
  <si>
    <t>R-21665-21770</t>
  </si>
  <si>
    <t># 0335---# 0390</t>
  </si>
  <si>
    <t>R-21770-21853</t>
  </si>
  <si>
    <t># 0391---# 0432</t>
  </si>
  <si>
    <t>R-21853-21410-22022-22225</t>
  </si>
  <si>
    <t>21410 D</t>
  </si>
  <si>
    <t>22225 D</t>
  </si>
  <si>
    <t>22355 D</t>
  </si>
  <si>
    <t>22502 D</t>
  </si>
  <si>
    <t>22504 D</t>
  </si>
  <si>
    <t>22628 D</t>
  </si>
  <si>
    <t>22654 D</t>
  </si>
  <si>
    <t>22733 D</t>
  </si>
  <si>
    <t>22836 D</t>
  </si>
  <si>
    <t>23003 D</t>
  </si>
  <si>
    <t>23225 D</t>
  </si>
  <si>
    <t xml:space="preserve">24-30 Jul </t>
  </si>
  <si>
    <t>R-22225</t>
  </si>
  <si>
    <t># 0433---# 0455</t>
  </si>
  <si>
    <t>R-22225--22355</t>
  </si>
  <si>
    <t># 0456---# 480</t>
  </si>
  <si>
    <t>R-22355--22502</t>
  </si>
  <si>
    <t>R-22502-22504</t>
  </si>
  <si>
    <t># 0530---# 0585</t>
  </si>
  <si>
    <t># 0481---# 0529</t>
  </si>
  <si>
    <t>R-22504-2526258-22654</t>
  </si>
  <si>
    <t># 0586---# 630</t>
  </si>
  <si>
    <t>NOMINA 31</t>
  </si>
  <si>
    <t>NOMINA 32</t>
  </si>
  <si>
    <t>NOMINA 33</t>
  </si>
  <si>
    <t>NOMINA 34</t>
  </si>
  <si>
    <t>31-06 Agosto</t>
  </si>
  <si>
    <t>R-22654-22733</t>
  </si>
  <si>
    <t># 0631---# 0675</t>
  </si>
  <si>
    <t>R-22733-22836--23003</t>
  </si>
  <si>
    <t># 0676---# 0705</t>
  </si>
  <si>
    <t>R-23003</t>
  </si>
  <si>
    <t># 0706---# 0736</t>
  </si>
  <si>
    <t xml:space="preserve">29-Jul --14-Ago </t>
  </si>
  <si>
    <t>23117 D</t>
  </si>
  <si>
    <t>23359 D</t>
  </si>
  <si>
    <t>23367 D</t>
  </si>
  <si>
    <t>23602 D</t>
  </si>
  <si>
    <t>23361 D</t>
  </si>
  <si>
    <t># 0737---# 0769</t>
  </si>
  <si>
    <t>R-23003-23117</t>
  </si>
  <si>
    <t># 0770---# 0808</t>
  </si>
  <si>
    <t>R-23117</t>
  </si>
  <si>
    <t># 0809---# 0866</t>
  </si>
  <si>
    <t>R-23117-23225-23359</t>
  </si>
  <si>
    <t># 0867---# 0927</t>
  </si>
  <si>
    <t>R-23359-23361-23367</t>
  </si>
  <si>
    <t>R-23367--CORBATA</t>
  </si>
  <si>
    <t>CORBATA</t>
  </si>
  <si>
    <t>R-23367-23602</t>
  </si>
  <si>
    <t># 00035---# 00070</t>
  </si>
  <si>
    <t># 0928---# 0992</t>
  </si>
  <si>
    <t># 0993---# 1000</t>
  </si>
  <si>
    <t># 00071--# 00106</t>
  </si>
  <si>
    <t>240016 D</t>
  </si>
  <si>
    <t>24141 D</t>
  </si>
  <si>
    <t>24273 D</t>
  </si>
  <si>
    <t># 0141---# 0196</t>
  </si>
  <si>
    <t># 0107---# 0140</t>
  </si>
  <si>
    <t>R-24015-</t>
  </si>
  <si>
    <t>24015-24141</t>
  </si>
  <si>
    <t>7-13 Ago</t>
  </si>
  <si>
    <t>14-20 Ago</t>
  </si>
  <si>
    <t>24307 D</t>
  </si>
  <si>
    <t>24506 D</t>
  </si>
  <si>
    <t># 2</t>
  </si>
  <si>
    <t>24600 D</t>
  </si>
  <si>
    <t>NOTA 273</t>
  </si>
  <si>
    <t>24016 D</t>
  </si>
  <si>
    <t>R-24141-24273</t>
  </si>
  <si>
    <t># 0197---# 0253</t>
  </si>
  <si>
    <t xml:space="preserve">14-Ago --23-Agp </t>
  </si>
  <si>
    <t>24721 D</t>
  </si>
  <si>
    <t>24762 D</t>
  </si>
  <si>
    <t>24868 D</t>
  </si>
  <si>
    <t>25000 D</t>
  </si>
  <si>
    <t>00162 E</t>
  </si>
  <si>
    <t>00354 E</t>
  </si>
  <si>
    <t># 0254---# 00310</t>
  </si>
  <si>
    <t>R-24273--24307--</t>
  </si>
  <si>
    <t># 00312---# 00353</t>
  </si>
  <si>
    <t>R-24506--24600</t>
  </si>
  <si>
    <t># 00354---# 00380</t>
  </si>
  <si>
    <t>R-24600-24721</t>
  </si>
  <si>
    <t>R-24721-24762-Nota 331</t>
  </si>
  <si>
    <t># 00381---# 00418</t>
  </si>
  <si>
    <t>Nota 331</t>
  </si>
  <si>
    <t>Diezmillo-Rosbik</t>
  </si>
  <si>
    <t># 00419---# 00456</t>
  </si>
  <si>
    <t>R-24762</t>
  </si>
  <si>
    <t>R-24762-24868</t>
  </si>
  <si>
    <t># 00457---#0517</t>
  </si>
  <si>
    <t># 00518---# 00582</t>
  </si>
  <si>
    <t>R-24868-25000</t>
  </si>
  <si>
    <t># 00583---# 00629</t>
  </si>
  <si>
    <t>R-25000-00162</t>
  </si>
  <si>
    <t xml:space="preserve">21-27 Ago </t>
  </si>
  <si>
    <t># 00630---# 00660</t>
  </si>
  <si>
    <t>R-00162</t>
  </si>
  <si>
    <t>Abono</t>
  </si>
  <si>
    <t xml:space="preserve">23-Ago --31-Ago </t>
  </si>
  <si>
    <t xml:space="preserve">BALANCE       DE    SEPTIEMBRE               2 0 1 7      HERRADURA </t>
  </si>
  <si>
    <t>NOMINA 35</t>
  </si>
  <si>
    <t>NOMINA 36</t>
  </si>
  <si>
    <t>NOMINA 37</t>
  </si>
  <si>
    <t>NOMINA 38</t>
  </si>
  <si>
    <t>00490 E</t>
  </si>
  <si>
    <t>00682 E</t>
  </si>
  <si>
    <t>00711 E</t>
  </si>
  <si>
    <t>00722 E</t>
  </si>
  <si>
    <t>00776 E</t>
  </si>
  <si>
    <t># 0661---# 0699</t>
  </si>
  <si>
    <t># 0700---# 0736</t>
  </si>
  <si>
    <t>R-0354</t>
  </si>
  <si>
    <t>R-0354-490-6982</t>
  </si>
  <si>
    <t>CENTRAL</t>
  </si>
  <si>
    <t>R-682-711</t>
  </si>
  <si>
    <t>0996 E</t>
  </si>
  <si>
    <t>1142 E</t>
  </si>
  <si>
    <t>1339 E</t>
  </si>
  <si>
    <t>1345 E</t>
  </si>
  <si>
    <t>1394 E</t>
  </si>
  <si>
    <t>1545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</si>
</sst>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  <font>
      <b/>
      <sz val="10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">
        <color indexed="64"/>
      </bottom>
      <diagonal/>
    </border>
    <border>
      <left style="mediumDashed">
        <color auto="1"/>
      </left>
      <right/>
      <top style="medium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4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  <xf numFmtId="44" fontId="2" fillId="0" borderId="39" xfId="1" applyFont="1" applyFill="1" applyBorder="1"/>
    <xf numFmtId="44" fontId="2" fillId="0" borderId="42" xfId="1" applyFont="1" applyBorder="1"/>
    <xf numFmtId="44" fontId="25" fillId="0" borderId="40" xfId="1" applyFont="1" applyFill="1" applyBorder="1"/>
    <xf numFmtId="44" fontId="25" fillId="0" borderId="44" xfId="1" applyFont="1" applyFill="1" applyBorder="1"/>
    <xf numFmtId="164" fontId="34" fillId="16" borderId="4" xfId="1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10" borderId="25" xfId="0" applyFont="1" applyFill="1" applyBorder="1"/>
    <xf numFmtId="164" fontId="15" fillId="0" borderId="0" xfId="0" applyNumberFormat="1" applyFont="1" applyFill="1" applyBorder="1"/>
    <xf numFmtId="44" fontId="5" fillId="0" borderId="25" xfId="1" applyFont="1" applyBorder="1"/>
    <xf numFmtId="44" fontId="13" fillId="0" borderId="25" xfId="1" applyFont="1" applyFill="1" applyBorder="1"/>
    <xf numFmtId="44" fontId="5" fillId="0" borderId="53" xfId="1" applyFont="1" applyBorder="1"/>
    <xf numFmtId="0" fontId="6" fillId="6" borderId="21" xfId="0" applyFont="1" applyFill="1" applyBorder="1"/>
    <xf numFmtId="0" fontId="6" fillId="6" borderId="22" xfId="0" applyFont="1" applyFill="1" applyBorder="1"/>
    <xf numFmtId="0" fontId="0" fillId="6" borderId="23" xfId="0" applyFill="1" applyBorder="1"/>
    <xf numFmtId="0" fontId="6" fillId="6" borderId="27" xfId="0" applyFont="1" applyFill="1" applyBorder="1"/>
    <xf numFmtId="4" fontId="6" fillId="6" borderId="5" xfId="0" applyNumberFormat="1" applyFont="1" applyFill="1" applyBorder="1"/>
    <xf numFmtId="0" fontId="6" fillId="6" borderId="5" xfId="0" applyFont="1" applyFill="1" applyBorder="1"/>
    <xf numFmtId="0" fontId="0" fillId="6" borderId="28" xfId="0" applyFill="1" applyBorder="1"/>
    <xf numFmtId="164" fontId="34" fillId="17" borderId="4" xfId="1" applyNumberFormat="1" applyFont="1" applyFill="1" applyBorder="1" applyAlignment="1">
      <alignment horizontal="center"/>
    </xf>
    <xf numFmtId="0" fontId="19" fillId="0" borderId="26" xfId="0" applyFont="1" applyBorder="1"/>
    <xf numFmtId="16" fontId="2" fillId="0" borderId="26" xfId="0" applyNumberFormat="1" applyFont="1" applyBorder="1" applyAlignment="1">
      <alignment horizontal="left"/>
    </xf>
    <xf numFmtId="0" fontId="18" fillId="0" borderId="26" xfId="0" applyFont="1" applyBorder="1"/>
    <xf numFmtId="164" fontId="34" fillId="6" borderId="4" xfId="1" applyNumberFormat="1" applyFont="1" applyFill="1" applyBorder="1" applyAlignment="1">
      <alignment horizontal="center"/>
    </xf>
    <xf numFmtId="165" fontId="16" fillId="0" borderId="0" xfId="0" applyNumberFormat="1" applyFont="1" applyFill="1"/>
    <xf numFmtId="0" fontId="2" fillId="4" borderId="20" xfId="0" applyFont="1" applyFill="1" applyBorder="1" applyAlignment="1">
      <alignment horizontal="center"/>
    </xf>
    <xf numFmtId="44" fontId="2" fillId="0" borderId="54" xfId="1" applyFont="1" applyFill="1" applyBorder="1"/>
    <xf numFmtId="1" fontId="31" fillId="0" borderId="39" xfId="0" applyNumberFormat="1" applyFont="1" applyFill="1" applyBorder="1" applyAlignment="1">
      <alignment horizontal="center"/>
    </xf>
    <xf numFmtId="1" fontId="31" fillId="0" borderId="25" xfId="0" applyNumberFormat="1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44" fontId="2" fillId="0" borderId="51" xfId="1" applyFont="1" applyFill="1" applyBorder="1"/>
    <xf numFmtId="44" fontId="25" fillId="0" borderId="51" xfId="1" applyFont="1" applyFill="1" applyBorder="1"/>
    <xf numFmtId="0" fontId="2" fillId="0" borderId="51" xfId="0" applyFont="1" applyFill="1" applyBorder="1"/>
    <xf numFmtId="0" fontId="6" fillId="0" borderId="51" xfId="0" applyFont="1" applyFill="1" applyBorder="1" applyAlignment="1">
      <alignment horizontal="center"/>
    </xf>
    <xf numFmtId="44" fontId="2" fillId="0" borderId="56" xfId="1" applyFont="1" applyFill="1" applyBorder="1"/>
    <xf numFmtId="44" fontId="2" fillId="0" borderId="57" xfId="1" applyFont="1" applyFill="1" applyBorder="1"/>
    <xf numFmtId="0" fontId="43" fillId="0" borderId="25" xfId="0" applyFont="1" applyFill="1" applyBorder="1" applyAlignment="1">
      <alignment horizontal="center"/>
    </xf>
    <xf numFmtId="44" fontId="25" fillId="0" borderId="58" xfId="1" applyFont="1" applyFill="1" applyBorder="1"/>
    <xf numFmtId="1" fontId="6" fillId="0" borderId="57" xfId="0" applyNumberFormat="1" applyFont="1" applyFill="1" applyBorder="1" applyAlignment="1">
      <alignment horizontal="center"/>
    </xf>
    <xf numFmtId="164" fontId="2" fillId="0" borderId="59" xfId="0" applyNumberFormat="1" applyFont="1" applyFill="1" applyBorder="1"/>
    <xf numFmtId="44" fontId="25" fillId="0" borderId="60" xfId="1" applyFont="1" applyFill="1" applyBorder="1"/>
    <xf numFmtId="0" fontId="2" fillId="0" borderId="60" xfId="0" applyFont="1" applyFill="1" applyBorder="1"/>
    <xf numFmtId="44" fontId="34" fillId="0" borderId="60" xfId="1" applyFont="1" applyFill="1" applyBorder="1"/>
    <xf numFmtId="44" fontId="6" fillId="0" borderId="51" xfId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44" fontId="2" fillId="0" borderId="42" xfId="1" applyFont="1" applyFill="1" applyBorder="1"/>
    <xf numFmtId="0" fontId="7" fillId="0" borderId="0" xfId="0" applyFont="1" applyFill="1" applyAlignment="1">
      <alignment horizontal="center"/>
    </xf>
    <xf numFmtId="44" fontId="5" fillId="0" borderId="44" xfId="1" applyFont="1" applyFill="1" applyBorder="1"/>
    <xf numFmtId="164" fontId="34" fillId="10" borderId="4" xfId="1" applyNumberFormat="1" applyFont="1" applyFill="1" applyBorder="1" applyAlignment="1">
      <alignment horizontal="center"/>
    </xf>
    <xf numFmtId="164" fontId="34" fillId="5" borderId="4" xfId="1" applyNumberFormat="1" applyFont="1" applyFill="1" applyBorder="1" applyAlignment="1">
      <alignment horizontal="center"/>
    </xf>
    <xf numFmtId="44" fontId="25" fillId="15" borderId="39" xfId="1" applyFont="1" applyFill="1" applyBorder="1"/>
    <xf numFmtId="0" fontId="42" fillId="0" borderId="39" xfId="0" applyFont="1" applyFill="1" applyBorder="1" applyAlignment="1">
      <alignment horizontal="center"/>
    </xf>
    <xf numFmtId="0" fontId="27" fillId="15" borderId="54" xfId="0" applyFont="1" applyFill="1" applyBorder="1" applyAlignment="1">
      <alignment horizontal="center"/>
    </xf>
    <xf numFmtId="44" fontId="37" fillId="15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61" xfId="0" applyNumberFormat="1" applyFont="1" applyFill="1" applyBorder="1"/>
    <xf numFmtId="44" fontId="2" fillId="0" borderId="62" xfId="1" applyFont="1" applyFill="1" applyBorder="1"/>
    <xf numFmtId="15" fontId="2" fillId="0" borderId="63" xfId="0" applyNumberFormat="1" applyFont="1" applyFill="1" applyBorder="1"/>
    <xf numFmtId="44" fontId="2" fillId="0" borderId="64" xfId="1" applyFont="1" applyFill="1" applyBorder="1"/>
    <xf numFmtId="44" fontId="2" fillId="4" borderId="64" xfId="1" applyFont="1" applyFill="1" applyBorder="1"/>
    <xf numFmtId="0" fontId="2" fillId="0" borderId="63" xfId="0" applyFont="1" applyBorder="1"/>
    <xf numFmtId="44" fontId="0" fillId="0" borderId="64" xfId="1" applyFont="1" applyBorder="1"/>
    <xf numFmtId="0" fontId="2" fillId="0" borderId="65" xfId="0" applyFont="1" applyBorder="1"/>
    <xf numFmtId="44" fontId="0" fillId="0" borderId="66" xfId="1" applyFont="1" applyBorder="1"/>
    <xf numFmtId="44" fontId="2" fillId="0" borderId="67" xfId="1" applyFont="1" applyFill="1" applyBorder="1"/>
    <xf numFmtId="44" fontId="2" fillId="0" borderId="68" xfId="1" applyFont="1" applyFill="1" applyBorder="1"/>
    <xf numFmtId="44" fontId="2" fillId="4" borderId="68" xfId="1" applyFont="1" applyFill="1" applyBorder="1"/>
    <xf numFmtId="44" fontId="0" fillId="0" borderId="68" xfId="1" applyFont="1" applyBorder="1"/>
    <xf numFmtId="44" fontId="0" fillId="0" borderId="69" xfId="1" applyFont="1" applyBorder="1"/>
    <xf numFmtId="164" fontId="2" fillId="0" borderId="7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4" fontId="2" fillId="0" borderId="72" xfId="0" applyNumberFormat="1" applyFont="1" applyFill="1" applyBorder="1" applyAlignment="1">
      <alignment horizontal="center"/>
    </xf>
    <xf numFmtId="44" fontId="2" fillId="0" borderId="73" xfId="1" applyFont="1" applyFill="1" applyBorder="1"/>
    <xf numFmtId="44" fontId="2" fillId="4" borderId="73" xfId="1" applyFont="1" applyFill="1" applyBorder="1"/>
    <xf numFmtId="164" fontId="2" fillId="0" borderId="74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0" fontId="0" fillId="0" borderId="41" xfId="0" applyBorder="1"/>
    <xf numFmtId="165" fontId="0" fillId="0" borderId="77" xfId="0" applyNumberFormat="1" applyFill="1" applyBorder="1"/>
    <xf numFmtId="44" fontId="16" fillId="0" borderId="78" xfId="1" applyFont="1" applyFill="1" applyBorder="1"/>
    <xf numFmtId="165" fontId="0" fillId="0" borderId="79" xfId="0" applyNumberFormat="1" applyFill="1" applyBorder="1"/>
    <xf numFmtId="44" fontId="2" fillId="0" borderId="78" xfId="1" applyFont="1" applyFill="1" applyBorder="1"/>
    <xf numFmtId="44" fontId="2" fillId="0" borderId="80" xfId="1" applyFont="1" applyFill="1" applyBorder="1"/>
    <xf numFmtId="165" fontId="0" fillId="0" borderId="81" xfId="0" applyNumberFormat="1" applyBorder="1"/>
    <xf numFmtId="0" fontId="0" fillId="0" borderId="43" xfId="0" applyBorder="1"/>
    <xf numFmtId="165" fontId="0" fillId="0" borderId="77" xfId="0" applyNumberFormat="1" applyBorder="1"/>
    <xf numFmtId="0" fontId="0" fillId="5" borderId="44" xfId="0" applyFill="1" applyBorder="1"/>
    <xf numFmtId="165" fontId="0" fillId="6" borderId="79" xfId="0" applyNumberFormat="1" applyFill="1" applyBorder="1"/>
    <xf numFmtId="0" fontId="0" fillId="0" borderId="55" xfId="0" applyBorder="1"/>
    <xf numFmtId="165" fontId="0" fillId="0" borderId="81" xfId="0" applyNumberFormat="1" applyFill="1" applyBorder="1"/>
    <xf numFmtId="15" fontId="2" fillId="0" borderId="82" xfId="0" applyNumberFormat="1" applyFont="1" applyFill="1" applyBorder="1"/>
    <xf numFmtId="44" fontId="2" fillId="0" borderId="83" xfId="1" applyFont="1" applyFill="1" applyBorder="1"/>
    <xf numFmtId="15" fontId="2" fillId="0" borderId="84" xfId="0" applyNumberFormat="1" applyFont="1" applyFill="1" applyBorder="1"/>
    <xf numFmtId="44" fontId="2" fillId="0" borderId="85" xfId="1" applyFont="1" applyFill="1" applyBorder="1"/>
    <xf numFmtId="0" fontId="2" fillId="0" borderId="86" xfId="0" applyFont="1" applyBorder="1"/>
    <xf numFmtId="44" fontId="0" fillId="0" borderId="87" xfId="1" applyFont="1" applyBorder="1"/>
    <xf numFmtId="44" fontId="2" fillId="0" borderId="88" xfId="1" applyFont="1" applyFill="1" applyBorder="1"/>
    <xf numFmtId="44" fontId="2" fillId="0" borderId="89" xfId="1" applyFont="1" applyFill="1" applyBorder="1"/>
    <xf numFmtId="44" fontId="0" fillId="0" borderId="90" xfId="1" applyFont="1" applyBorder="1"/>
    <xf numFmtId="0" fontId="0" fillId="0" borderId="91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2" xfId="0" applyFont="1" applyFill="1" applyBorder="1" applyAlignment="1">
      <alignment horizontal="center"/>
    </xf>
    <xf numFmtId="0" fontId="2" fillId="0" borderId="92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16" fontId="5" fillId="0" borderId="26" xfId="0" applyNumberFormat="1" applyFont="1" applyBorder="1"/>
    <xf numFmtId="44" fontId="2" fillId="0" borderId="0" xfId="1" applyFont="1" applyFill="1" applyBorder="1" applyAlignment="1">
      <alignment horizontal="left"/>
    </xf>
    <xf numFmtId="0" fontId="2" fillId="0" borderId="19" xfId="0" applyFont="1" applyBorder="1"/>
    <xf numFmtId="165" fontId="2" fillId="0" borderId="0" xfId="0" applyNumberFormat="1" applyFont="1" applyBorder="1"/>
    <xf numFmtId="165" fontId="2" fillId="6" borderId="0" xfId="0" applyNumberFormat="1" applyFont="1" applyFill="1" applyBorder="1"/>
    <xf numFmtId="165" fontId="2" fillId="12" borderId="0" xfId="0" applyNumberFormat="1" applyFont="1" applyFill="1" applyBorder="1"/>
    <xf numFmtId="44" fontId="2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5" fontId="2" fillId="0" borderId="16" xfId="0" applyNumberFormat="1" applyFont="1" applyBorder="1"/>
    <xf numFmtId="165" fontId="2" fillId="0" borderId="35" xfId="0" applyNumberFormat="1" applyFont="1" applyBorder="1"/>
    <xf numFmtId="0" fontId="2" fillId="5" borderId="0" xfId="0" applyFont="1" applyFill="1" applyBorder="1"/>
    <xf numFmtId="0" fontId="19" fillId="0" borderId="0" xfId="0" applyFont="1" applyBorder="1"/>
    <xf numFmtId="0" fontId="2" fillId="0" borderId="26" xfId="0" applyFont="1" applyBorder="1"/>
    <xf numFmtId="0" fontId="2" fillId="0" borderId="38" xfId="0" applyFont="1" applyBorder="1"/>
    <xf numFmtId="164" fontId="14" fillId="0" borderId="0" xfId="0" applyNumberFormat="1" applyFont="1" applyFill="1" applyBorder="1"/>
    <xf numFmtId="44" fontId="5" fillId="0" borderId="39" xfId="1" applyFont="1" applyFill="1" applyBorder="1"/>
    <xf numFmtId="44" fontId="2" fillId="12" borderId="0" xfId="1" applyFont="1" applyFill="1" applyBorder="1" applyAlignment="1">
      <alignment horizontal="center"/>
    </xf>
    <xf numFmtId="164" fontId="34" fillId="18" borderId="4" xfId="1" applyNumberFormat="1" applyFont="1" applyFill="1" applyBorder="1" applyAlignment="1">
      <alignment horizontal="center"/>
    </xf>
    <xf numFmtId="0" fontId="42" fillId="0" borderId="25" xfId="0" applyFont="1" applyFill="1" applyBorder="1" applyAlignment="1">
      <alignment horizontal="center"/>
    </xf>
    <xf numFmtId="0" fontId="43" fillId="0" borderId="54" xfId="0" applyFont="1" applyBorder="1" applyAlignment="1">
      <alignment horizontal="center"/>
    </xf>
    <xf numFmtId="0" fontId="43" fillId="0" borderId="54" xfId="0" applyFont="1" applyFill="1" applyBorder="1" applyAlignment="1">
      <alignment horizontal="center"/>
    </xf>
    <xf numFmtId="44" fontId="47" fillId="0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5" fillId="0" borderId="42" xfId="1" applyFont="1" applyFill="1" applyBorder="1"/>
    <xf numFmtId="44" fontId="25" fillId="4" borderId="39" xfId="1" applyFont="1" applyFill="1" applyBorder="1"/>
    <xf numFmtId="164" fontId="2" fillId="16" borderId="25" xfId="0" applyNumberFormat="1" applyFont="1" applyFill="1" applyBorder="1" applyAlignment="1">
      <alignment horizontal="center"/>
    </xf>
    <xf numFmtId="0" fontId="27" fillId="16" borderId="39" xfId="0" applyFont="1" applyFill="1" applyBorder="1" applyAlignment="1">
      <alignment horizontal="center"/>
    </xf>
    <xf numFmtId="44" fontId="25" fillId="16" borderId="39" xfId="1" applyFont="1" applyFill="1" applyBorder="1"/>
    <xf numFmtId="164" fontId="2" fillId="16" borderId="0" xfId="0" applyNumberFormat="1" applyFont="1" applyFill="1" applyBorder="1"/>
    <xf numFmtId="0" fontId="17" fillId="0" borderId="92" xfId="0" applyFont="1" applyFill="1" applyBorder="1" applyAlignment="1">
      <alignment horizontal="center"/>
    </xf>
    <xf numFmtId="0" fontId="2" fillId="0" borderId="25" xfId="0" applyFont="1" applyBorder="1"/>
    <xf numFmtId="0" fontId="6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44" fontId="6" fillId="0" borderId="0" xfId="0" applyNumberFormat="1" applyFont="1" applyBorder="1"/>
    <xf numFmtId="0" fontId="6" fillId="0" borderId="0" xfId="0" applyFont="1" applyBorder="1"/>
    <xf numFmtId="44" fontId="6" fillId="0" borderId="4" xfId="1" applyFont="1" applyFill="1" applyBorder="1"/>
    <xf numFmtId="0" fontId="6" fillId="0" borderId="4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44" fontId="6" fillId="0" borderId="52" xfId="0" applyNumberFormat="1" applyFont="1" applyFill="1" applyBorder="1"/>
    <xf numFmtId="165" fontId="2" fillId="19" borderId="0" xfId="0" applyNumberFormat="1" applyFont="1" applyFill="1" applyBorder="1"/>
    <xf numFmtId="15" fontId="2" fillId="0" borderId="96" xfId="0" applyNumberFormat="1" applyFont="1" applyFill="1" applyBorder="1"/>
    <xf numFmtId="44" fontId="28" fillId="4" borderId="44" xfId="1" applyFont="1" applyFill="1" applyBorder="1"/>
    <xf numFmtId="0" fontId="2" fillId="0" borderId="91" xfId="0" applyFont="1" applyFill="1" applyBorder="1" applyAlignment="1">
      <alignment horizontal="center"/>
    </xf>
    <xf numFmtId="0" fontId="19" fillId="0" borderId="92" xfId="0" applyFont="1" applyFill="1" applyBorder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13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7" xfId="0" applyFont="1" applyFill="1" applyBorder="1" applyAlignment="1">
      <alignment horizontal="center"/>
    </xf>
    <xf numFmtId="0" fontId="2" fillId="0" borderId="93" xfId="0" applyFont="1" applyFill="1" applyBorder="1" applyAlignment="1">
      <alignment horizontal="center"/>
    </xf>
    <xf numFmtId="0" fontId="19" fillId="0" borderId="93" xfId="0" applyFont="1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0" borderId="98" xfId="0" applyBorder="1" applyAlignment="1">
      <alignment horizontal="center"/>
    </xf>
    <xf numFmtId="44" fontId="10" fillId="0" borderId="2" xfId="1" applyFont="1" applyBorder="1" applyAlignment="1">
      <alignment horizontal="center"/>
    </xf>
    <xf numFmtId="44" fontId="0" fillId="0" borderId="99" xfId="1" applyFont="1" applyFill="1" applyBorder="1" applyAlignment="1">
      <alignment horizontal="center"/>
    </xf>
    <xf numFmtId="44" fontId="0" fillId="0" borderId="100" xfId="1" applyFont="1" applyFill="1" applyBorder="1" applyAlignment="1">
      <alignment horizontal="center"/>
    </xf>
    <xf numFmtId="44" fontId="13" fillId="0" borderId="100" xfId="1" applyFont="1" applyFill="1" applyBorder="1" applyAlignment="1">
      <alignment horizontal="center"/>
    </xf>
    <xf numFmtId="44" fontId="0" fillId="0" borderId="101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left"/>
    </xf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0" fontId="19" fillId="0" borderId="2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  <xf numFmtId="4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7" fillId="0" borderId="95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00FF"/>
      <color rgb="FFFF9900"/>
      <color rgb="FF6666FF"/>
      <color rgb="FF33CCFF"/>
      <color rgb="FFFF66FF"/>
      <color rgb="FFFCC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43</xdr:row>
      <xdr:rowOff>47625</xdr:rowOff>
    </xdr:from>
    <xdr:to>
      <xdr:col>21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5001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487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525" t="s">
        <v>0</v>
      </c>
      <c r="C1" s="525"/>
      <c r="D1" s="525"/>
      <c r="E1" s="525"/>
      <c r="F1" s="525"/>
      <c r="G1" s="525"/>
      <c r="H1" s="525"/>
      <c r="I1" s="525"/>
      <c r="J1" s="525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526" t="s">
        <v>2</v>
      </c>
      <c r="H2" s="526"/>
      <c r="I2" s="526"/>
      <c r="J2" s="527">
        <v>2000</v>
      </c>
      <c r="K2" s="527"/>
      <c r="L2" s="9"/>
      <c r="M2" s="3"/>
    </row>
    <row r="3" spans="1:21" ht="16.5" customHeight="1" thickBot="1" x14ac:dyDescent="0.3">
      <c r="A3" s="512" t="s">
        <v>3</v>
      </c>
      <c r="B3" s="10" t="s">
        <v>4</v>
      </c>
      <c r="C3" s="11"/>
      <c r="E3" s="5"/>
      <c r="I3" s="5"/>
      <c r="L3" s="9"/>
      <c r="M3" s="3"/>
      <c r="Q3" s="514" t="s">
        <v>5</v>
      </c>
      <c r="R3" s="516" t="s">
        <v>6</v>
      </c>
      <c r="S3" s="528" t="s">
        <v>7</v>
      </c>
      <c r="T3" s="529"/>
      <c r="U3" s="12"/>
    </row>
    <row r="4" spans="1:21" ht="20.25" thickTop="1" thickBot="1" x14ac:dyDescent="0.35">
      <c r="A4" s="513"/>
      <c r="B4" s="13">
        <v>129301.16</v>
      </c>
      <c r="C4" s="14"/>
      <c r="D4" s="530" t="s">
        <v>8</v>
      </c>
      <c r="E4" s="531"/>
      <c r="H4" s="532" t="s">
        <v>9</v>
      </c>
      <c r="I4" s="533"/>
      <c r="J4" s="533"/>
      <c r="K4" s="533"/>
      <c r="L4" s="15" t="s">
        <v>10</v>
      </c>
      <c r="M4" s="16" t="s">
        <v>11</v>
      </c>
      <c r="Q4" s="515"/>
      <c r="R4" s="517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522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522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523" t="s">
        <v>71</v>
      </c>
      <c r="S25" s="524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8" t="s">
        <v>86</v>
      </c>
      <c r="H40" s="519"/>
      <c r="I40" s="107"/>
      <c r="J40" s="520">
        <f>H38+K38</f>
        <v>66589.87000000001</v>
      </c>
      <c r="K40" s="521"/>
      <c r="L40" s="108"/>
      <c r="M40" s="108"/>
    </row>
    <row r="41" spans="1:13" ht="15.75" x14ac:dyDescent="0.25">
      <c r="A41" s="1"/>
      <c r="B41" s="5"/>
      <c r="C41" s="540" t="s">
        <v>87</v>
      </c>
      <c r="D41" s="540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539"/>
      <c r="I43" s="539"/>
      <c r="J43" s="53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541" t="s">
        <v>91</v>
      </c>
      <c r="I44" s="541"/>
      <c r="J44" s="542">
        <f>E46</f>
        <v>129048.47</v>
      </c>
      <c r="K44" s="54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544" t="s">
        <v>3</v>
      </c>
      <c r="I45" s="544"/>
      <c r="J45" s="529">
        <v>-129301.16</v>
      </c>
      <c r="K45" s="52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534">
        <v>0</v>
      </c>
      <c r="K46" s="534"/>
      <c r="L46" s="108"/>
      <c r="M46" s="108"/>
    </row>
    <row r="47" spans="1:13" ht="19.5" thickBot="1" x14ac:dyDescent="0.3">
      <c r="A47" s="1"/>
      <c r="B47" s="5"/>
      <c r="E47" s="109"/>
      <c r="H47" s="535" t="s">
        <v>270</v>
      </c>
      <c r="I47" s="536"/>
      <c r="J47" s="537">
        <f>SUM(J44:K46)</f>
        <v>-252.69000000000233</v>
      </c>
      <c r="K47" s="538"/>
      <c r="L47" s="108"/>
      <c r="M47" s="108"/>
    </row>
    <row r="48" spans="1:13" x14ac:dyDescent="0.25">
      <c r="A48" s="1"/>
      <c r="B48" s="5"/>
      <c r="C48" s="539"/>
      <c r="D48" s="53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  <mergeCell ref="B1:J1"/>
    <mergeCell ref="G2:I2"/>
    <mergeCell ref="J2:K2"/>
    <mergeCell ref="S3:T3"/>
    <mergeCell ref="D4:E4"/>
    <mergeCell ref="H4:K4"/>
    <mergeCell ref="A3:A4"/>
    <mergeCell ref="Q3:Q4"/>
    <mergeCell ref="R3:R4"/>
    <mergeCell ref="G40:H40"/>
    <mergeCell ref="J40:K40"/>
    <mergeCell ref="J17:J18"/>
    <mergeCell ref="R25:S2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54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2.28515625" customWidth="1"/>
    <col min="14" max="14" width="13.85546875" bestFit="1" customWidth="1"/>
    <col min="15" max="15" width="13.710937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45" t="s">
        <v>95</v>
      </c>
      <c r="D1" s="546"/>
      <c r="E1" s="547"/>
      <c r="F1" s="119"/>
      <c r="H1">
        <v>9581</v>
      </c>
      <c r="I1" s="45">
        <v>31729</v>
      </c>
      <c r="J1" s="154"/>
      <c r="K1" s="343">
        <v>42868</v>
      </c>
      <c r="L1" s="216"/>
      <c r="M1" s="217" t="s">
        <v>141</v>
      </c>
      <c r="N1" s="111"/>
      <c r="O1" s="158"/>
      <c r="R1">
        <v>12175</v>
      </c>
      <c r="S1" s="45">
        <f>7047</f>
        <v>7047</v>
      </c>
      <c r="T1" s="154"/>
      <c r="U1" s="391">
        <v>42886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23959+47473</f>
        <v>71432</v>
      </c>
      <c r="J2" s="291" t="s">
        <v>480</v>
      </c>
      <c r="K2" s="148">
        <v>48031.73</v>
      </c>
      <c r="L2" s="214" t="s">
        <v>143</v>
      </c>
      <c r="M2" s="160">
        <v>3797685</v>
      </c>
      <c r="N2" s="161">
        <v>30000</v>
      </c>
      <c r="O2" s="162">
        <v>42853</v>
      </c>
      <c r="S2" s="45">
        <f>23593+47132.5+5118</f>
        <v>75843.5</v>
      </c>
      <c r="T2" s="366" t="s">
        <v>535</v>
      </c>
      <c r="U2" s="148">
        <v>32414.23</v>
      </c>
      <c r="V2" s="214" t="s">
        <v>143</v>
      </c>
      <c r="W2" s="160">
        <v>3718009</v>
      </c>
      <c r="X2" s="161">
        <v>30640</v>
      </c>
      <c r="Y2" s="162">
        <v>42872</v>
      </c>
    </row>
    <row r="3" spans="1:25" ht="15.75" x14ac:dyDescent="0.25">
      <c r="A3" s="125">
        <v>42856</v>
      </c>
      <c r="B3" s="126" t="s">
        <v>503</v>
      </c>
      <c r="C3" s="127">
        <v>41256.550000000003</v>
      </c>
      <c r="D3" s="128">
        <v>42868</v>
      </c>
      <c r="E3" s="127">
        <v>41256.550000000003</v>
      </c>
      <c r="F3" s="129">
        <f t="shared" ref="F3:F48" si="0">C3-E3</f>
        <v>0</v>
      </c>
      <c r="I3" s="45">
        <f>35745+3616</f>
        <v>39361</v>
      </c>
      <c r="J3" s="291" t="s">
        <v>496</v>
      </c>
      <c r="K3" s="139">
        <v>39360.85</v>
      </c>
      <c r="L3" s="159"/>
      <c r="M3" s="160">
        <v>3797685</v>
      </c>
      <c r="N3" s="161">
        <v>25688</v>
      </c>
      <c r="O3" s="162">
        <v>42853</v>
      </c>
      <c r="S3" s="45">
        <f>41460+25947.5</f>
        <v>67407.5</v>
      </c>
      <c r="T3" s="132" t="s">
        <v>554</v>
      </c>
      <c r="U3" s="133">
        <v>67407.48</v>
      </c>
      <c r="V3" s="159"/>
      <c r="W3" s="160" t="s">
        <v>154</v>
      </c>
      <c r="X3" s="161">
        <v>4703</v>
      </c>
      <c r="Y3" s="162">
        <v>42871</v>
      </c>
    </row>
    <row r="4" spans="1:25" ht="15.75" x14ac:dyDescent="0.25">
      <c r="A4" s="131">
        <v>42857</v>
      </c>
      <c r="B4" s="132" t="s">
        <v>504</v>
      </c>
      <c r="C4" s="133">
        <v>743.4</v>
      </c>
      <c r="D4" s="128">
        <v>42868</v>
      </c>
      <c r="E4" s="133">
        <v>743.4</v>
      </c>
      <c r="F4" s="134">
        <f t="shared" si="0"/>
        <v>0</v>
      </c>
      <c r="I4" s="45">
        <f>7308+26711</f>
        <v>34019</v>
      </c>
      <c r="J4" s="291" t="s">
        <v>497</v>
      </c>
      <c r="K4" s="139">
        <v>34019</v>
      </c>
      <c r="L4" s="163"/>
      <c r="M4" s="160">
        <v>3797687</v>
      </c>
      <c r="N4" s="161">
        <v>50000</v>
      </c>
      <c r="O4" s="162">
        <v>42854</v>
      </c>
      <c r="S4" s="45">
        <v>41938</v>
      </c>
      <c r="T4" s="132" t="s">
        <v>555</v>
      </c>
      <c r="U4" s="133">
        <v>41938</v>
      </c>
      <c r="V4" s="163"/>
      <c r="W4" s="160">
        <v>3718010</v>
      </c>
      <c r="X4" s="161">
        <v>47132.5</v>
      </c>
      <c r="Y4" s="162">
        <v>42873</v>
      </c>
    </row>
    <row r="5" spans="1:25" ht="15.75" x14ac:dyDescent="0.25">
      <c r="A5" s="131">
        <v>42859</v>
      </c>
      <c r="B5" s="132" t="s">
        <v>505</v>
      </c>
      <c r="C5" s="133">
        <v>41024.81</v>
      </c>
      <c r="D5" s="128">
        <v>42868</v>
      </c>
      <c r="E5" s="133">
        <v>41024.81</v>
      </c>
      <c r="F5" s="134">
        <f t="shared" si="0"/>
        <v>0</v>
      </c>
      <c r="I5" s="45">
        <f>18631.5+22625</f>
        <v>41256.5</v>
      </c>
      <c r="J5" s="126" t="s">
        <v>503</v>
      </c>
      <c r="K5" s="127">
        <v>41256.550000000003</v>
      </c>
      <c r="L5" s="164"/>
      <c r="M5" s="160">
        <v>3797688</v>
      </c>
      <c r="N5" s="161">
        <v>33218</v>
      </c>
      <c r="O5" s="162">
        <v>42854</v>
      </c>
      <c r="S5" s="45">
        <f>16340+17407.5</f>
        <v>33747.5</v>
      </c>
      <c r="T5" s="290" t="s">
        <v>556</v>
      </c>
      <c r="U5" s="133">
        <v>34583.440000000002</v>
      </c>
      <c r="V5" s="164"/>
      <c r="W5" s="160">
        <v>3718011</v>
      </c>
      <c r="X5" s="161">
        <v>27578</v>
      </c>
      <c r="Y5" s="162">
        <v>42874</v>
      </c>
    </row>
    <row r="6" spans="1:25" ht="15.75" x14ac:dyDescent="0.25">
      <c r="A6" s="131">
        <v>42859</v>
      </c>
      <c r="B6" s="132" t="s">
        <v>506</v>
      </c>
      <c r="C6" s="133">
        <v>1872.5</v>
      </c>
      <c r="D6" s="128">
        <v>42868</v>
      </c>
      <c r="E6" s="133">
        <v>1872.5</v>
      </c>
      <c r="F6" s="135">
        <f t="shared" si="0"/>
        <v>0</v>
      </c>
      <c r="I6" s="45">
        <v>743.5</v>
      </c>
      <c r="J6" s="132" t="s">
        <v>504</v>
      </c>
      <c r="K6" s="133">
        <v>743.4</v>
      </c>
      <c r="L6" s="277"/>
      <c r="M6" s="160">
        <v>3797689</v>
      </c>
      <c r="N6" s="161">
        <v>40000</v>
      </c>
      <c r="O6" s="162">
        <v>42855</v>
      </c>
      <c r="S6" s="45">
        <v>12274</v>
      </c>
      <c r="T6" s="290" t="s">
        <v>579</v>
      </c>
      <c r="U6" s="133">
        <v>12273.9</v>
      </c>
      <c r="V6" s="277"/>
      <c r="W6" s="160" t="s">
        <v>154</v>
      </c>
      <c r="X6" s="161">
        <v>19000</v>
      </c>
      <c r="Y6" s="162">
        <v>42874</v>
      </c>
    </row>
    <row r="7" spans="1:25" ht="15.75" x14ac:dyDescent="0.25">
      <c r="A7" s="131">
        <v>42859</v>
      </c>
      <c r="B7" s="132" t="s">
        <v>507</v>
      </c>
      <c r="C7" s="133">
        <v>78679.08</v>
      </c>
      <c r="D7" s="128">
        <v>42868</v>
      </c>
      <c r="E7" s="133">
        <v>78679.08</v>
      </c>
      <c r="F7" s="135">
        <f t="shared" si="0"/>
        <v>0</v>
      </c>
      <c r="I7" s="45">
        <f>24800.5+16224.5</f>
        <v>41025</v>
      </c>
      <c r="J7" s="132" t="s">
        <v>505</v>
      </c>
      <c r="K7" s="133">
        <v>41024.81</v>
      </c>
      <c r="L7" s="163"/>
      <c r="M7" s="160">
        <v>3797690</v>
      </c>
      <c r="N7" s="161">
        <v>7500</v>
      </c>
      <c r="O7" s="162">
        <v>42855</v>
      </c>
      <c r="S7" s="45">
        <f>34289+1167.5</f>
        <v>35456.5</v>
      </c>
      <c r="T7" s="290" t="s">
        <v>578</v>
      </c>
      <c r="U7" s="133">
        <v>35456.300000000003</v>
      </c>
      <c r="V7" s="163"/>
      <c r="W7" s="160">
        <v>3718012</v>
      </c>
      <c r="X7" s="161">
        <v>45000</v>
      </c>
      <c r="Y7" s="162">
        <v>42875</v>
      </c>
    </row>
    <row r="8" spans="1:25" ht="15.75" x14ac:dyDescent="0.25">
      <c r="A8" s="131">
        <v>42860</v>
      </c>
      <c r="B8" s="132" t="s">
        <v>508</v>
      </c>
      <c r="C8" s="133">
        <v>34740.35</v>
      </c>
      <c r="D8" s="128">
        <v>42868</v>
      </c>
      <c r="E8" s="133">
        <v>34740.35</v>
      </c>
      <c r="F8" s="135">
        <f t="shared" si="0"/>
        <v>0</v>
      </c>
      <c r="I8" s="45">
        <v>1872.5</v>
      </c>
      <c r="J8" s="132" t="s">
        <v>506</v>
      </c>
      <c r="K8" s="133">
        <v>1872.5</v>
      </c>
      <c r="L8" s="165"/>
      <c r="M8" s="160" t="s">
        <v>154</v>
      </c>
      <c r="N8" s="161">
        <v>7308</v>
      </c>
      <c r="O8" s="162">
        <v>42853</v>
      </c>
      <c r="S8" s="45">
        <v>36310.5</v>
      </c>
      <c r="T8" s="290" t="s">
        <v>580</v>
      </c>
      <c r="U8" s="133">
        <v>36310.559999999998</v>
      </c>
      <c r="V8" s="165"/>
      <c r="W8" s="160">
        <v>3718013</v>
      </c>
      <c r="X8" s="161">
        <v>39225.5</v>
      </c>
      <c r="Y8" s="162">
        <v>42875</v>
      </c>
    </row>
    <row r="9" spans="1:25" ht="15.75" x14ac:dyDescent="0.25">
      <c r="A9" s="131">
        <v>42859</v>
      </c>
      <c r="B9" s="132" t="s">
        <v>509</v>
      </c>
      <c r="C9" s="133">
        <v>30863</v>
      </c>
      <c r="D9" s="128">
        <v>42868</v>
      </c>
      <c r="E9" s="133">
        <v>30863</v>
      </c>
      <c r="F9" s="135">
        <f t="shared" si="0"/>
        <v>0</v>
      </c>
      <c r="I9" s="45">
        <f>9596+5099.5+31205.5+32778</f>
        <v>78679</v>
      </c>
      <c r="J9" s="132" t="s">
        <v>507</v>
      </c>
      <c r="K9" s="133">
        <v>78679.08</v>
      </c>
      <c r="L9" s="163"/>
      <c r="M9" s="160" t="s">
        <v>154</v>
      </c>
      <c r="N9" s="166">
        <v>1458.5</v>
      </c>
      <c r="O9" s="167">
        <v>42857</v>
      </c>
      <c r="S9" s="45">
        <f>16323.5+18349+29681+5204</f>
        <v>69557.5</v>
      </c>
      <c r="T9" s="290" t="s">
        <v>581</v>
      </c>
      <c r="U9" s="133">
        <v>69557.62</v>
      </c>
      <c r="V9" s="163"/>
      <c r="W9" s="160">
        <v>3718014</v>
      </c>
      <c r="X9" s="166">
        <v>50000</v>
      </c>
      <c r="Y9" s="167">
        <v>42876</v>
      </c>
    </row>
    <row r="10" spans="1:25" ht="15.75" x14ac:dyDescent="0.25">
      <c r="A10" s="131">
        <v>42860</v>
      </c>
      <c r="B10" s="132" t="s">
        <v>510</v>
      </c>
      <c r="C10" s="133">
        <v>42011.15</v>
      </c>
      <c r="D10" s="128">
        <v>42868</v>
      </c>
      <c r="E10" s="133">
        <v>42011.15</v>
      </c>
      <c r="F10" s="135">
        <f t="shared" si="0"/>
        <v>0</v>
      </c>
      <c r="I10" s="45">
        <f>4361+30379.5</f>
        <v>34740.5</v>
      </c>
      <c r="J10" s="132" t="s">
        <v>508</v>
      </c>
      <c r="K10" s="133">
        <v>34740.35</v>
      </c>
      <c r="L10" s="168"/>
      <c r="M10" s="160">
        <v>3797691</v>
      </c>
      <c r="N10" s="148">
        <v>42432</v>
      </c>
      <c r="O10" s="167">
        <v>42856</v>
      </c>
      <c r="S10" s="45">
        <f>27185+5282+11196.5</f>
        <v>43663.5</v>
      </c>
      <c r="T10" s="290" t="s">
        <v>582</v>
      </c>
      <c r="U10" s="133">
        <v>43663.68</v>
      </c>
      <c r="V10" s="168"/>
      <c r="W10" s="160">
        <v>3718015</v>
      </c>
      <c r="X10" s="148">
        <v>13970.5</v>
      </c>
      <c r="Y10" s="167">
        <v>42876</v>
      </c>
    </row>
    <row r="11" spans="1:25" ht="17.25" customHeight="1" x14ac:dyDescent="0.25">
      <c r="A11" s="131">
        <v>42861</v>
      </c>
      <c r="B11" s="132" t="s">
        <v>511</v>
      </c>
      <c r="C11" s="133">
        <v>69994.16</v>
      </c>
      <c r="D11" s="128">
        <v>42868</v>
      </c>
      <c r="E11" s="133">
        <v>69994.16</v>
      </c>
      <c r="F11" s="135">
        <f t="shared" si="0"/>
        <v>0</v>
      </c>
      <c r="I11" s="45">
        <v>30863</v>
      </c>
      <c r="J11" s="132" t="s">
        <v>509</v>
      </c>
      <c r="K11" s="133">
        <v>30863</v>
      </c>
      <c r="L11" s="168"/>
      <c r="M11" s="160" t="s">
        <v>154</v>
      </c>
      <c r="N11" s="161">
        <v>5737</v>
      </c>
      <c r="O11" s="162">
        <v>42857</v>
      </c>
      <c r="S11" s="45">
        <v>33164</v>
      </c>
      <c r="T11" s="394" t="s">
        <v>607</v>
      </c>
      <c r="U11" s="392">
        <v>33164.25</v>
      </c>
      <c r="V11" s="395" t="s">
        <v>608</v>
      </c>
      <c r="W11" s="160"/>
      <c r="X11" s="161"/>
      <c r="Y11" s="162"/>
    </row>
    <row r="12" spans="1:25" ht="15.75" x14ac:dyDescent="0.25">
      <c r="A12" s="131">
        <v>42862</v>
      </c>
      <c r="B12" s="132" t="s">
        <v>512</v>
      </c>
      <c r="C12" s="133">
        <v>33426</v>
      </c>
      <c r="D12" s="128">
        <v>42868</v>
      </c>
      <c r="E12" s="133">
        <v>33426</v>
      </c>
      <c r="F12" s="135">
        <f t="shared" si="0"/>
        <v>0</v>
      </c>
      <c r="I12" s="45">
        <f>11571.5+30439.5</f>
        <v>42011</v>
      </c>
      <c r="J12" s="132" t="s">
        <v>510</v>
      </c>
      <c r="K12" s="133">
        <v>42011.15</v>
      </c>
      <c r="L12" s="168"/>
      <c r="M12" s="160">
        <v>3797692</v>
      </c>
      <c r="N12" s="161">
        <v>20000</v>
      </c>
      <c r="O12" s="162">
        <v>42857</v>
      </c>
      <c r="S12" s="45">
        <f>16049</f>
        <v>16049</v>
      </c>
      <c r="T12" s="290" t="s">
        <v>583</v>
      </c>
      <c r="U12" s="133">
        <v>31608.5</v>
      </c>
      <c r="V12" s="168"/>
      <c r="W12" s="160">
        <v>3718016</v>
      </c>
      <c r="X12" s="161">
        <v>38000</v>
      </c>
      <c r="Y12" s="162">
        <v>42877</v>
      </c>
    </row>
    <row r="13" spans="1:25" ht="15.75" x14ac:dyDescent="0.25">
      <c r="A13" s="131">
        <v>42862</v>
      </c>
      <c r="B13" s="132" t="s">
        <v>513</v>
      </c>
      <c r="C13" s="133">
        <v>39836.400000000001</v>
      </c>
      <c r="D13" s="128">
        <v>42868</v>
      </c>
      <c r="E13" s="133">
        <v>39836.400000000001</v>
      </c>
      <c r="F13" s="135">
        <f t="shared" si="0"/>
        <v>0</v>
      </c>
      <c r="I13" s="45">
        <f>66149.5+3844.5</f>
        <v>69994</v>
      </c>
      <c r="J13" s="132" t="s">
        <v>511</v>
      </c>
      <c r="K13" s="133">
        <v>69994.16</v>
      </c>
      <c r="L13" s="168"/>
      <c r="M13" s="160">
        <v>3797693</v>
      </c>
      <c r="N13" s="161">
        <v>7693</v>
      </c>
      <c r="O13" s="162">
        <v>42857</v>
      </c>
      <c r="S13" s="45">
        <v>38104.5</v>
      </c>
      <c r="T13" s="290" t="s">
        <v>584</v>
      </c>
      <c r="U13" s="133">
        <v>38104.36</v>
      </c>
      <c r="V13" s="168"/>
      <c r="W13" s="160">
        <v>3718018</v>
      </c>
      <c r="X13" s="161">
        <v>15801.5</v>
      </c>
      <c r="Y13" s="162">
        <v>42877</v>
      </c>
    </row>
    <row r="14" spans="1:25" ht="15.75" x14ac:dyDescent="0.25">
      <c r="A14" s="131">
        <v>42863</v>
      </c>
      <c r="B14" s="132" t="s">
        <v>514</v>
      </c>
      <c r="C14" s="133">
        <v>46002.36</v>
      </c>
      <c r="D14" s="128">
        <v>42868</v>
      </c>
      <c r="E14" s="133">
        <v>46002.36</v>
      </c>
      <c r="F14" s="135">
        <f t="shared" si="0"/>
        <v>0</v>
      </c>
      <c r="I14" s="45">
        <v>33426</v>
      </c>
      <c r="J14" s="132" t="s">
        <v>512</v>
      </c>
      <c r="K14" s="133">
        <v>33426</v>
      </c>
      <c r="L14" s="168"/>
      <c r="M14" s="160">
        <v>3797694</v>
      </c>
      <c r="N14" s="161">
        <v>20000</v>
      </c>
      <c r="O14" s="162">
        <v>42858</v>
      </c>
      <c r="R14">
        <v>33563.5</v>
      </c>
      <c r="S14" s="45"/>
      <c r="T14" s="393" t="s">
        <v>585</v>
      </c>
      <c r="U14" s="133">
        <v>32981.68</v>
      </c>
      <c r="V14" s="168" t="s">
        <v>159</v>
      </c>
      <c r="W14" s="160" t="s">
        <v>154</v>
      </c>
      <c r="X14" s="161">
        <v>10000</v>
      </c>
      <c r="Y14" s="162">
        <v>42878</v>
      </c>
    </row>
    <row r="15" spans="1:25" ht="15.75" x14ac:dyDescent="0.25">
      <c r="A15" s="131">
        <v>42864</v>
      </c>
      <c r="B15" s="132" t="s">
        <v>515</v>
      </c>
      <c r="C15" s="133">
        <v>472</v>
      </c>
      <c r="D15" s="128">
        <v>42868</v>
      </c>
      <c r="E15" s="133">
        <v>472</v>
      </c>
      <c r="F15" s="135">
        <f t="shared" si="0"/>
        <v>0</v>
      </c>
      <c r="I15" s="45">
        <f>26489+13347.5</f>
        <v>39836.5</v>
      </c>
      <c r="J15" s="132" t="s">
        <v>513</v>
      </c>
      <c r="K15" s="133">
        <v>39836.400000000001</v>
      </c>
      <c r="L15" s="168"/>
      <c r="M15" s="160">
        <v>3797695</v>
      </c>
      <c r="N15" s="161">
        <v>11205.5</v>
      </c>
      <c r="O15" s="162">
        <v>42858</v>
      </c>
      <c r="S15" s="45"/>
      <c r="T15" s="132"/>
      <c r="U15" s="133"/>
      <c r="V15" s="168"/>
      <c r="W15" s="160" t="s">
        <v>154</v>
      </c>
      <c r="X15" s="161">
        <v>8349</v>
      </c>
      <c r="Y15" s="162">
        <v>42879</v>
      </c>
    </row>
    <row r="16" spans="1:25" ht="15.75" x14ac:dyDescent="0.25">
      <c r="A16" s="131">
        <v>42865</v>
      </c>
      <c r="B16" s="132" t="s">
        <v>516</v>
      </c>
      <c r="C16" s="133">
        <v>36318.660000000003</v>
      </c>
      <c r="D16" s="128">
        <v>42868</v>
      </c>
      <c r="E16" s="133">
        <v>36318.660000000003</v>
      </c>
      <c r="F16" s="135">
        <f t="shared" si="0"/>
        <v>0</v>
      </c>
      <c r="I16" s="45">
        <f>38335.5</f>
        <v>38335.5</v>
      </c>
      <c r="J16" s="132" t="s">
        <v>514</v>
      </c>
      <c r="K16" s="133">
        <v>46002.36</v>
      </c>
      <c r="L16" s="197"/>
      <c r="M16" s="198" t="s">
        <v>154</v>
      </c>
      <c r="N16" s="148">
        <v>5099.5</v>
      </c>
      <c r="O16" s="167">
        <v>42857</v>
      </c>
      <c r="S16" s="45"/>
      <c r="T16" s="132"/>
      <c r="U16" s="133"/>
      <c r="V16" s="197"/>
      <c r="W16" s="198" t="s">
        <v>154</v>
      </c>
      <c r="X16" s="148">
        <v>15000</v>
      </c>
      <c r="Y16" s="167">
        <v>42879</v>
      </c>
    </row>
    <row r="17" spans="1:26" ht="15.75" x14ac:dyDescent="0.25">
      <c r="A17" s="131">
        <v>42866</v>
      </c>
      <c r="B17" s="132" t="s">
        <v>517</v>
      </c>
      <c r="C17" s="133">
        <v>37783.760000000002</v>
      </c>
      <c r="D17" s="128" t="s">
        <v>577</v>
      </c>
      <c r="E17" s="133">
        <f>10672+27111.76</f>
        <v>37783.759999999995</v>
      </c>
      <c r="F17" s="135">
        <f t="shared" si="0"/>
        <v>0</v>
      </c>
      <c r="I17" s="45"/>
      <c r="J17" s="132" t="s">
        <v>515</v>
      </c>
      <c r="K17" s="133">
        <v>472</v>
      </c>
      <c r="L17" s="344"/>
      <c r="M17" s="270">
        <v>3797696</v>
      </c>
      <c r="N17" s="148">
        <v>20000</v>
      </c>
      <c r="O17" s="167">
        <v>42859</v>
      </c>
      <c r="S17" s="45"/>
      <c r="T17" s="132"/>
      <c r="U17" s="133"/>
      <c r="V17" s="344"/>
      <c r="W17" s="270" t="s">
        <v>154</v>
      </c>
      <c r="X17" s="148">
        <v>14681</v>
      </c>
      <c r="Y17" s="167">
        <v>42880</v>
      </c>
    </row>
    <row r="18" spans="1:26" ht="15.75" x14ac:dyDescent="0.25">
      <c r="A18" s="131">
        <v>42866</v>
      </c>
      <c r="B18" s="132" t="s">
        <v>518</v>
      </c>
      <c r="C18" s="133">
        <v>32119.56</v>
      </c>
      <c r="D18" s="128">
        <v>42877</v>
      </c>
      <c r="E18" s="133">
        <v>32119.56</v>
      </c>
      <c r="F18" s="135">
        <f t="shared" si="0"/>
        <v>0</v>
      </c>
      <c r="I18" s="45"/>
      <c r="J18" s="132" t="s">
        <v>516</v>
      </c>
      <c r="K18" s="133">
        <v>36318.660000000003</v>
      </c>
      <c r="L18" s="344"/>
      <c r="M18" s="270">
        <v>3797697</v>
      </c>
      <c r="N18" s="148">
        <v>17139</v>
      </c>
      <c r="O18" s="167">
        <v>42859</v>
      </c>
      <c r="S18" s="45"/>
      <c r="T18" s="132"/>
      <c r="U18" s="133"/>
      <c r="V18" s="344"/>
      <c r="W18" s="270" t="s">
        <v>154</v>
      </c>
      <c r="X18" s="148">
        <v>21500</v>
      </c>
      <c r="Y18" s="167">
        <v>42880</v>
      </c>
    </row>
    <row r="19" spans="1:26" ht="15.75" x14ac:dyDescent="0.25">
      <c r="A19" s="131">
        <v>42867</v>
      </c>
      <c r="B19" s="365" t="s">
        <v>529</v>
      </c>
      <c r="C19" s="364">
        <v>40996.28</v>
      </c>
      <c r="D19" s="128">
        <v>42877</v>
      </c>
      <c r="E19" s="364">
        <v>40996.28</v>
      </c>
      <c r="F19" s="135">
        <f t="shared" si="0"/>
        <v>0</v>
      </c>
      <c r="I19" s="179"/>
      <c r="J19" s="132" t="s">
        <v>517</v>
      </c>
      <c r="K19" s="133">
        <v>10672</v>
      </c>
      <c r="L19" s="172" t="s">
        <v>159</v>
      </c>
      <c r="M19" s="198">
        <v>3797698</v>
      </c>
      <c r="N19" s="148">
        <v>30000</v>
      </c>
      <c r="O19" s="167">
        <v>42860</v>
      </c>
      <c r="S19" s="179"/>
      <c r="T19" s="132"/>
      <c r="U19" s="133"/>
      <c r="V19" s="172"/>
      <c r="W19" s="198" t="s">
        <v>154</v>
      </c>
      <c r="X19" s="148">
        <v>10839</v>
      </c>
      <c r="Y19" s="167">
        <v>42881</v>
      </c>
    </row>
    <row r="20" spans="1:26" ht="15.75" x14ac:dyDescent="0.25">
      <c r="A20" s="131">
        <v>42868</v>
      </c>
      <c r="B20" s="132" t="s">
        <v>530</v>
      </c>
      <c r="C20" s="133">
        <v>72371.64</v>
      </c>
      <c r="D20" s="128">
        <v>42877</v>
      </c>
      <c r="E20" s="133">
        <v>72371.64</v>
      </c>
      <c r="F20" s="135">
        <f t="shared" si="0"/>
        <v>0</v>
      </c>
      <c r="I20" s="179">
        <v>0</v>
      </c>
      <c r="J20" s="132"/>
      <c r="K20" s="133"/>
      <c r="L20" s="172"/>
      <c r="M20" s="198">
        <v>3797699</v>
      </c>
      <c r="N20" s="148">
        <v>42814</v>
      </c>
      <c r="O20" s="167">
        <v>42860</v>
      </c>
      <c r="S20" s="179">
        <v>0</v>
      </c>
      <c r="T20" s="132"/>
      <c r="U20" s="133"/>
      <c r="V20" s="172"/>
      <c r="W20" s="198">
        <v>3718019</v>
      </c>
      <c r="X20" s="148">
        <v>35000</v>
      </c>
      <c r="Y20" s="167">
        <v>42881</v>
      </c>
    </row>
    <row r="21" spans="1:26" ht="15.75" x14ac:dyDescent="0.25">
      <c r="A21" s="131">
        <v>42869</v>
      </c>
      <c r="B21" s="132" t="s">
        <v>531</v>
      </c>
      <c r="C21" s="133">
        <v>35501.35</v>
      </c>
      <c r="D21" s="128">
        <v>42877</v>
      </c>
      <c r="E21" s="133">
        <v>35501.35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>
        <v>3797991</v>
      </c>
      <c r="N21" s="148">
        <v>50000</v>
      </c>
      <c r="O21" s="167">
        <v>42861</v>
      </c>
      <c r="S21" s="179">
        <v>0</v>
      </c>
      <c r="T21" s="196"/>
      <c r="U21" s="133">
        <v>0</v>
      </c>
      <c r="V21" s="198"/>
      <c r="W21" s="274">
        <v>3271802</v>
      </c>
      <c r="X21" s="148">
        <v>25409.5</v>
      </c>
      <c r="Y21" s="167">
        <v>42881</v>
      </c>
    </row>
    <row r="22" spans="1:26" ht="15.75" x14ac:dyDescent="0.25">
      <c r="A22" s="131">
        <v>42870</v>
      </c>
      <c r="B22" s="132" t="s">
        <v>532</v>
      </c>
      <c r="C22" s="133">
        <v>37270</v>
      </c>
      <c r="D22" s="128">
        <v>42877</v>
      </c>
      <c r="E22" s="133">
        <v>37270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>
        <v>3797992</v>
      </c>
      <c r="N22" s="148">
        <v>46589</v>
      </c>
      <c r="O22" s="167">
        <v>42861</v>
      </c>
      <c r="S22" s="179">
        <v>0</v>
      </c>
      <c r="T22" s="209"/>
      <c r="U22" s="196">
        <v>0</v>
      </c>
      <c r="V22" s="209"/>
      <c r="W22" s="210"/>
      <c r="X22" s="148"/>
      <c r="Y22" s="167"/>
      <c r="Z22">
        <v>2872</v>
      </c>
    </row>
    <row r="23" spans="1:26" ht="15.75" x14ac:dyDescent="0.25">
      <c r="A23" s="131">
        <v>42872</v>
      </c>
      <c r="B23" s="132" t="s">
        <v>533</v>
      </c>
      <c r="C23" s="133">
        <v>32195.88</v>
      </c>
      <c r="D23" s="128">
        <v>42877</v>
      </c>
      <c r="E23" s="133">
        <v>32195.88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>
        <v>3797993</v>
      </c>
      <c r="N23" s="148">
        <v>35000</v>
      </c>
      <c r="O23" s="167">
        <v>42862</v>
      </c>
      <c r="S23" s="179">
        <v>0</v>
      </c>
      <c r="T23" s="209"/>
      <c r="U23" s="196">
        <v>0</v>
      </c>
      <c r="V23" s="209"/>
      <c r="W23" s="210">
        <v>3797957</v>
      </c>
      <c r="X23" s="148">
        <v>2410</v>
      </c>
      <c r="Y23" s="167">
        <v>42875</v>
      </c>
    </row>
    <row r="24" spans="1:26" ht="15.75" x14ac:dyDescent="0.25">
      <c r="A24" s="131">
        <v>42871</v>
      </c>
      <c r="B24" s="132" t="s">
        <v>534</v>
      </c>
      <c r="C24" s="133">
        <v>75011.62</v>
      </c>
      <c r="D24" s="128">
        <v>42877</v>
      </c>
      <c r="E24" s="133">
        <v>75011.62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3797994</v>
      </c>
      <c r="N24" s="148">
        <v>28759.5</v>
      </c>
      <c r="O24" s="167">
        <v>42862</v>
      </c>
      <c r="S24" s="179">
        <v>0</v>
      </c>
      <c r="T24" s="209"/>
      <c r="U24" s="196">
        <v>0</v>
      </c>
      <c r="V24" s="209"/>
      <c r="W24" s="210">
        <v>3718022</v>
      </c>
      <c r="X24" s="148">
        <v>35224.5</v>
      </c>
      <c r="Y24" s="167">
        <v>42882</v>
      </c>
    </row>
    <row r="25" spans="1:26" ht="15.75" x14ac:dyDescent="0.25">
      <c r="A25" s="131">
        <v>42873</v>
      </c>
      <c r="B25" s="366" t="s">
        <v>535</v>
      </c>
      <c r="C25" s="339">
        <v>75843.64</v>
      </c>
      <c r="D25" s="128" t="s">
        <v>609</v>
      </c>
      <c r="E25" s="134">
        <f>43429.41+32414.23</f>
        <v>75843.64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>
        <v>3797996</v>
      </c>
      <c r="N25" s="148">
        <v>51683</v>
      </c>
      <c r="O25" s="167">
        <v>42863</v>
      </c>
      <c r="S25" s="179">
        <v>0</v>
      </c>
      <c r="T25" s="209"/>
      <c r="U25" s="196">
        <v>0</v>
      </c>
      <c r="V25" s="209"/>
      <c r="W25" s="210"/>
      <c r="X25" s="148"/>
      <c r="Y25" s="167"/>
    </row>
    <row r="26" spans="1:26" ht="16.5" thickBot="1" x14ac:dyDescent="0.3">
      <c r="A26" s="131">
        <v>42874</v>
      </c>
      <c r="B26" s="132" t="s">
        <v>554</v>
      </c>
      <c r="C26" s="133">
        <v>67407.48</v>
      </c>
      <c r="D26" s="128">
        <v>42886</v>
      </c>
      <c r="E26" s="133">
        <v>67407.48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  <c r="S26" s="179">
        <v>0</v>
      </c>
      <c r="T26" s="209"/>
      <c r="U26" s="196">
        <v>0</v>
      </c>
      <c r="V26" s="209"/>
      <c r="W26" s="210"/>
      <c r="X26" s="148"/>
      <c r="Y26" s="167"/>
    </row>
    <row r="27" spans="1:26" ht="16.5" thickBot="1" x14ac:dyDescent="0.3">
      <c r="A27" s="131">
        <v>42874</v>
      </c>
      <c r="B27" s="132" t="s">
        <v>555</v>
      </c>
      <c r="C27" s="133">
        <v>41938</v>
      </c>
      <c r="D27" s="128">
        <v>42886</v>
      </c>
      <c r="E27" s="133">
        <v>41938</v>
      </c>
      <c r="F27" s="135">
        <f t="shared" si="0"/>
        <v>0</v>
      </c>
      <c r="I27" s="273">
        <f>SUM(I1:I26)</f>
        <v>629324</v>
      </c>
      <c r="J27" s="271"/>
      <c r="K27" s="275">
        <f>SUM(K2:K26)</f>
        <v>629324</v>
      </c>
      <c r="L27" s="276"/>
      <c r="M27" s="276"/>
      <c r="N27" s="275">
        <f>SUM(N2:N26)</f>
        <v>629324</v>
      </c>
      <c r="O27" s="272"/>
      <c r="S27" s="273">
        <f>SUM(S1:S26)</f>
        <v>510563</v>
      </c>
      <c r="T27" s="271"/>
      <c r="U27" s="275">
        <f>SUM(U2:U26)</f>
        <v>509463.99999999994</v>
      </c>
      <c r="V27" s="276"/>
      <c r="W27" s="276"/>
      <c r="X27" s="275">
        <f>SUM(X2:X26)</f>
        <v>509464</v>
      </c>
      <c r="Y27" s="272"/>
    </row>
    <row r="28" spans="1:26" x14ac:dyDescent="0.25">
      <c r="A28" s="287">
        <v>42876</v>
      </c>
      <c r="B28" s="290" t="s">
        <v>556</v>
      </c>
      <c r="C28" s="133">
        <v>34583.440000000002</v>
      </c>
      <c r="D28" s="128">
        <v>42886</v>
      </c>
      <c r="E28" s="133">
        <v>34583.440000000002</v>
      </c>
      <c r="F28" s="289">
        <f t="shared" si="0"/>
        <v>0</v>
      </c>
    </row>
    <row r="29" spans="1:26" ht="15.75" x14ac:dyDescent="0.25">
      <c r="A29" s="287">
        <v>42876</v>
      </c>
      <c r="B29" s="290" t="s">
        <v>579</v>
      </c>
      <c r="C29" s="133">
        <v>12273.9</v>
      </c>
      <c r="D29" s="128">
        <v>42886</v>
      </c>
      <c r="E29" s="133">
        <v>12273.9</v>
      </c>
      <c r="F29" s="289">
        <f t="shared" si="0"/>
        <v>0</v>
      </c>
      <c r="H29">
        <v>11393</v>
      </c>
      <c r="I29" s="284">
        <f>26921+9397.5</f>
        <v>36318.5</v>
      </c>
    </row>
    <row r="30" spans="1:26" x14ac:dyDescent="0.25">
      <c r="A30" s="287">
        <v>42877</v>
      </c>
      <c r="B30" s="290" t="s">
        <v>578</v>
      </c>
      <c r="C30" s="133">
        <v>35456.300000000003</v>
      </c>
      <c r="D30" s="128">
        <v>42886</v>
      </c>
      <c r="E30" s="133">
        <v>35456.300000000003</v>
      </c>
      <c r="F30" s="289">
        <f t="shared" si="0"/>
        <v>0</v>
      </c>
      <c r="H30">
        <v>11250</v>
      </c>
      <c r="I30" s="4">
        <v>472</v>
      </c>
    </row>
    <row r="31" spans="1:26" ht="23.25" customHeight="1" thickBot="1" x14ac:dyDescent="0.3">
      <c r="A31" s="287">
        <v>42878</v>
      </c>
      <c r="B31" s="290" t="s">
        <v>580</v>
      </c>
      <c r="C31" s="133">
        <v>36310.559999999998</v>
      </c>
      <c r="D31" s="128">
        <v>42886</v>
      </c>
      <c r="E31" s="133">
        <v>36310.559999999998</v>
      </c>
      <c r="F31" s="289">
        <f t="shared" si="0"/>
        <v>0</v>
      </c>
      <c r="H31">
        <v>11030</v>
      </c>
      <c r="I31" s="45">
        <v>7667</v>
      </c>
      <c r="J31" s="154"/>
      <c r="K31" s="390">
        <v>42877</v>
      </c>
      <c r="L31" s="216"/>
      <c r="M31" s="217" t="s">
        <v>141</v>
      </c>
      <c r="N31" s="111"/>
      <c r="O31" s="158"/>
    </row>
    <row r="32" spans="1:26" ht="16.5" thickTop="1" x14ac:dyDescent="0.25">
      <c r="A32" s="287">
        <v>42880</v>
      </c>
      <c r="B32" s="290" t="s">
        <v>581</v>
      </c>
      <c r="C32" s="133">
        <v>69557.62</v>
      </c>
      <c r="D32" s="128">
        <v>42886</v>
      </c>
      <c r="E32" s="133">
        <v>69557.62</v>
      </c>
      <c r="F32" s="289">
        <f t="shared" si="0"/>
        <v>0</v>
      </c>
      <c r="I32" s="45">
        <f>20019.5+17764.5</f>
        <v>37784</v>
      </c>
      <c r="J32" s="291" t="s">
        <v>517</v>
      </c>
      <c r="K32" s="148">
        <v>27111.759999999998</v>
      </c>
      <c r="L32" s="214" t="s">
        <v>143</v>
      </c>
      <c r="M32" s="160">
        <v>3797997</v>
      </c>
      <c r="N32" s="161">
        <v>25060</v>
      </c>
      <c r="O32" s="162">
        <v>42864</v>
      </c>
    </row>
    <row r="33" spans="1:15" ht="15.75" x14ac:dyDescent="0.25">
      <c r="A33" s="287">
        <v>42881</v>
      </c>
      <c r="B33" s="290" t="s">
        <v>582</v>
      </c>
      <c r="C33" s="133">
        <v>43663.68</v>
      </c>
      <c r="D33" s="128">
        <v>42886</v>
      </c>
      <c r="E33" s="133">
        <v>43663.68</v>
      </c>
      <c r="F33" s="289">
        <f t="shared" si="0"/>
        <v>0</v>
      </c>
      <c r="I33" s="45">
        <f>16054.5+16065</f>
        <v>32119.5</v>
      </c>
      <c r="J33" s="132" t="s">
        <v>518</v>
      </c>
      <c r="K33" s="133">
        <v>32119.56</v>
      </c>
      <c r="L33" s="159"/>
      <c r="M33" s="160" t="s">
        <v>154</v>
      </c>
      <c r="N33" s="161">
        <v>10000</v>
      </c>
      <c r="O33" s="162">
        <v>42864</v>
      </c>
    </row>
    <row r="34" spans="1:15" ht="15.75" x14ac:dyDescent="0.25">
      <c r="A34" s="287">
        <v>42881</v>
      </c>
      <c r="B34" s="290" t="s">
        <v>607</v>
      </c>
      <c r="C34" s="133">
        <v>33164.25</v>
      </c>
      <c r="D34" s="128">
        <v>42886</v>
      </c>
      <c r="E34" s="133">
        <v>33164.25</v>
      </c>
      <c r="F34" s="289">
        <f t="shared" si="0"/>
        <v>0</v>
      </c>
      <c r="I34" s="45">
        <f>34948+6048</f>
        <v>40996</v>
      </c>
      <c r="J34" s="365" t="s">
        <v>529</v>
      </c>
      <c r="K34" s="364">
        <v>40996.28</v>
      </c>
      <c r="L34" s="163"/>
      <c r="M34" s="160">
        <v>3797998</v>
      </c>
      <c r="N34" s="161">
        <v>20000</v>
      </c>
      <c r="O34" s="162">
        <v>42865</v>
      </c>
    </row>
    <row r="35" spans="1:15" ht="15.75" x14ac:dyDescent="0.25">
      <c r="A35" s="287">
        <v>42881</v>
      </c>
      <c r="B35" s="290" t="s">
        <v>583</v>
      </c>
      <c r="C35" s="133">
        <v>31608.5</v>
      </c>
      <c r="D35" s="128">
        <v>42886</v>
      </c>
      <c r="E35" s="133">
        <v>31608.5</v>
      </c>
      <c r="F35" s="289">
        <f t="shared" si="0"/>
        <v>0</v>
      </c>
      <c r="I35" s="45">
        <v>72371.5</v>
      </c>
      <c r="J35" s="132" t="s">
        <v>530</v>
      </c>
      <c r="K35" s="133">
        <v>72371.64</v>
      </c>
      <c r="L35" s="164"/>
      <c r="M35" s="160" t="s">
        <v>154</v>
      </c>
      <c r="N35" s="161">
        <v>9417</v>
      </c>
      <c r="O35" s="162">
        <v>42867</v>
      </c>
    </row>
    <row r="36" spans="1:15" ht="15.75" x14ac:dyDescent="0.25">
      <c r="A36" s="287">
        <v>42882</v>
      </c>
      <c r="B36" s="290" t="s">
        <v>584</v>
      </c>
      <c r="C36" s="133">
        <v>38104.36</v>
      </c>
      <c r="D36" s="128">
        <v>42886</v>
      </c>
      <c r="E36" s="133">
        <v>38104.36</v>
      </c>
      <c r="F36" s="289">
        <f t="shared" si="0"/>
        <v>0</v>
      </c>
      <c r="I36" s="45">
        <f>8880.5+14976.5+11644.5</f>
        <v>35501.5</v>
      </c>
      <c r="J36" s="132" t="s">
        <v>531</v>
      </c>
      <c r="K36" s="133">
        <v>35501.35</v>
      </c>
      <c r="L36" s="277"/>
      <c r="M36" s="160">
        <v>3797999</v>
      </c>
      <c r="N36" s="161">
        <v>25000</v>
      </c>
      <c r="O36" s="162">
        <v>42866</v>
      </c>
    </row>
    <row r="37" spans="1:15" ht="15.75" x14ac:dyDescent="0.25">
      <c r="A37" s="287">
        <v>42884</v>
      </c>
      <c r="B37" s="290" t="s">
        <v>585</v>
      </c>
      <c r="C37" s="133">
        <v>33563.5</v>
      </c>
      <c r="D37" s="463" t="s">
        <v>657</v>
      </c>
      <c r="E37" s="138">
        <f>32981.68+581.82</f>
        <v>33563.5</v>
      </c>
      <c r="F37" s="289">
        <f t="shared" si="0"/>
        <v>0</v>
      </c>
      <c r="I37" s="45">
        <v>37270</v>
      </c>
      <c r="J37" s="132" t="s">
        <v>532</v>
      </c>
      <c r="K37" s="133">
        <v>37270</v>
      </c>
      <c r="L37" s="163"/>
      <c r="M37" s="160" t="s">
        <v>154</v>
      </c>
      <c r="N37" s="161">
        <v>8819</v>
      </c>
      <c r="O37" s="162">
        <v>42867</v>
      </c>
    </row>
    <row r="38" spans="1:15" ht="15.75" x14ac:dyDescent="0.25">
      <c r="A38" s="287">
        <v>42884</v>
      </c>
      <c r="B38" s="290" t="s">
        <v>610</v>
      </c>
      <c r="C38" s="133">
        <v>31621</v>
      </c>
      <c r="D38" s="137">
        <v>42901</v>
      </c>
      <c r="E38" s="138">
        <v>31621</v>
      </c>
      <c r="F38" s="289">
        <f t="shared" si="0"/>
        <v>0</v>
      </c>
      <c r="I38" s="45">
        <f>20446</f>
        <v>20446</v>
      </c>
      <c r="J38" s="132" t="s">
        <v>533</v>
      </c>
      <c r="K38" s="133">
        <v>32195.88</v>
      </c>
      <c r="L38" s="165"/>
      <c r="M38" s="160">
        <v>3718000</v>
      </c>
      <c r="N38" s="161">
        <v>20000</v>
      </c>
      <c r="O38" s="162">
        <v>42867</v>
      </c>
    </row>
    <row r="39" spans="1:15" ht="15.75" x14ac:dyDescent="0.25">
      <c r="A39" s="287">
        <v>42885</v>
      </c>
      <c r="B39" s="376" t="s">
        <v>611</v>
      </c>
      <c r="C39" s="339">
        <v>66854.899999999994</v>
      </c>
      <c r="D39" s="137">
        <v>42901</v>
      </c>
      <c r="E39" s="464">
        <v>66854.899999999994</v>
      </c>
      <c r="F39" s="289">
        <f t="shared" si="0"/>
        <v>0</v>
      </c>
      <c r="I39" s="45">
        <f>3659.5+53896.5+10951+6554.5</f>
        <v>75061.5</v>
      </c>
      <c r="J39" s="132" t="s">
        <v>534</v>
      </c>
      <c r="K39" s="133">
        <v>75011.62</v>
      </c>
      <c r="L39" s="163"/>
      <c r="M39" s="160">
        <v>3718001</v>
      </c>
      <c r="N39" s="166">
        <v>31013</v>
      </c>
      <c r="O39" s="167">
        <v>42867</v>
      </c>
    </row>
    <row r="40" spans="1:15" ht="15.75" x14ac:dyDescent="0.25">
      <c r="A40" s="287"/>
      <c r="B40" s="291"/>
      <c r="C40" s="340"/>
      <c r="D40" s="128"/>
      <c r="E40" s="387"/>
      <c r="F40" s="289">
        <f t="shared" si="0"/>
        <v>0</v>
      </c>
      <c r="I40" s="45"/>
      <c r="J40" s="366" t="s">
        <v>535</v>
      </c>
      <c r="K40" s="339">
        <v>43429.41</v>
      </c>
      <c r="L40" s="168" t="s">
        <v>159</v>
      </c>
      <c r="M40" s="160">
        <v>3718002</v>
      </c>
      <c r="N40" s="148">
        <v>45000</v>
      </c>
      <c r="O40" s="167">
        <v>42868</v>
      </c>
    </row>
    <row r="41" spans="1:15" ht="15.75" x14ac:dyDescent="0.25">
      <c r="A41" s="287"/>
      <c r="B41" s="291"/>
      <c r="C41" s="178"/>
      <c r="D41" s="128"/>
      <c r="E41" s="134"/>
      <c r="F41" s="289">
        <f t="shared" si="0"/>
        <v>0</v>
      </c>
      <c r="H41" t="s">
        <v>88</v>
      </c>
      <c r="I41" s="45"/>
      <c r="J41" s="132"/>
      <c r="K41" s="133"/>
      <c r="L41" s="168"/>
      <c r="M41" s="160">
        <v>3718003</v>
      </c>
      <c r="N41" s="161">
        <v>42300</v>
      </c>
      <c r="O41" s="162">
        <v>42868</v>
      </c>
    </row>
    <row r="42" spans="1:15" ht="15.75" x14ac:dyDescent="0.25">
      <c r="A42" s="287"/>
      <c r="B42" s="291"/>
      <c r="C42" s="139"/>
      <c r="D42" s="128"/>
      <c r="E42" s="139"/>
      <c r="F42" s="289">
        <f t="shared" si="0"/>
        <v>0</v>
      </c>
      <c r="I42" s="45"/>
      <c r="J42" s="132"/>
      <c r="K42" s="133"/>
      <c r="L42" s="168"/>
      <c r="M42" s="160">
        <v>3718004</v>
      </c>
      <c r="N42" s="161">
        <v>52574</v>
      </c>
      <c r="O42" s="162">
        <v>42869</v>
      </c>
    </row>
    <row r="43" spans="1:15" ht="15.75" x14ac:dyDescent="0.25">
      <c r="A43" s="287"/>
      <c r="B43" s="291"/>
      <c r="C43" s="139"/>
      <c r="D43" s="128"/>
      <c r="E43" s="139"/>
      <c r="F43" s="166">
        <f t="shared" si="0"/>
        <v>0</v>
      </c>
      <c r="I43" s="45"/>
      <c r="J43" s="290"/>
      <c r="K43" s="133"/>
      <c r="L43" s="168"/>
      <c r="M43" s="160" t="s">
        <v>154</v>
      </c>
      <c r="N43" s="161">
        <v>14976.5</v>
      </c>
      <c r="O43" s="162">
        <v>42863</v>
      </c>
    </row>
    <row r="44" spans="1:15" ht="15.75" x14ac:dyDescent="0.25">
      <c r="A44" s="287"/>
      <c r="B44" s="298"/>
      <c r="C44" s="139"/>
      <c r="D44" s="128"/>
      <c r="E44" s="139"/>
      <c r="F44" s="166">
        <f t="shared" si="0"/>
        <v>0</v>
      </c>
      <c r="I44" s="45"/>
      <c r="J44" s="132"/>
      <c r="K44" s="133"/>
      <c r="L44" s="168"/>
      <c r="M44" s="160">
        <v>3718007</v>
      </c>
      <c r="N44" s="161">
        <v>45500</v>
      </c>
      <c r="O44" s="162">
        <v>42870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 t="s">
        <v>154</v>
      </c>
      <c r="N45" s="161">
        <v>8396.5</v>
      </c>
      <c r="O45" s="162">
        <v>42872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3718008</v>
      </c>
      <c r="N46" s="148">
        <v>19000</v>
      </c>
      <c r="O46" s="167">
        <v>42871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8000.5</v>
      </c>
      <c r="O47" s="167">
        <v>42872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3797940</v>
      </c>
      <c r="N48" s="148">
        <v>10951</v>
      </c>
      <c r="O48" s="167">
        <v>42868</v>
      </c>
    </row>
    <row r="49" spans="1:15" ht="16.5" thickBot="1" x14ac:dyDescent="0.3">
      <c r="A49" s="271"/>
      <c r="B49" s="335"/>
      <c r="C49" s="336">
        <f>SUM(C3:C48)</f>
        <v>1512441.6400000001</v>
      </c>
      <c r="D49" s="335"/>
      <c r="E49" s="275">
        <f>SUM(E3:E48)</f>
        <v>1512441.6400000001</v>
      </c>
      <c r="F49" s="337">
        <f>SUM(F3:F48)</f>
        <v>0</v>
      </c>
      <c r="I49" s="179">
        <v>0</v>
      </c>
      <c r="J49" s="209"/>
      <c r="K49" s="196">
        <v>0</v>
      </c>
      <c r="L49" s="209"/>
      <c r="M49" s="210"/>
      <c r="N49" s="148">
        <v>0</v>
      </c>
      <c r="O49" s="167"/>
    </row>
    <row r="50" spans="1:15" ht="16.5" thickBot="1" x14ac:dyDescent="0.3">
      <c r="I50" s="273">
        <f>SUM(I29:I49)</f>
        <v>396007.5</v>
      </c>
      <c r="J50" s="271"/>
      <c r="K50" s="275">
        <f>SUM(K32:K49)</f>
        <v>396007.5</v>
      </c>
      <c r="L50" s="276"/>
      <c r="M50" s="276"/>
      <c r="N50" s="275">
        <f>SUM(N32:N49)</f>
        <v>396007.5</v>
      </c>
      <c r="O50" s="272"/>
    </row>
    <row r="51" spans="1:15" x14ac:dyDescent="0.25">
      <c r="I51" s="39"/>
      <c r="J51" s="39"/>
      <c r="K51" s="39"/>
      <c r="L51" s="39"/>
      <c r="M51" s="39"/>
      <c r="N51" s="39"/>
      <c r="O51" s="39"/>
    </row>
    <row r="52" spans="1:15" x14ac:dyDescent="0.25">
      <c r="I52" s="39"/>
      <c r="J52" s="39"/>
      <c r="K52" s="39"/>
      <c r="L52" s="39"/>
      <c r="M52" s="39"/>
      <c r="N52" s="39"/>
      <c r="O52" s="39"/>
    </row>
    <row r="53" spans="1:15" x14ac:dyDescent="0.25">
      <c r="I53" s="39"/>
      <c r="J53" s="39"/>
      <c r="K53" s="39"/>
      <c r="L53" s="39"/>
      <c r="M53" s="39"/>
      <c r="N53" s="39"/>
      <c r="O53" s="39"/>
    </row>
    <row r="54" spans="1:15" x14ac:dyDescent="0.25">
      <c r="I54" s="39"/>
      <c r="J54" s="39"/>
      <c r="K54" s="39"/>
      <c r="L54" s="39"/>
      <c r="M54" s="39"/>
      <c r="N54" s="39"/>
      <c r="O54" s="39"/>
    </row>
  </sheetData>
  <sortState ref="A31:C37">
    <sortCondition ref="B31:B37"/>
  </sortState>
  <mergeCells count="1">
    <mergeCell ref="C1:E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8"/>
  <sheetViews>
    <sheetView topLeftCell="A22" workbookViewId="0">
      <selection activeCell="L44" sqref="L44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25" t="s">
        <v>625</v>
      </c>
      <c r="C1" s="525"/>
      <c r="D1" s="525"/>
      <c r="E1" s="525"/>
      <c r="F1" s="525"/>
      <c r="G1" s="525"/>
      <c r="H1" s="525"/>
      <c r="I1" s="525"/>
      <c r="J1" s="525"/>
      <c r="L1" s="2" t="s">
        <v>1</v>
      </c>
      <c r="M1" s="3"/>
    </row>
    <row r="2" spans="1:14" ht="15.75" thickBot="1" x14ac:dyDescent="0.3">
      <c r="A2" s="1"/>
      <c r="B2" s="5"/>
      <c r="D2" s="397"/>
      <c r="E2" s="8"/>
      <c r="L2" s="9"/>
      <c r="M2" s="3"/>
    </row>
    <row r="3" spans="1:14" ht="19.5" thickBot="1" x14ac:dyDescent="0.35">
      <c r="A3" s="512" t="s">
        <v>3</v>
      </c>
      <c r="B3" s="10" t="s">
        <v>4</v>
      </c>
      <c r="C3" s="11"/>
      <c r="D3" s="526" t="s">
        <v>2</v>
      </c>
      <c r="E3" s="526"/>
      <c r="F3" s="526"/>
      <c r="G3" s="527">
        <v>2000</v>
      </c>
      <c r="H3" s="527"/>
      <c r="I3" s="5"/>
      <c r="L3" s="9"/>
      <c r="M3" s="3"/>
    </row>
    <row r="4" spans="1:14" ht="20.25" thickTop="1" thickBot="1" x14ac:dyDescent="0.35">
      <c r="A4" s="513"/>
      <c r="B4" s="13">
        <v>118316</v>
      </c>
      <c r="C4" s="14"/>
      <c r="D4" s="530" t="s">
        <v>8</v>
      </c>
      <c r="E4" s="531"/>
      <c r="H4" s="532" t="s">
        <v>9</v>
      </c>
      <c r="I4" s="533"/>
      <c r="J4" s="533"/>
      <c r="K4" s="533"/>
      <c r="L4" s="15" t="s">
        <v>10</v>
      </c>
      <c r="M4" s="16" t="s">
        <v>11</v>
      </c>
    </row>
    <row r="5" spans="1:14" ht="16.5" thickTop="1" thickBot="1" x14ac:dyDescent="0.3">
      <c r="A5" s="412">
        <v>42887</v>
      </c>
      <c r="B5" s="413">
        <v>37292.5</v>
      </c>
      <c r="C5" s="20" t="s">
        <v>632</v>
      </c>
      <c r="D5" s="433">
        <v>42887</v>
      </c>
      <c r="E5" s="434">
        <v>40482.5</v>
      </c>
      <c r="F5" s="23"/>
      <c r="G5" s="24">
        <v>42887</v>
      </c>
      <c r="H5" s="439">
        <v>0</v>
      </c>
      <c r="I5" s="26"/>
      <c r="J5" s="451"/>
      <c r="K5" s="451"/>
      <c r="L5" s="442" t="s">
        <v>631</v>
      </c>
      <c r="M5" s="29">
        <v>0</v>
      </c>
      <c r="N5" s="30"/>
    </row>
    <row r="6" spans="1:14" ht="15.75" thickBot="1" x14ac:dyDescent="0.3">
      <c r="A6" s="414">
        <v>42888</v>
      </c>
      <c r="B6" s="415">
        <v>51862.5</v>
      </c>
      <c r="C6" s="20" t="s">
        <v>632</v>
      </c>
      <c r="D6" s="435">
        <v>42888</v>
      </c>
      <c r="E6" s="436">
        <v>52732.5</v>
      </c>
      <c r="F6" s="36"/>
      <c r="G6" s="24">
        <v>42888</v>
      </c>
      <c r="H6" s="440">
        <v>0</v>
      </c>
      <c r="I6" s="38"/>
      <c r="J6" s="106" t="s">
        <v>15</v>
      </c>
      <c r="K6" s="452">
        <v>549</v>
      </c>
      <c r="L6" s="443" t="s">
        <v>637</v>
      </c>
      <c r="M6" s="29">
        <v>0</v>
      </c>
      <c r="N6" s="30"/>
    </row>
    <row r="7" spans="1:14" ht="15.75" thickBot="1" x14ac:dyDescent="0.3">
      <c r="A7" s="414">
        <v>42889</v>
      </c>
      <c r="B7" s="415">
        <v>76967</v>
      </c>
      <c r="C7" s="20" t="s">
        <v>639</v>
      </c>
      <c r="D7" s="435">
        <v>42889</v>
      </c>
      <c r="E7" s="436">
        <v>77467</v>
      </c>
      <c r="F7" s="23"/>
      <c r="G7" s="24">
        <v>42889</v>
      </c>
      <c r="H7" s="440">
        <v>0</v>
      </c>
      <c r="I7" s="38"/>
      <c r="J7" s="459" t="s">
        <v>18</v>
      </c>
      <c r="K7" s="453">
        <v>0</v>
      </c>
      <c r="L7" s="443" t="s">
        <v>640</v>
      </c>
      <c r="M7" s="29">
        <v>0</v>
      </c>
      <c r="N7" s="45"/>
    </row>
    <row r="8" spans="1:14" ht="15.75" thickBot="1" x14ac:dyDescent="0.3">
      <c r="A8" s="414">
        <v>42890</v>
      </c>
      <c r="B8" s="415">
        <v>71263.5</v>
      </c>
      <c r="C8" s="48" t="s">
        <v>644</v>
      </c>
      <c r="D8" s="435">
        <v>42890</v>
      </c>
      <c r="E8" s="436">
        <v>71577.5</v>
      </c>
      <c r="F8" s="23"/>
      <c r="G8" s="24">
        <v>42890</v>
      </c>
      <c r="H8" s="440">
        <v>10</v>
      </c>
      <c r="I8" s="38"/>
      <c r="J8" s="106" t="s">
        <v>22</v>
      </c>
      <c r="K8" s="490">
        <f>7187.5+7187.5+7187.5+7187.5</f>
        <v>28750</v>
      </c>
      <c r="L8" s="444" t="s">
        <v>643</v>
      </c>
      <c r="M8" s="29">
        <v>0</v>
      </c>
      <c r="N8" s="45"/>
    </row>
    <row r="9" spans="1:14" ht="15.75" thickBot="1" x14ac:dyDescent="0.3">
      <c r="A9" s="414">
        <v>42891</v>
      </c>
      <c r="B9" s="415">
        <v>49383</v>
      </c>
      <c r="C9" s="50" t="s">
        <v>647</v>
      </c>
      <c r="D9" s="435">
        <v>42891</v>
      </c>
      <c r="E9" s="436">
        <v>52913</v>
      </c>
      <c r="F9" s="23"/>
      <c r="G9" s="24">
        <v>42891</v>
      </c>
      <c r="H9" s="440">
        <v>0</v>
      </c>
      <c r="I9" s="38" t="s">
        <v>642</v>
      </c>
      <c r="J9" s="106" t="s">
        <v>633</v>
      </c>
      <c r="K9" s="191">
        <v>8448.86</v>
      </c>
      <c r="L9" s="444" t="s">
        <v>648</v>
      </c>
      <c r="M9" s="29">
        <v>0</v>
      </c>
      <c r="N9" s="30"/>
    </row>
    <row r="10" spans="1:14" ht="15.75" thickBot="1" x14ac:dyDescent="0.3">
      <c r="A10" s="414">
        <v>42892</v>
      </c>
      <c r="B10" s="415">
        <v>18737.5</v>
      </c>
      <c r="C10" s="48" t="s">
        <v>646</v>
      </c>
      <c r="D10" s="435">
        <v>42892</v>
      </c>
      <c r="E10" s="436">
        <v>18732.5</v>
      </c>
      <c r="F10" s="23"/>
      <c r="G10" s="24">
        <v>42892</v>
      </c>
      <c r="H10" s="440">
        <v>0</v>
      </c>
      <c r="I10" s="51" t="s">
        <v>667</v>
      </c>
      <c r="J10" s="106" t="s">
        <v>634</v>
      </c>
      <c r="K10" s="191">
        <v>7205.25</v>
      </c>
      <c r="L10" s="443" t="s">
        <v>645</v>
      </c>
      <c r="M10" s="29">
        <v>0</v>
      </c>
      <c r="N10" s="45"/>
    </row>
    <row r="11" spans="1:14" ht="15.75" thickBot="1" x14ac:dyDescent="0.3">
      <c r="A11" s="414">
        <v>42893</v>
      </c>
      <c r="B11" s="415">
        <v>40863</v>
      </c>
      <c r="C11" s="48" t="s">
        <v>650</v>
      </c>
      <c r="D11" s="435">
        <v>42893</v>
      </c>
      <c r="E11" s="436">
        <v>33627</v>
      </c>
      <c r="F11" s="23"/>
      <c r="G11" s="24">
        <v>0</v>
      </c>
      <c r="H11" s="440">
        <v>0</v>
      </c>
      <c r="I11" s="51" t="s">
        <v>685</v>
      </c>
      <c r="J11" s="106" t="s">
        <v>635</v>
      </c>
      <c r="K11" s="191">
        <v>7986.96</v>
      </c>
      <c r="L11" s="443" t="s">
        <v>649</v>
      </c>
      <c r="M11" s="29">
        <v>0</v>
      </c>
      <c r="N11" s="30"/>
    </row>
    <row r="12" spans="1:14" ht="15.75" thickBot="1" x14ac:dyDescent="0.3">
      <c r="A12" s="414">
        <v>42894</v>
      </c>
      <c r="B12" s="415">
        <v>44955.5</v>
      </c>
      <c r="C12" s="48" t="s">
        <v>652</v>
      </c>
      <c r="D12" s="435">
        <v>42894</v>
      </c>
      <c r="E12" s="436">
        <v>45056.5</v>
      </c>
      <c r="F12" s="23"/>
      <c r="G12" s="24">
        <v>42894</v>
      </c>
      <c r="H12" s="440">
        <v>101</v>
      </c>
      <c r="I12" s="38" t="s">
        <v>712</v>
      </c>
      <c r="J12" s="106" t="s">
        <v>636</v>
      </c>
      <c r="K12" s="191">
        <v>7901.11</v>
      </c>
      <c r="L12" s="443" t="s">
        <v>651</v>
      </c>
      <c r="M12" s="29">
        <v>0</v>
      </c>
      <c r="N12" s="30"/>
    </row>
    <row r="13" spans="1:14" ht="15.75" thickBot="1" x14ac:dyDescent="0.3">
      <c r="A13" s="414">
        <v>42895</v>
      </c>
      <c r="B13" s="415">
        <v>40836</v>
      </c>
      <c r="C13" s="48" t="s">
        <v>654</v>
      </c>
      <c r="D13" s="435">
        <v>42895</v>
      </c>
      <c r="E13" s="436">
        <v>44100.5</v>
      </c>
      <c r="F13" s="23"/>
      <c r="G13" s="24">
        <v>42895</v>
      </c>
      <c r="H13" s="440">
        <v>0</v>
      </c>
      <c r="I13" s="38" t="s">
        <v>792</v>
      </c>
      <c r="J13" s="368" t="s">
        <v>722</v>
      </c>
      <c r="K13" s="452">
        <v>0</v>
      </c>
      <c r="L13" s="443" t="s">
        <v>653</v>
      </c>
      <c r="M13" s="29">
        <v>0</v>
      </c>
      <c r="N13" s="45"/>
    </row>
    <row r="14" spans="1:14" ht="15.75" thickBot="1" x14ac:dyDescent="0.3">
      <c r="A14" s="414">
        <v>42896</v>
      </c>
      <c r="B14" s="415">
        <v>63870</v>
      </c>
      <c r="C14" s="50" t="s">
        <v>656</v>
      </c>
      <c r="D14" s="435">
        <v>42896</v>
      </c>
      <c r="E14" s="436">
        <v>63870</v>
      </c>
      <c r="F14" s="23"/>
      <c r="G14" s="24">
        <v>42896</v>
      </c>
      <c r="H14" s="440">
        <v>0</v>
      </c>
      <c r="I14" s="38"/>
      <c r="J14" s="460"/>
      <c r="K14" s="452">
        <v>0</v>
      </c>
      <c r="L14" s="443" t="s">
        <v>655</v>
      </c>
      <c r="M14" s="29">
        <v>0</v>
      </c>
      <c r="N14" s="45"/>
    </row>
    <row r="15" spans="1:14" ht="15.75" thickBot="1" x14ac:dyDescent="0.3">
      <c r="A15" s="414">
        <v>42897</v>
      </c>
      <c r="B15" s="415">
        <v>71333</v>
      </c>
      <c r="C15" s="50" t="s">
        <v>665</v>
      </c>
      <c r="D15" s="435">
        <v>42897</v>
      </c>
      <c r="E15" s="436">
        <v>71362</v>
      </c>
      <c r="F15" s="23"/>
      <c r="G15" s="24">
        <v>42897</v>
      </c>
      <c r="H15" s="440">
        <v>10</v>
      </c>
      <c r="I15" s="38"/>
      <c r="J15" s="368" t="s">
        <v>44</v>
      </c>
      <c r="K15" s="452">
        <v>0</v>
      </c>
      <c r="L15" s="443" t="s">
        <v>664</v>
      </c>
      <c r="M15" s="465">
        <v>19</v>
      </c>
      <c r="N15" s="45" t="s">
        <v>666</v>
      </c>
    </row>
    <row r="16" spans="1:14" ht="15.75" thickBot="1" x14ac:dyDescent="0.3">
      <c r="A16" s="414">
        <v>42898</v>
      </c>
      <c r="B16" s="415">
        <v>35832.5</v>
      </c>
      <c r="C16" s="50" t="s">
        <v>669</v>
      </c>
      <c r="D16" s="435">
        <v>42898</v>
      </c>
      <c r="E16" s="436">
        <v>35832.5</v>
      </c>
      <c r="F16" s="23"/>
      <c r="G16" s="24">
        <v>42898</v>
      </c>
      <c r="H16" s="440">
        <v>0</v>
      </c>
      <c r="I16" s="38"/>
      <c r="J16" s="54"/>
      <c r="K16" s="455">
        <v>0</v>
      </c>
      <c r="L16" s="443" t="s">
        <v>668</v>
      </c>
      <c r="M16" s="29">
        <v>0</v>
      </c>
      <c r="N16" s="45"/>
    </row>
    <row r="17" spans="1:14" ht="15.75" customHeight="1" thickBot="1" x14ac:dyDescent="0.3">
      <c r="A17" s="414">
        <v>42899</v>
      </c>
      <c r="B17" s="415">
        <v>13874</v>
      </c>
      <c r="C17" s="50" t="s">
        <v>671</v>
      </c>
      <c r="D17" s="435">
        <v>42899</v>
      </c>
      <c r="E17" s="436">
        <v>11837</v>
      </c>
      <c r="F17" s="23"/>
      <c r="G17" s="24">
        <v>42899</v>
      </c>
      <c r="H17" s="440">
        <v>0</v>
      </c>
      <c r="I17" s="38"/>
      <c r="J17" s="548" t="s">
        <v>735</v>
      </c>
      <c r="K17" s="455">
        <v>4640</v>
      </c>
      <c r="L17" s="443" t="s">
        <v>670</v>
      </c>
      <c r="M17" s="29">
        <v>0</v>
      </c>
      <c r="N17" s="45"/>
    </row>
    <row r="18" spans="1:14" ht="15.75" thickBot="1" x14ac:dyDescent="0.3">
      <c r="A18" s="414">
        <v>42900</v>
      </c>
      <c r="B18" s="415">
        <v>34242</v>
      </c>
      <c r="C18" s="48" t="s">
        <v>671</v>
      </c>
      <c r="D18" s="435">
        <v>42900</v>
      </c>
      <c r="E18" s="436">
        <v>34242</v>
      </c>
      <c r="F18" s="23"/>
      <c r="G18" s="24">
        <v>42900</v>
      </c>
      <c r="H18" s="440">
        <v>0</v>
      </c>
      <c r="I18" s="56"/>
      <c r="J18" s="549"/>
      <c r="K18" s="456"/>
      <c r="L18" s="445" t="s">
        <v>672</v>
      </c>
      <c r="M18" s="29">
        <v>0</v>
      </c>
      <c r="N18" s="45"/>
    </row>
    <row r="19" spans="1:14" ht="15.75" thickBot="1" x14ac:dyDescent="0.3">
      <c r="A19" s="414">
        <v>42901</v>
      </c>
      <c r="B19" s="415">
        <v>47080.5</v>
      </c>
      <c r="C19" s="50" t="s">
        <v>673</v>
      </c>
      <c r="D19" s="435">
        <v>42901</v>
      </c>
      <c r="E19" s="436">
        <v>47080.5</v>
      </c>
      <c r="F19" s="23"/>
      <c r="G19" s="24">
        <v>42901</v>
      </c>
      <c r="H19" s="440">
        <v>0</v>
      </c>
      <c r="I19" s="38"/>
      <c r="J19" s="368" t="s">
        <v>54</v>
      </c>
      <c r="K19" s="456">
        <v>0</v>
      </c>
      <c r="L19" s="443" t="s">
        <v>674</v>
      </c>
      <c r="M19" s="29">
        <v>0</v>
      </c>
      <c r="N19" s="45"/>
    </row>
    <row r="20" spans="1:14" ht="15.75" thickBot="1" x14ac:dyDescent="0.3">
      <c r="A20" s="414">
        <v>42902</v>
      </c>
      <c r="B20" s="415">
        <v>57081</v>
      </c>
      <c r="C20" s="57" t="s">
        <v>675</v>
      </c>
      <c r="D20" s="435">
        <v>42902</v>
      </c>
      <c r="E20" s="436">
        <v>61656</v>
      </c>
      <c r="F20" s="23"/>
      <c r="G20" s="24">
        <v>42902</v>
      </c>
      <c r="H20" s="440">
        <v>0</v>
      </c>
      <c r="I20" s="58"/>
      <c r="J20" s="59" t="s">
        <v>57</v>
      </c>
      <c r="K20" s="109">
        <v>0</v>
      </c>
      <c r="L20" s="443" t="s">
        <v>676</v>
      </c>
      <c r="M20" s="29">
        <v>0</v>
      </c>
      <c r="N20" s="45"/>
    </row>
    <row r="21" spans="1:14" ht="15.75" thickBot="1" x14ac:dyDescent="0.3">
      <c r="A21" s="414">
        <v>42903</v>
      </c>
      <c r="B21" s="415">
        <v>62296</v>
      </c>
      <c r="C21" s="57" t="s">
        <v>679</v>
      </c>
      <c r="D21" s="435">
        <v>42903</v>
      </c>
      <c r="E21" s="436">
        <v>63784.5</v>
      </c>
      <c r="F21" s="23"/>
      <c r="G21" s="24">
        <v>42903</v>
      </c>
      <c r="H21" s="440">
        <v>5</v>
      </c>
      <c r="I21" s="450" t="s">
        <v>638</v>
      </c>
      <c r="J21" s="63"/>
      <c r="K21" s="109">
        <v>500</v>
      </c>
      <c r="L21" s="443" t="s">
        <v>678</v>
      </c>
      <c r="M21" s="29">
        <v>0</v>
      </c>
      <c r="N21" s="45"/>
    </row>
    <row r="22" spans="1:14" ht="15.75" thickBot="1" x14ac:dyDescent="0.3">
      <c r="A22" s="414">
        <v>42904</v>
      </c>
      <c r="B22" s="415">
        <v>60045.5</v>
      </c>
      <c r="C22" s="50" t="s">
        <v>687</v>
      </c>
      <c r="D22" s="435">
        <v>42904</v>
      </c>
      <c r="E22" s="436">
        <v>58858</v>
      </c>
      <c r="F22" s="23"/>
      <c r="G22" s="24">
        <v>42904</v>
      </c>
      <c r="H22" s="440">
        <v>40</v>
      </c>
      <c r="I22" s="58"/>
      <c r="J22" s="449">
        <v>42889</v>
      </c>
      <c r="K22" s="109">
        <v>0</v>
      </c>
      <c r="L22" s="443" t="s">
        <v>686</v>
      </c>
      <c r="M22" s="29">
        <v>0</v>
      </c>
      <c r="N22" s="45"/>
    </row>
    <row r="23" spans="1:14" ht="15.75" thickBot="1" x14ac:dyDescent="0.3">
      <c r="A23" s="414">
        <v>42905</v>
      </c>
      <c r="B23" s="415">
        <v>69182.5</v>
      </c>
      <c r="C23" s="50" t="s">
        <v>699</v>
      </c>
      <c r="D23" s="435">
        <v>42905</v>
      </c>
      <c r="E23" s="436">
        <v>69182.5</v>
      </c>
      <c r="F23" s="23"/>
      <c r="G23" s="24">
        <v>42905</v>
      </c>
      <c r="H23" s="440">
        <v>0</v>
      </c>
      <c r="I23" s="38"/>
      <c r="J23" s="63"/>
      <c r="K23" s="109">
        <v>0</v>
      </c>
      <c r="L23" s="443" t="s">
        <v>698</v>
      </c>
      <c r="M23" s="29">
        <v>0</v>
      </c>
      <c r="N23" s="45"/>
    </row>
    <row r="24" spans="1:14" ht="15.75" thickBot="1" x14ac:dyDescent="0.3">
      <c r="A24" s="414">
        <v>42906</v>
      </c>
      <c r="B24" s="415">
        <v>41090</v>
      </c>
      <c r="C24" s="50" t="s">
        <v>702</v>
      </c>
      <c r="D24" s="435">
        <v>42906</v>
      </c>
      <c r="E24" s="436">
        <v>38385.5</v>
      </c>
      <c r="F24" s="23"/>
      <c r="G24" s="24">
        <v>42906</v>
      </c>
      <c r="H24" s="440">
        <v>10</v>
      </c>
      <c r="I24" s="38"/>
      <c r="J24" s="359" t="s">
        <v>66</v>
      </c>
      <c r="K24" s="109">
        <v>800</v>
      </c>
      <c r="L24" s="443" t="s">
        <v>703</v>
      </c>
      <c r="M24" s="29">
        <v>0</v>
      </c>
      <c r="N24" s="45"/>
    </row>
    <row r="25" spans="1:14" ht="15.75" thickBot="1" x14ac:dyDescent="0.3">
      <c r="A25" s="414">
        <v>42907</v>
      </c>
      <c r="B25" s="415">
        <v>49522</v>
      </c>
      <c r="C25" s="57" t="s">
        <v>705</v>
      </c>
      <c r="D25" s="435">
        <v>42907</v>
      </c>
      <c r="E25" s="436">
        <v>49325</v>
      </c>
      <c r="F25" s="23"/>
      <c r="G25" s="24">
        <v>42907</v>
      </c>
      <c r="H25" s="440">
        <v>8</v>
      </c>
      <c r="I25" s="38"/>
      <c r="J25" s="68">
        <v>42888</v>
      </c>
      <c r="K25" s="109">
        <v>0</v>
      </c>
      <c r="L25" s="443" t="s">
        <v>704</v>
      </c>
      <c r="M25" s="29">
        <v>0</v>
      </c>
      <c r="N25" s="45"/>
    </row>
    <row r="26" spans="1:14" ht="15.75" thickBot="1" x14ac:dyDescent="0.3">
      <c r="A26" s="414">
        <v>42908</v>
      </c>
      <c r="B26" s="415">
        <v>40941</v>
      </c>
      <c r="C26" s="50" t="s">
        <v>707</v>
      </c>
      <c r="D26" s="435">
        <v>42908</v>
      </c>
      <c r="E26" s="436">
        <v>37802</v>
      </c>
      <c r="F26" s="23"/>
      <c r="G26" s="24">
        <v>42908</v>
      </c>
      <c r="H26" s="440">
        <v>0</v>
      </c>
      <c r="I26" s="38"/>
      <c r="J26" s="360" t="s">
        <v>73</v>
      </c>
      <c r="K26" s="109">
        <v>900</v>
      </c>
      <c r="L26" s="443" t="s">
        <v>706</v>
      </c>
      <c r="M26" s="29">
        <v>0</v>
      </c>
      <c r="N26" s="45"/>
    </row>
    <row r="27" spans="1:14" ht="15.75" thickBot="1" x14ac:dyDescent="0.3">
      <c r="A27" s="414">
        <v>42909</v>
      </c>
      <c r="B27" s="415">
        <v>64191.5</v>
      </c>
      <c r="C27" s="50" t="s">
        <v>709</v>
      </c>
      <c r="D27" s="435">
        <v>42909</v>
      </c>
      <c r="E27" s="436">
        <v>64224.5</v>
      </c>
      <c r="F27" s="23"/>
      <c r="G27" s="24">
        <v>42909</v>
      </c>
      <c r="H27" s="440">
        <v>33</v>
      </c>
      <c r="I27" s="38"/>
      <c r="J27" s="68">
        <v>42891</v>
      </c>
      <c r="K27" s="109">
        <v>0</v>
      </c>
      <c r="L27" s="443" t="s">
        <v>708</v>
      </c>
      <c r="M27" s="29">
        <v>0</v>
      </c>
    </row>
    <row r="28" spans="1:14" ht="15.75" thickBot="1" x14ac:dyDescent="0.3">
      <c r="A28" s="414">
        <v>42910</v>
      </c>
      <c r="B28" s="415">
        <v>69725</v>
      </c>
      <c r="C28" s="50" t="s">
        <v>711</v>
      </c>
      <c r="D28" s="435">
        <v>42910</v>
      </c>
      <c r="E28" s="436">
        <v>71101</v>
      </c>
      <c r="F28" s="23"/>
      <c r="G28" s="24">
        <v>42910</v>
      </c>
      <c r="H28" s="440">
        <v>25</v>
      </c>
      <c r="I28" s="38"/>
      <c r="J28" s="358" t="s">
        <v>442</v>
      </c>
      <c r="K28" s="109">
        <v>0</v>
      </c>
      <c r="L28" s="446" t="s">
        <v>710</v>
      </c>
      <c r="M28" s="29">
        <v>0</v>
      </c>
    </row>
    <row r="29" spans="1:14" ht="15.75" thickBot="1" x14ac:dyDescent="0.3">
      <c r="A29" s="414">
        <v>42911</v>
      </c>
      <c r="B29" s="415">
        <v>56678</v>
      </c>
      <c r="C29" s="50" t="s">
        <v>714</v>
      </c>
      <c r="D29" s="435">
        <v>42911</v>
      </c>
      <c r="E29" s="436">
        <v>57088</v>
      </c>
      <c r="F29" s="23"/>
      <c r="G29" s="24">
        <v>42911</v>
      </c>
      <c r="H29" s="440">
        <v>10</v>
      </c>
      <c r="I29" s="38"/>
      <c r="J29" s="68"/>
      <c r="K29" s="109">
        <v>0</v>
      </c>
      <c r="L29" s="443" t="s">
        <v>713</v>
      </c>
      <c r="M29" s="29">
        <v>0</v>
      </c>
    </row>
    <row r="30" spans="1:14" ht="15.75" thickBot="1" x14ac:dyDescent="0.3">
      <c r="A30" s="414">
        <v>42912</v>
      </c>
      <c r="B30" s="415">
        <v>73680.5</v>
      </c>
      <c r="C30" s="57" t="s">
        <v>743</v>
      </c>
      <c r="D30" s="435">
        <v>42912</v>
      </c>
      <c r="E30" s="436">
        <v>76264.5</v>
      </c>
      <c r="F30" s="23"/>
      <c r="G30" s="24">
        <v>42912</v>
      </c>
      <c r="H30" s="440">
        <v>0</v>
      </c>
      <c r="I30" s="38"/>
      <c r="J30" s="461" t="s">
        <v>82</v>
      </c>
      <c r="K30" s="109">
        <v>0</v>
      </c>
      <c r="L30" s="446" t="s">
        <v>742</v>
      </c>
      <c r="M30" s="29">
        <v>0</v>
      </c>
    </row>
    <row r="31" spans="1:14" ht="15.75" thickBot="1" x14ac:dyDescent="0.3">
      <c r="A31" s="414">
        <v>42913</v>
      </c>
      <c r="B31" s="415">
        <v>26918</v>
      </c>
      <c r="C31" s="57" t="s">
        <v>745</v>
      </c>
      <c r="D31" s="435">
        <v>42913</v>
      </c>
      <c r="E31" s="436">
        <v>26918</v>
      </c>
      <c r="F31" s="23"/>
      <c r="G31" s="24">
        <v>42913</v>
      </c>
      <c r="H31" s="440">
        <v>0</v>
      </c>
      <c r="I31" s="38"/>
      <c r="J31" s="68"/>
      <c r="K31" s="109">
        <v>0</v>
      </c>
      <c r="L31" s="446" t="s">
        <v>744</v>
      </c>
      <c r="M31" s="29">
        <v>0</v>
      </c>
    </row>
    <row r="32" spans="1:14" ht="15.75" thickBot="1" x14ac:dyDescent="0.3">
      <c r="A32" s="414">
        <v>42914</v>
      </c>
      <c r="B32" s="415">
        <v>59538.5</v>
      </c>
      <c r="C32" s="48" t="s">
        <v>747</v>
      </c>
      <c r="D32" s="435">
        <v>42914</v>
      </c>
      <c r="E32" s="436">
        <v>59538.5</v>
      </c>
      <c r="F32" s="23"/>
      <c r="G32" s="24">
        <v>42914</v>
      </c>
      <c r="H32" s="440">
        <v>0</v>
      </c>
      <c r="I32" s="38"/>
      <c r="J32" s="461"/>
      <c r="K32" s="452"/>
      <c r="L32" s="443" t="s">
        <v>746</v>
      </c>
      <c r="M32" s="29">
        <v>0</v>
      </c>
    </row>
    <row r="33" spans="1:13" ht="15.75" thickBot="1" x14ac:dyDescent="0.3">
      <c r="A33" s="414">
        <v>42915</v>
      </c>
      <c r="B33" s="415">
        <v>44690.5</v>
      </c>
      <c r="C33" s="48" t="s">
        <v>749</v>
      </c>
      <c r="D33" s="435">
        <v>42915</v>
      </c>
      <c r="E33" s="436">
        <v>44690</v>
      </c>
      <c r="F33" s="23"/>
      <c r="G33" s="24">
        <v>42915</v>
      </c>
      <c r="H33" s="440">
        <v>0</v>
      </c>
      <c r="I33" s="38"/>
      <c r="J33" s="190"/>
      <c r="K33" s="191"/>
      <c r="L33" s="443" t="s">
        <v>748</v>
      </c>
      <c r="M33" s="29">
        <v>0</v>
      </c>
    </row>
    <row r="34" spans="1:13" ht="15.75" thickBot="1" x14ac:dyDescent="0.3">
      <c r="A34" s="414">
        <v>42916</v>
      </c>
      <c r="B34" s="415">
        <v>80261.5</v>
      </c>
      <c r="C34" s="57" t="s">
        <v>751</v>
      </c>
      <c r="D34" s="435">
        <v>42916</v>
      </c>
      <c r="E34" s="436">
        <v>80261.5</v>
      </c>
      <c r="F34" s="23"/>
      <c r="G34" s="24">
        <v>42916</v>
      </c>
      <c r="H34" s="440">
        <v>0</v>
      </c>
      <c r="I34" s="38"/>
      <c r="J34" s="190"/>
      <c r="K34" s="191"/>
      <c r="L34" s="447" t="s">
        <v>750</v>
      </c>
      <c r="M34" s="29">
        <v>0</v>
      </c>
    </row>
    <row r="35" spans="1:13" ht="15.75" thickBot="1" x14ac:dyDescent="0.3">
      <c r="A35" s="417"/>
      <c r="B35" s="418"/>
      <c r="C35" s="20"/>
      <c r="D35" s="435"/>
      <c r="E35" s="436"/>
      <c r="F35" s="23"/>
      <c r="G35" s="24"/>
      <c r="H35" s="440"/>
      <c r="I35" s="38"/>
      <c r="J35" s="461"/>
      <c r="K35" s="452"/>
      <c r="L35" s="448"/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19</v>
      </c>
    </row>
    <row r="38" spans="1:13" x14ac:dyDescent="0.25">
      <c r="A38" s="98" t="s">
        <v>85</v>
      </c>
      <c r="B38" s="99">
        <f>SUM(B5:B37)</f>
        <v>1554234</v>
      </c>
      <c r="D38" s="100" t="s">
        <v>85</v>
      </c>
      <c r="E38" s="101">
        <f>SUM(E5:E37)</f>
        <v>1559992.5</v>
      </c>
      <c r="G38" s="397" t="s">
        <v>85</v>
      </c>
      <c r="H38" s="4">
        <f>SUM(H5:H37)</f>
        <v>252</v>
      </c>
      <c r="I38" s="4"/>
      <c r="J38" s="102" t="s">
        <v>85</v>
      </c>
      <c r="K38" s="103">
        <f t="shared" ref="K38" si="0">SUM(K5:K37)</f>
        <v>67681.179999999993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8" t="s">
        <v>86</v>
      </c>
      <c r="H40" s="519"/>
      <c r="I40" s="396"/>
      <c r="J40" s="520">
        <f>H38+K38</f>
        <v>67933.179999999993</v>
      </c>
      <c r="K40" s="521"/>
      <c r="L40" s="108"/>
      <c r="M40" s="108"/>
    </row>
    <row r="41" spans="1:13" ht="15.75" x14ac:dyDescent="0.25">
      <c r="A41" s="1"/>
      <c r="B41" s="5"/>
      <c r="C41" s="540" t="s">
        <v>87</v>
      </c>
      <c r="D41" s="540"/>
      <c r="E41" s="109">
        <f>E38-J40</f>
        <v>1492059.32</v>
      </c>
      <c r="H41" s="110"/>
      <c r="I41" s="110"/>
      <c r="L41" s="108"/>
      <c r="M41" s="108"/>
    </row>
    <row r="42" spans="1:13" ht="15.75" x14ac:dyDescent="0.25">
      <c r="A42" s="1"/>
      <c r="B42" s="5"/>
      <c r="C42" s="105"/>
      <c r="D42" s="106"/>
      <c r="E42" s="109"/>
      <c r="H42" s="541" t="s">
        <v>91</v>
      </c>
      <c r="I42" s="541"/>
      <c r="J42" s="542">
        <f>E46</f>
        <v>63094.090000000084</v>
      </c>
      <c r="K42" s="543"/>
      <c r="L42" s="108"/>
      <c r="M42" s="108"/>
    </row>
    <row r="43" spans="1:13" ht="16.5" thickBot="1" x14ac:dyDescent="0.3">
      <c r="A43" s="1"/>
      <c r="B43" s="5" t="s">
        <v>88</v>
      </c>
      <c r="C43" s="6" t="s">
        <v>89</v>
      </c>
      <c r="E43" s="111">
        <v>-1488574.23</v>
      </c>
      <c r="H43" s="544" t="s">
        <v>3</v>
      </c>
      <c r="I43" s="544"/>
      <c r="J43" s="529">
        <v>-118316</v>
      </c>
      <c r="K43" s="529"/>
      <c r="L43" s="108"/>
      <c r="M43" s="108"/>
    </row>
    <row r="44" spans="1:13" ht="20.25" thickTop="1" thickBot="1" x14ac:dyDescent="0.35">
      <c r="A44" s="1"/>
      <c r="B44" s="5"/>
      <c r="D44" s="12" t="s">
        <v>90</v>
      </c>
      <c r="E44" s="4">
        <f>SUM(E41:E43)</f>
        <v>3485.0900000000838</v>
      </c>
      <c r="H44" s="535" t="s">
        <v>270</v>
      </c>
      <c r="I44" s="536"/>
      <c r="J44" s="552">
        <f t="shared" ref="J44" si="1">SUM(J42:K43)</f>
        <v>-55221.909999999916</v>
      </c>
      <c r="K44" s="553"/>
      <c r="L44" s="108"/>
      <c r="M44" s="108"/>
    </row>
    <row r="45" spans="1:13" ht="17.25" thickTop="1" thickBot="1" x14ac:dyDescent="0.3">
      <c r="A45" s="1"/>
      <c r="B45" s="5"/>
      <c r="C45" s="113" t="s">
        <v>92</v>
      </c>
      <c r="D45" s="114"/>
      <c r="E45" s="115">
        <v>59609</v>
      </c>
      <c r="L45" s="108"/>
      <c r="M45" s="108"/>
    </row>
    <row r="46" spans="1:13" ht="18.75" x14ac:dyDescent="0.25">
      <c r="A46" s="1"/>
      <c r="B46" s="5"/>
      <c r="D46" s="6" t="s">
        <v>93</v>
      </c>
      <c r="E46" s="99">
        <f>E45+E44</f>
        <v>63094.090000000084</v>
      </c>
      <c r="I46" s="116"/>
      <c r="J46" s="534"/>
      <c r="K46" s="534"/>
      <c r="L46" s="108"/>
      <c r="M46" s="108"/>
    </row>
    <row r="47" spans="1:13" ht="18.75" x14ac:dyDescent="0.25">
      <c r="A47" s="1"/>
      <c r="B47" s="5"/>
      <c r="E47" s="109"/>
      <c r="J47" s="550"/>
      <c r="K47" s="551"/>
      <c r="L47" s="108"/>
      <c r="M47" s="108"/>
    </row>
    <row r="48" spans="1:13" x14ac:dyDescent="0.25">
      <c r="A48" s="1"/>
      <c r="B48" s="5"/>
      <c r="C48" s="539"/>
      <c r="D48" s="53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D3:F3"/>
    <mergeCell ref="G3:H3"/>
    <mergeCell ref="A3:A4"/>
    <mergeCell ref="D4:E4"/>
    <mergeCell ref="H4:K4"/>
    <mergeCell ref="C48:D48"/>
    <mergeCell ref="J17:J18"/>
    <mergeCell ref="G40:H40"/>
    <mergeCell ref="J40:K40"/>
    <mergeCell ref="C41:D41"/>
    <mergeCell ref="H42:I42"/>
    <mergeCell ref="J42:K42"/>
    <mergeCell ref="H43:I43"/>
    <mergeCell ref="J43:K43"/>
    <mergeCell ref="J46:K46"/>
    <mergeCell ref="H44:I44"/>
    <mergeCell ref="J47:K47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Y51"/>
  <sheetViews>
    <sheetView topLeftCell="A28" workbookViewId="0">
      <selection activeCell="C43" sqref="C4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4" max="14" width="13.85546875" bestFit="1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45" t="s">
        <v>95</v>
      </c>
      <c r="D1" s="546"/>
      <c r="E1" s="547"/>
      <c r="F1" s="119"/>
      <c r="I1" s="45"/>
      <c r="J1" s="154"/>
      <c r="K1" s="343">
        <v>42901</v>
      </c>
      <c r="L1" s="216"/>
      <c r="M1" s="217" t="s">
        <v>141</v>
      </c>
      <c r="N1" s="111"/>
      <c r="O1" s="158"/>
      <c r="R1">
        <v>16661</v>
      </c>
      <c r="S1" s="45">
        <v>3424</v>
      </c>
      <c r="T1" s="154"/>
      <c r="U1" s="466">
        <v>42915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2520+4483</f>
        <v>7003</v>
      </c>
      <c r="J2" s="290" t="s">
        <v>585</v>
      </c>
      <c r="K2" s="133">
        <v>581.82000000000005</v>
      </c>
      <c r="L2" s="214" t="s">
        <v>143</v>
      </c>
      <c r="M2" s="160" t="s">
        <v>154</v>
      </c>
      <c r="N2" s="161">
        <v>2520</v>
      </c>
      <c r="O2" s="162">
        <v>42880</v>
      </c>
      <c r="S2" s="45">
        <v>52471</v>
      </c>
      <c r="T2" s="366" t="s">
        <v>681</v>
      </c>
      <c r="U2" s="133">
        <v>49474.29</v>
      </c>
      <c r="V2" s="214" t="s">
        <v>143</v>
      </c>
      <c r="W2" s="160">
        <v>3718352</v>
      </c>
      <c r="X2" s="161">
        <v>58500</v>
      </c>
      <c r="Y2" s="162">
        <v>42905</v>
      </c>
    </row>
    <row r="3" spans="1:25" ht="15.75" x14ac:dyDescent="0.25">
      <c r="A3" s="125">
        <v>42887</v>
      </c>
      <c r="B3" s="126" t="s">
        <v>612</v>
      </c>
      <c r="C3" s="127">
        <v>101162.18</v>
      </c>
      <c r="D3" s="128">
        <v>42901</v>
      </c>
      <c r="E3" s="127">
        <v>101162.18</v>
      </c>
      <c r="F3" s="129">
        <f t="shared" ref="F3:F48" si="0">C3-E3</f>
        <v>0</v>
      </c>
      <c r="I3" s="45">
        <v>31621</v>
      </c>
      <c r="J3" s="290" t="s">
        <v>610</v>
      </c>
      <c r="K3" s="133">
        <v>31621</v>
      </c>
      <c r="L3" s="159"/>
      <c r="M3" s="160">
        <v>3718024</v>
      </c>
      <c r="N3" s="161">
        <v>32365.5</v>
      </c>
      <c r="O3" s="162">
        <v>42883</v>
      </c>
      <c r="S3" s="45">
        <f>13287.5+4095+16770</f>
        <v>34152.5</v>
      </c>
      <c r="T3" s="393" t="s">
        <v>689</v>
      </c>
      <c r="U3" s="133">
        <v>34152.5</v>
      </c>
      <c r="V3" s="159"/>
      <c r="W3" s="160">
        <v>3718353</v>
      </c>
      <c r="X3" s="161">
        <v>10682.5</v>
      </c>
      <c r="Y3" s="162">
        <v>42905</v>
      </c>
    </row>
    <row r="4" spans="1:25" ht="15.75" x14ac:dyDescent="0.25">
      <c r="A4" s="131">
        <v>42887</v>
      </c>
      <c r="B4" s="132" t="s">
        <v>613</v>
      </c>
      <c r="C4" s="133">
        <v>414.96</v>
      </c>
      <c r="D4" s="128">
        <v>42901</v>
      </c>
      <c r="E4" s="133">
        <v>414.96</v>
      </c>
      <c r="F4" s="134">
        <f t="shared" si="0"/>
        <v>0</v>
      </c>
      <c r="I4" s="45">
        <f>36261.5+30000+593.5</f>
        <v>66855</v>
      </c>
      <c r="J4" s="376" t="s">
        <v>611</v>
      </c>
      <c r="K4" s="339">
        <v>66854.899999999994</v>
      </c>
      <c r="L4" s="163"/>
      <c r="M4" s="160">
        <v>3718023</v>
      </c>
      <c r="N4" s="161">
        <v>40000</v>
      </c>
      <c r="O4" s="162">
        <v>42883</v>
      </c>
      <c r="S4" s="45">
        <f>19914+3344+10033.5</f>
        <v>33291.5</v>
      </c>
      <c r="T4" s="132" t="s">
        <v>682</v>
      </c>
      <c r="U4" s="133">
        <v>33291.300000000003</v>
      </c>
      <c r="V4" s="163"/>
      <c r="W4" s="160">
        <v>3718354</v>
      </c>
      <c r="X4" s="161">
        <v>25000</v>
      </c>
      <c r="Y4" s="162">
        <v>42906</v>
      </c>
    </row>
    <row r="5" spans="1:25" ht="15.75" x14ac:dyDescent="0.25">
      <c r="A5" s="131">
        <v>42888</v>
      </c>
      <c r="B5" s="132" t="s">
        <v>614</v>
      </c>
      <c r="C5" s="133">
        <v>32081.759999999998</v>
      </c>
      <c r="D5" s="128">
        <v>42901</v>
      </c>
      <c r="E5" s="133">
        <v>32081.759999999998</v>
      </c>
      <c r="F5" s="134">
        <f t="shared" si="0"/>
        <v>0</v>
      </c>
      <c r="I5" s="45">
        <f>37292.5+51862.5+12007</f>
        <v>101162</v>
      </c>
      <c r="J5" s="126" t="s">
        <v>612</v>
      </c>
      <c r="K5" s="127">
        <v>101162.18</v>
      </c>
      <c r="L5" s="164"/>
      <c r="M5" s="160">
        <v>3718027</v>
      </c>
      <c r="N5" s="161">
        <v>30000</v>
      </c>
      <c r="O5" s="162">
        <v>42886</v>
      </c>
      <c r="S5" s="45">
        <v>33021.5</v>
      </c>
      <c r="T5" s="367" t="s">
        <v>683</v>
      </c>
      <c r="U5" s="133">
        <v>33021.449999999997</v>
      </c>
      <c r="V5" s="164"/>
      <c r="W5" s="160">
        <v>3718355</v>
      </c>
      <c r="X5" s="161">
        <v>11684</v>
      </c>
      <c r="Y5" s="162">
        <v>42906</v>
      </c>
    </row>
    <row r="6" spans="1:25" ht="15.75" x14ac:dyDescent="0.25">
      <c r="A6" s="131">
        <v>42888</v>
      </c>
      <c r="B6" s="132" t="s">
        <v>615</v>
      </c>
      <c r="C6" s="133">
        <v>5388.2</v>
      </c>
      <c r="D6" s="128">
        <v>42901</v>
      </c>
      <c r="E6" s="133">
        <v>5388.2</v>
      </c>
      <c r="F6" s="135">
        <f t="shared" si="0"/>
        <v>0</v>
      </c>
      <c r="I6" s="45">
        <v>415</v>
      </c>
      <c r="J6" s="132" t="s">
        <v>613</v>
      </c>
      <c r="K6" s="133">
        <v>414.96</v>
      </c>
      <c r="L6" s="277"/>
      <c r="M6" s="160" t="s">
        <v>154</v>
      </c>
      <c r="N6" s="161">
        <v>593.5</v>
      </c>
      <c r="O6" s="162">
        <v>42887</v>
      </c>
      <c r="S6" s="45">
        <f>3123+3139+30787</f>
        <v>37049</v>
      </c>
      <c r="T6" s="290" t="s">
        <v>684</v>
      </c>
      <c r="U6" s="133">
        <v>37049.21</v>
      </c>
      <c r="V6" s="277"/>
      <c r="W6" s="160" t="s">
        <v>154</v>
      </c>
      <c r="X6" s="161">
        <v>4095</v>
      </c>
      <c r="Y6" s="162">
        <v>42902</v>
      </c>
    </row>
    <row r="7" spans="1:25" ht="15.75" x14ac:dyDescent="0.25">
      <c r="A7" s="131">
        <v>42888</v>
      </c>
      <c r="B7" s="132" t="s">
        <v>616</v>
      </c>
      <c r="C7" s="133">
        <v>925</v>
      </c>
      <c r="D7" s="128">
        <v>42901</v>
      </c>
      <c r="E7" s="133">
        <v>925</v>
      </c>
      <c r="F7" s="135">
        <f t="shared" si="0"/>
        <v>0</v>
      </c>
      <c r="I7" s="45">
        <v>32082</v>
      </c>
      <c r="J7" s="132" t="s">
        <v>614</v>
      </c>
      <c r="K7" s="133">
        <v>32081.759999999998</v>
      </c>
      <c r="L7" s="163"/>
      <c r="M7" s="160">
        <v>3718028</v>
      </c>
      <c r="N7" s="161">
        <v>25000</v>
      </c>
      <c r="O7" s="162">
        <v>42887</v>
      </c>
      <c r="S7" s="45">
        <f>7015+33388</f>
        <v>40403</v>
      </c>
      <c r="T7" s="290" t="s">
        <v>690</v>
      </c>
      <c r="U7" s="133">
        <v>40402.980000000003</v>
      </c>
      <c r="V7" s="163"/>
      <c r="W7" s="160">
        <v>3718356</v>
      </c>
      <c r="X7" s="161">
        <v>30000</v>
      </c>
      <c r="Y7" s="162">
        <v>42907</v>
      </c>
    </row>
    <row r="8" spans="1:25" ht="15.75" x14ac:dyDescent="0.25">
      <c r="A8" s="131">
        <v>42889</v>
      </c>
      <c r="B8" s="132" t="s">
        <v>617</v>
      </c>
      <c r="C8" s="133">
        <v>39724.080000000002</v>
      </c>
      <c r="D8" s="128">
        <v>42901</v>
      </c>
      <c r="E8" s="133">
        <v>39724.080000000002</v>
      </c>
      <c r="F8" s="135">
        <f t="shared" si="0"/>
        <v>0</v>
      </c>
      <c r="I8" s="45">
        <v>5398</v>
      </c>
      <c r="J8" s="132" t="s">
        <v>615</v>
      </c>
      <c r="K8" s="133">
        <v>5388.2</v>
      </c>
      <c r="L8" s="165"/>
      <c r="M8" s="160" t="s">
        <v>154</v>
      </c>
      <c r="N8" s="166">
        <v>12292.5</v>
      </c>
      <c r="O8" s="167">
        <v>42888</v>
      </c>
      <c r="S8" s="45">
        <f>30803.5+909</f>
        <v>31712.5</v>
      </c>
      <c r="T8" s="290" t="s">
        <v>691</v>
      </c>
      <c r="U8" s="133">
        <v>31712.400000000001</v>
      </c>
      <c r="V8" s="165"/>
      <c r="W8" s="160">
        <v>3718357</v>
      </c>
      <c r="X8" s="166">
        <v>16178</v>
      </c>
      <c r="Y8" s="167">
        <v>42907</v>
      </c>
    </row>
    <row r="9" spans="1:25" ht="15.75" x14ac:dyDescent="0.25">
      <c r="A9" s="131">
        <v>42889</v>
      </c>
      <c r="B9" s="132" t="s">
        <v>618</v>
      </c>
      <c r="C9" s="133">
        <v>33195.599999999999</v>
      </c>
      <c r="D9" s="128">
        <v>42909</v>
      </c>
      <c r="E9" s="133">
        <v>33195.599999999999</v>
      </c>
      <c r="F9" s="135">
        <f t="shared" si="0"/>
        <v>0</v>
      </c>
      <c r="I9" s="45">
        <v>925</v>
      </c>
      <c r="J9" s="132" t="s">
        <v>616</v>
      </c>
      <c r="K9" s="133">
        <v>925</v>
      </c>
      <c r="L9" s="163"/>
      <c r="M9" s="160" t="s">
        <v>154</v>
      </c>
      <c r="N9" s="148">
        <v>15000</v>
      </c>
      <c r="O9" s="167">
        <v>42888</v>
      </c>
      <c r="S9" s="45">
        <v>34778.199999999997</v>
      </c>
      <c r="T9" s="290" t="s">
        <v>692</v>
      </c>
      <c r="U9" s="133">
        <v>34778.199999999997</v>
      </c>
      <c r="V9" s="163"/>
      <c r="W9" s="160" t="s">
        <v>154</v>
      </c>
      <c r="X9" s="148">
        <v>1380.5</v>
      </c>
      <c r="Y9" s="167">
        <v>42907</v>
      </c>
    </row>
    <row r="10" spans="1:25" ht="15.75" x14ac:dyDescent="0.25">
      <c r="A10" s="131">
        <v>42890</v>
      </c>
      <c r="B10" s="132" t="s">
        <v>619</v>
      </c>
      <c r="C10" s="133">
        <v>49889.16</v>
      </c>
      <c r="D10" s="128">
        <v>42901</v>
      </c>
      <c r="E10" s="133">
        <v>49889.16</v>
      </c>
      <c r="F10" s="135">
        <f t="shared" si="0"/>
        <v>0</v>
      </c>
      <c r="I10" s="45">
        <f>26140+4302+9282</f>
        <v>39724</v>
      </c>
      <c r="J10" s="132" t="s">
        <v>617</v>
      </c>
      <c r="K10" s="133">
        <v>39724.080000000002</v>
      </c>
      <c r="L10" s="168"/>
      <c r="M10" s="160">
        <v>3718029</v>
      </c>
      <c r="N10" s="161">
        <v>36862.5</v>
      </c>
      <c r="O10" s="162">
        <v>42888</v>
      </c>
      <c r="S10" s="45">
        <v>2220</v>
      </c>
      <c r="T10" s="290" t="s">
        <v>693</v>
      </c>
      <c r="U10" s="133">
        <v>2220</v>
      </c>
      <c r="V10" s="168"/>
      <c r="W10" s="160" t="s">
        <v>154</v>
      </c>
      <c r="X10" s="161">
        <v>1963.5</v>
      </c>
      <c r="Y10" s="162">
        <v>42905</v>
      </c>
    </row>
    <row r="11" spans="1:25" ht="15.75" x14ac:dyDescent="0.25">
      <c r="A11" s="131">
        <v>42891</v>
      </c>
      <c r="B11" s="132" t="s">
        <v>620</v>
      </c>
      <c r="C11" s="133">
        <v>31847.8</v>
      </c>
      <c r="D11" s="128">
        <v>42901</v>
      </c>
      <c r="E11" s="133">
        <v>31847.8</v>
      </c>
      <c r="F11" s="135">
        <f t="shared" si="0"/>
        <v>0</v>
      </c>
      <c r="I11" s="45"/>
      <c r="J11" s="132"/>
      <c r="K11" s="133"/>
      <c r="L11" s="168"/>
      <c r="M11" s="160">
        <v>3718030</v>
      </c>
      <c r="N11" s="161">
        <v>35000</v>
      </c>
      <c r="O11" s="162">
        <v>42889</v>
      </c>
      <c r="S11" s="45">
        <v>17767.2</v>
      </c>
      <c r="T11" s="469" t="s">
        <v>694</v>
      </c>
      <c r="U11" s="339">
        <v>17767.2</v>
      </c>
      <c r="V11" s="168"/>
      <c r="W11" s="160">
        <v>3718358</v>
      </c>
      <c r="X11" s="161">
        <v>25000</v>
      </c>
      <c r="Y11" s="162">
        <v>42908</v>
      </c>
    </row>
    <row r="12" spans="1:25" ht="15.75" x14ac:dyDescent="0.25">
      <c r="A12" s="131">
        <v>42892</v>
      </c>
      <c r="B12" s="132" t="s">
        <v>621</v>
      </c>
      <c r="C12" s="133">
        <v>32112.400000000001</v>
      </c>
      <c r="D12" s="128">
        <v>42901</v>
      </c>
      <c r="E12" s="133">
        <v>32112.400000000001</v>
      </c>
      <c r="F12" s="135">
        <f t="shared" si="0"/>
        <v>0</v>
      </c>
      <c r="I12" s="45">
        <v>49889</v>
      </c>
      <c r="J12" s="132" t="s">
        <v>619</v>
      </c>
      <c r="K12" s="133">
        <v>49889.16</v>
      </c>
      <c r="L12" s="168"/>
      <c r="M12" s="160">
        <v>3718031</v>
      </c>
      <c r="N12" s="161">
        <v>41967</v>
      </c>
      <c r="O12" s="162">
        <v>42889</v>
      </c>
      <c r="S12" s="45">
        <f>14050.6+16825.52</f>
        <v>30876.120000000003</v>
      </c>
      <c r="T12" s="468" t="s">
        <v>695</v>
      </c>
      <c r="U12" s="178">
        <v>30876.12</v>
      </c>
      <c r="V12" s="168"/>
      <c r="W12" s="160">
        <v>3718359</v>
      </c>
      <c r="X12" s="161">
        <v>12802</v>
      </c>
      <c r="Y12" s="162">
        <v>42908</v>
      </c>
    </row>
    <row r="13" spans="1:25" ht="15.75" x14ac:dyDescent="0.25">
      <c r="A13" s="131">
        <v>42893</v>
      </c>
      <c r="B13" s="132" t="s">
        <v>626</v>
      </c>
      <c r="C13" s="133">
        <v>37579.64</v>
      </c>
      <c r="D13" s="128">
        <v>42901</v>
      </c>
      <c r="E13" s="133">
        <v>37579.64</v>
      </c>
      <c r="F13" s="135">
        <f t="shared" si="0"/>
        <v>0</v>
      </c>
      <c r="I13" s="45">
        <f>7790.5+24057.5</f>
        <v>31848</v>
      </c>
      <c r="J13" s="132" t="s">
        <v>620</v>
      </c>
      <c r="K13" s="133">
        <v>31847.8</v>
      </c>
      <c r="L13" s="168"/>
      <c r="M13" s="160">
        <v>3718032</v>
      </c>
      <c r="N13" s="161">
        <v>45000</v>
      </c>
      <c r="O13" s="162">
        <v>42890</v>
      </c>
      <c r="S13" s="45">
        <v>34184.160000000003</v>
      </c>
      <c r="T13" s="468" t="s">
        <v>696</v>
      </c>
      <c r="U13" s="178">
        <v>34184.160000000003</v>
      </c>
      <c r="V13" s="168"/>
      <c r="W13" s="160" t="s">
        <v>154</v>
      </c>
      <c r="X13" s="161">
        <v>3139</v>
      </c>
      <c r="Y13" s="162">
        <v>42908</v>
      </c>
    </row>
    <row r="14" spans="1:25" ht="15.75" x14ac:dyDescent="0.25">
      <c r="A14" s="131">
        <v>42894</v>
      </c>
      <c r="B14" s="132" t="s">
        <v>627</v>
      </c>
      <c r="C14" s="133">
        <v>48456.28</v>
      </c>
      <c r="D14" s="128">
        <v>42901</v>
      </c>
      <c r="E14" s="133">
        <v>48456.28</v>
      </c>
      <c r="F14" s="135">
        <f t="shared" si="0"/>
        <v>0</v>
      </c>
      <c r="I14" s="45">
        <f>25325.5+6787</f>
        <v>32112.5</v>
      </c>
      <c r="J14" s="132" t="s">
        <v>621</v>
      </c>
      <c r="K14" s="133">
        <v>32112.400000000001</v>
      </c>
      <c r="L14" s="168"/>
      <c r="M14" s="160">
        <v>3718033</v>
      </c>
      <c r="N14" s="161">
        <v>21961.5</v>
      </c>
      <c r="O14" s="162">
        <v>42890</v>
      </c>
      <c r="S14" s="45">
        <v>5668.32</v>
      </c>
      <c r="T14" s="468" t="s">
        <v>697</v>
      </c>
      <c r="U14" s="178">
        <v>12089.19</v>
      </c>
      <c r="V14" s="470" t="s">
        <v>159</v>
      </c>
      <c r="W14" s="160">
        <v>3718360</v>
      </c>
      <c r="X14" s="161">
        <v>35000</v>
      </c>
      <c r="Y14" s="162">
        <v>42909</v>
      </c>
    </row>
    <row r="15" spans="1:25" ht="15.75" x14ac:dyDescent="0.25">
      <c r="A15" s="131">
        <v>42895</v>
      </c>
      <c r="B15" s="132" t="s">
        <v>628</v>
      </c>
      <c r="C15" s="133">
        <v>70769.759999999995</v>
      </c>
      <c r="D15" s="211" t="s">
        <v>688</v>
      </c>
      <c r="E15" s="133">
        <f>17164.32+53605.44</f>
        <v>70769.760000000009</v>
      </c>
      <c r="F15" s="135">
        <f t="shared" si="0"/>
        <v>0</v>
      </c>
      <c r="I15" s="45">
        <f>11950.5+7236+18383</f>
        <v>37569.5</v>
      </c>
      <c r="J15" s="132" t="s">
        <v>626</v>
      </c>
      <c r="K15" s="133">
        <v>37579.64</v>
      </c>
      <c r="L15" s="168"/>
      <c r="M15" s="160" t="s">
        <v>154</v>
      </c>
      <c r="N15" s="161">
        <v>1112</v>
      </c>
      <c r="O15" s="162">
        <v>42884</v>
      </c>
      <c r="S15" s="45"/>
      <c r="T15" s="469"/>
      <c r="U15" s="339"/>
      <c r="V15" s="168"/>
      <c r="W15" s="160">
        <v>3718361</v>
      </c>
      <c r="X15" s="161">
        <v>29191.5</v>
      </c>
      <c r="Y15" s="162">
        <v>42909</v>
      </c>
    </row>
    <row r="16" spans="1:25" ht="15.75" x14ac:dyDescent="0.25">
      <c r="A16" s="131">
        <v>42896</v>
      </c>
      <c r="B16" s="132" t="s">
        <v>630</v>
      </c>
      <c r="C16" s="133">
        <v>53708.18</v>
      </c>
      <c r="D16" s="128">
        <v>42909</v>
      </c>
      <c r="E16" s="133">
        <v>53708.18</v>
      </c>
      <c r="F16" s="135">
        <f t="shared" si="0"/>
        <v>0</v>
      </c>
      <c r="I16" s="45">
        <f>15244+34212.5</f>
        <v>49456.5</v>
      </c>
      <c r="J16" s="132" t="s">
        <v>627</v>
      </c>
      <c r="K16" s="133">
        <v>49456.28</v>
      </c>
      <c r="L16" s="197"/>
      <c r="M16" s="198" t="s">
        <v>154</v>
      </c>
      <c r="N16" s="148">
        <v>3190</v>
      </c>
      <c r="O16" s="167">
        <v>42887</v>
      </c>
      <c r="S16" s="45"/>
      <c r="T16" s="291"/>
      <c r="U16" s="178"/>
      <c r="V16" s="197"/>
      <c r="W16" s="198">
        <v>37183692</v>
      </c>
      <c r="X16" s="148">
        <v>40000</v>
      </c>
      <c r="Y16" s="167">
        <v>42910</v>
      </c>
    </row>
    <row r="17" spans="1:25" ht="15.75" x14ac:dyDescent="0.25">
      <c r="A17" s="131">
        <v>42897</v>
      </c>
      <c r="B17" s="132" t="s">
        <v>629</v>
      </c>
      <c r="C17" s="133">
        <v>19807.900000000001</v>
      </c>
      <c r="D17" s="128">
        <v>42909</v>
      </c>
      <c r="E17" s="133">
        <v>19807.900000000001</v>
      </c>
      <c r="F17" s="135">
        <f t="shared" si="0"/>
        <v>0</v>
      </c>
      <c r="I17" s="45">
        <v>10743</v>
      </c>
      <c r="J17" s="132" t="s">
        <v>628</v>
      </c>
      <c r="K17" s="133">
        <v>17164.32</v>
      </c>
      <c r="L17" s="344" t="s">
        <v>159</v>
      </c>
      <c r="M17" s="270">
        <v>3718034</v>
      </c>
      <c r="N17" s="148">
        <v>49383</v>
      </c>
      <c r="O17" s="167">
        <v>42891</v>
      </c>
      <c r="S17" s="45"/>
      <c r="T17" s="291"/>
      <c r="U17" s="340"/>
      <c r="V17" s="344"/>
      <c r="W17" s="270">
        <v>3718363</v>
      </c>
      <c r="X17" s="148">
        <v>29725</v>
      </c>
      <c r="Y17" s="167">
        <v>42910</v>
      </c>
    </row>
    <row r="18" spans="1:25" ht="15.75" x14ac:dyDescent="0.25">
      <c r="A18" s="131">
        <v>42898</v>
      </c>
      <c r="B18" s="132" t="s">
        <v>658</v>
      </c>
      <c r="C18" s="133">
        <v>4754.0200000000004</v>
      </c>
      <c r="D18" s="128">
        <v>42909</v>
      </c>
      <c r="E18" s="133">
        <v>4754.0200000000004</v>
      </c>
      <c r="F18" s="135">
        <f t="shared" si="0"/>
        <v>0</v>
      </c>
      <c r="I18" s="45"/>
      <c r="J18" s="132"/>
      <c r="K18" s="133"/>
      <c r="L18" s="344"/>
      <c r="M18" s="270" t="s">
        <v>154</v>
      </c>
      <c r="N18" s="148">
        <v>15000</v>
      </c>
      <c r="O18" s="167">
        <v>42892</v>
      </c>
      <c r="S18" s="45"/>
      <c r="T18" s="291"/>
      <c r="U18" s="178"/>
      <c r="V18" s="344"/>
      <c r="W18" s="270">
        <v>3718364</v>
      </c>
      <c r="X18" s="148">
        <v>40000</v>
      </c>
      <c r="Y18" s="167">
        <v>42911</v>
      </c>
    </row>
    <row r="19" spans="1:25" ht="15.75" x14ac:dyDescent="0.25">
      <c r="A19" s="131">
        <v>42900</v>
      </c>
      <c r="B19" s="365" t="s">
        <v>659</v>
      </c>
      <c r="C19" s="364">
        <v>35588.720000000001</v>
      </c>
      <c r="D19" s="128">
        <v>42909</v>
      </c>
      <c r="E19" s="364">
        <v>35588.720000000001</v>
      </c>
      <c r="F19" s="135">
        <f t="shared" si="0"/>
        <v>0</v>
      </c>
      <c r="I19" s="179"/>
      <c r="J19" s="132"/>
      <c r="K19" s="133"/>
      <c r="L19" s="172"/>
      <c r="M19" s="198" t="s">
        <v>154</v>
      </c>
      <c r="N19" s="148">
        <v>3737.5</v>
      </c>
      <c r="O19" s="167">
        <v>42893</v>
      </c>
      <c r="S19" s="179"/>
      <c r="T19" s="467"/>
      <c r="U19" s="196"/>
      <c r="V19" s="172"/>
      <c r="W19" s="198">
        <v>3718365</v>
      </c>
      <c r="X19" s="148">
        <v>16678</v>
      </c>
      <c r="Y19" s="167">
        <v>42911</v>
      </c>
    </row>
    <row r="20" spans="1:25" ht="16.5" thickBot="1" x14ac:dyDescent="0.3">
      <c r="A20" s="131">
        <v>42901</v>
      </c>
      <c r="B20" s="132" t="s">
        <v>661</v>
      </c>
      <c r="C20" s="133">
        <v>127684.22</v>
      </c>
      <c r="D20" s="128">
        <v>42909</v>
      </c>
      <c r="E20" s="133">
        <v>127684.22</v>
      </c>
      <c r="F20" s="135">
        <f t="shared" si="0"/>
        <v>0</v>
      </c>
      <c r="I20" s="179"/>
      <c r="J20" s="132"/>
      <c r="K20" s="133"/>
      <c r="L20" s="172"/>
      <c r="M20" s="198" t="s">
        <v>154</v>
      </c>
      <c r="N20" s="148">
        <v>20000</v>
      </c>
      <c r="O20" s="167">
        <v>42893</v>
      </c>
      <c r="S20" s="179"/>
      <c r="T20" s="132"/>
      <c r="U20" s="133"/>
      <c r="V20" s="172"/>
      <c r="W20" s="198"/>
      <c r="X20" s="148">
        <v>0</v>
      </c>
      <c r="Y20" s="167"/>
    </row>
    <row r="21" spans="1:25" ht="16.5" thickBot="1" x14ac:dyDescent="0.3">
      <c r="A21" s="131">
        <v>42902</v>
      </c>
      <c r="B21" s="132" t="s">
        <v>662</v>
      </c>
      <c r="C21" s="133">
        <v>39316.83</v>
      </c>
      <c r="D21" s="128">
        <v>42909</v>
      </c>
      <c r="E21" s="133">
        <v>39316.83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 t="s">
        <v>154</v>
      </c>
      <c r="N21" s="148">
        <v>10127</v>
      </c>
      <c r="O21" s="167">
        <v>42894</v>
      </c>
      <c r="S21" s="273">
        <f>SUM(S1:S20)</f>
        <v>391019.00000000006</v>
      </c>
      <c r="T21" s="271"/>
      <c r="U21" s="275">
        <f>SUM(U2:U20)</f>
        <v>391019.00000000006</v>
      </c>
      <c r="V21" s="275"/>
      <c r="W21" s="275"/>
      <c r="X21" s="275">
        <f>SUM(X2:X20)</f>
        <v>391019</v>
      </c>
      <c r="Y21" s="272"/>
    </row>
    <row r="22" spans="1:25" ht="15.75" x14ac:dyDescent="0.25">
      <c r="A22" s="131">
        <v>42903</v>
      </c>
      <c r="B22" s="132" t="s">
        <v>663</v>
      </c>
      <c r="C22" s="133">
        <v>69872.240000000005</v>
      </c>
      <c r="D22" s="128">
        <v>42909</v>
      </c>
      <c r="E22" s="133">
        <v>69872.240000000005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 t="s">
        <v>154</v>
      </c>
      <c r="N22" s="148">
        <v>3500</v>
      </c>
      <c r="O22" s="167">
        <v>42893</v>
      </c>
    </row>
    <row r="23" spans="1:25" ht="15.75" x14ac:dyDescent="0.25">
      <c r="A23" s="131">
        <v>42902</v>
      </c>
      <c r="B23" s="132"/>
      <c r="C23" s="222">
        <v>1089</v>
      </c>
      <c r="D23" s="254" t="s">
        <v>677</v>
      </c>
      <c r="E23" s="222">
        <v>1089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 t="s">
        <v>154</v>
      </c>
      <c r="N23" s="148">
        <v>7236</v>
      </c>
      <c r="O23" s="167">
        <v>42891</v>
      </c>
    </row>
    <row r="24" spans="1:25" ht="15.75" x14ac:dyDescent="0.25">
      <c r="A24" s="131">
        <v>42905</v>
      </c>
      <c r="B24" s="132" t="s">
        <v>680</v>
      </c>
      <c r="C24" s="133">
        <v>44871.64</v>
      </c>
      <c r="D24" s="128">
        <v>42909</v>
      </c>
      <c r="E24" s="133">
        <v>44871.64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3718035</v>
      </c>
      <c r="N24" s="148">
        <v>27955.5</v>
      </c>
      <c r="O24" s="167">
        <v>42894</v>
      </c>
    </row>
    <row r="25" spans="1:25" ht="15.75" x14ac:dyDescent="0.25">
      <c r="A25" s="131">
        <v>42907</v>
      </c>
      <c r="B25" s="366" t="s">
        <v>681</v>
      </c>
      <c r="C25" s="339">
        <v>52471</v>
      </c>
      <c r="D25" s="211" t="s">
        <v>715</v>
      </c>
      <c r="E25" s="134">
        <f>2996.71+49474.29</f>
        <v>52471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 t="s">
        <v>154</v>
      </c>
      <c r="N25" s="148">
        <v>17000</v>
      </c>
      <c r="O25" s="167">
        <v>42894</v>
      </c>
    </row>
    <row r="26" spans="1:25" ht="16.5" thickBot="1" x14ac:dyDescent="0.3">
      <c r="A26" s="131">
        <v>42907</v>
      </c>
      <c r="B26" s="393" t="s">
        <v>689</v>
      </c>
      <c r="C26" s="133">
        <v>34152.5</v>
      </c>
      <c r="D26" s="128">
        <v>42915</v>
      </c>
      <c r="E26" s="133">
        <v>34152.5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5" ht="16.5" thickBot="1" x14ac:dyDescent="0.3">
      <c r="A27" s="131">
        <v>42908</v>
      </c>
      <c r="B27" s="132" t="s">
        <v>682</v>
      </c>
      <c r="C27" s="133">
        <v>33291.300000000003</v>
      </c>
      <c r="D27" s="128">
        <v>42915</v>
      </c>
      <c r="E27" s="133">
        <v>33291.300000000003</v>
      </c>
      <c r="F27" s="135">
        <f t="shared" si="0"/>
        <v>0</v>
      </c>
      <c r="I27" s="273">
        <f>SUM(I1:I26)</f>
        <v>496803.5</v>
      </c>
      <c r="J27" s="271"/>
      <c r="K27" s="275">
        <f>SUM(K2:K26)</f>
        <v>496803.50000000006</v>
      </c>
      <c r="L27" s="276"/>
      <c r="M27" s="276"/>
      <c r="N27" s="275">
        <f>SUM(N2:N26)</f>
        <v>496803.5</v>
      </c>
      <c r="O27" s="272"/>
    </row>
    <row r="28" spans="1:25" x14ac:dyDescent="0.25">
      <c r="A28" s="287">
        <v>42908</v>
      </c>
      <c r="B28" s="367" t="s">
        <v>683</v>
      </c>
      <c r="C28" s="133">
        <v>33021.449999999997</v>
      </c>
      <c r="D28" s="128">
        <v>42915</v>
      </c>
      <c r="E28" s="133">
        <v>33021.449999999997</v>
      </c>
      <c r="F28" s="289">
        <f t="shared" si="0"/>
        <v>0</v>
      </c>
    </row>
    <row r="29" spans="1:25" x14ac:dyDescent="0.25">
      <c r="A29" s="287">
        <v>42908</v>
      </c>
      <c r="B29" s="290" t="s">
        <v>684</v>
      </c>
      <c r="C29" s="133">
        <v>37049.21</v>
      </c>
      <c r="D29" s="128">
        <v>42915</v>
      </c>
      <c r="E29" s="133">
        <v>37049.21</v>
      </c>
      <c r="F29" s="289">
        <f t="shared" si="0"/>
        <v>0</v>
      </c>
    </row>
    <row r="30" spans="1:25" x14ac:dyDescent="0.25">
      <c r="A30" s="287">
        <v>42909</v>
      </c>
      <c r="B30" s="290" t="s">
        <v>690</v>
      </c>
      <c r="C30" s="133">
        <v>40402.980000000003</v>
      </c>
      <c r="D30" s="128">
        <v>42915</v>
      </c>
      <c r="E30" s="133">
        <v>40402.980000000003</v>
      </c>
      <c r="F30" s="289">
        <f t="shared" si="0"/>
        <v>0</v>
      </c>
    </row>
    <row r="31" spans="1:25" ht="16.5" thickBot="1" x14ac:dyDescent="0.3">
      <c r="A31" s="287">
        <v>42909</v>
      </c>
      <c r="B31" s="290" t="s">
        <v>691</v>
      </c>
      <c r="C31" s="133">
        <v>31712.400000000001</v>
      </c>
      <c r="D31" s="128">
        <v>42915</v>
      </c>
      <c r="E31" s="133">
        <v>31712.400000000001</v>
      </c>
      <c r="F31" s="289">
        <f t="shared" si="0"/>
        <v>0</v>
      </c>
      <c r="I31" s="45"/>
      <c r="J31" s="154"/>
      <c r="K31" s="361">
        <v>42909</v>
      </c>
      <c r="L31" s="216"/>
      <c r="M31" s="217" t="s">
        <v>141</v>
      </c>
      <c r="N31" s="111"/>
      <c r="O31" s="158"/>
    </row>
    <row r="32" spans="1:25" ht="16.5" thickTop="1" x14ac:dyDescent="0.25">
      <c r="A32" s="287">
        <v>42910</v>
      </c>
      <c r="B32" s="290" t="s">
        <v>692</v>
      </c>
      <c r="C32" s="133">
        <v>34778.199999999997</v>
      </c>
      <c r="D32" s="128">
        <v>42915</v>
      </c>
      <c r="E32" s="133">
        <v>34778.199999999997</v>
      </c>
      <c r="F32" s="289">
        <f t="shared" si="0"/>
        <v>0</v>
      </c>
      <c r="I32" s="45">
        <v>33195.5</v>
      </c>
      <c r="J32" s="132" t="s">
        <v>618</v>
      </c>
      <c r="K32" s="133">
        <v>33195.599999999999</v>
      </c>
      <c r="L32" s="214"/>
      <c r="M32" s="160">
        <v>3718036</v>
      </c>
      <c r="N32" s="161">
        <v>40836</v>
      </c>
      <c r="O32" s="162">
        <v>42895</v>
      </c>
    </row>
    <row r="33" spans="1:15" ht="15.75" x14ac:dyDescent="0.25">
      <c r="A33" s="287">
        <v>42910</v>
      </c>
      <c r="B33" s="290" t="s">
        <v>693</v>
      </c>
      <c r="C33" s="133">
        <v>2220</v>
      </c>
      <c r="D33" s="128">
        <v>42915</v>
      </c>
      <c r="E33" s="133">
        <v>2220</v>
      </c>
      <c r="F33" s="289">
        <f t="shared" si="0"/>
        <v>0</v>
      </c>
      <c r="I33" s="45">
        <f>40836+19191</f>
        <v>60027</v>
      </c>
      <c r="J33" s="132" t="s">
        <v>628</v>
      </c>
      <c r="K33" s="133">
        <v>53605.440000000002</v>
      </c>
      <c r="L33" s="159" t="s">
        <v>143</v>
      </c>
      <c r="M33" s="160">
        <v>3718037</v>
      </c>
      <c r="N33" s="161">
        <v>50000</v>
      </c>
      <c r="O33" s="162">
        <v>42896</v>
      </c>
    </row>
    <row r="34" spans="1:15" ht="15.75" x14ac:dyDescent="0.25">
      <c r="A34" s="287">
        <v>42911</v>
      </c>
      <c r="B34" s="469" t="s">
        <v>694</v>
      </c>
      <c r="C34" s="339">
        <v>17767.2</v>
      </c>
      <c r="D34" s="128">
        <v>42915</v>
      </c>
      <c r="E34" s="339">
        <v>17767.2</v>
      </c>
      <c r="F34" s="289">
        <f t="shared" si="0"/>
        <v>0</v>
      </c>
      <c r="I34" s="45">
        <f>44679+9029</f>
        <v>53708</v>
      </c>
      <c r="J34" s="132" t="s">
        <v>630</v>
      </c>
      <c r="K34" s="133">
        <v>53708.18</v>
      </c>
      <c r="L34" s="163"/>
      <c r="M34" s="160" t="s">
        <v>154</v>
      </c>
      <c r="N34" s="161">
        <v>13870</v>
      </c>
      <c r="O34" s="162">
        <v>42898</v>
      </c>
    </row>
    <row r="35" spans="1:15" ht="15.75" x14ac:dyDescent="0.25">
      <c r="A35" s="287">
        <v>42912</v>
      </c>
      <c r="B35" s="468" t="s">
        <v>695</v>
      </c>
      <c r="C35" s="178">
        <v>30876.12</v>
      </c>
      <c r="D35" s="128">
        <v>42915</v>
      </c>
      <c r="E35" s="178">
        <v>30876.12</v>
      </c>
      <c r="F35" s="289">
        <f t="shared" si="0"/>
        <v>0</v>
      </c>
      <c r="I35" s="45">
        <v>19808</v>
      </c>
      <c r="J35" s="132" t="s">
        <v>629</v>
      </c>
      <c r="K35" s="133">
        <v>19807.900000000001</v>
      </c>
      <c r="L35" s="164"/>
      <c r="M35" s="160">
        <v>3718038</v>
      </c>
      <c r="N35" s="161">
        <v>50000</v>
      </c>
      <c r="O35" s="162">
        <v>42897</v>
      </c>
    </row>
    <row r="36" spans="1:15" ht="15.75" x14ac:dyDescent="0.25">
      <c r="A36" s="287">
        <v>42912</v>
      </c>
      <c r="B36" s="468" t="s">
        <v>696</v>
      </c>
      <c r="C36" s="178">
        <v>34184.160000000003</v>
      </c>
      <c r="D36" s="128">
        <v>42915</v>
      </c>
      <c r="E36" s="178">
        <v>34184.160000000003</v>
      </c>
      <c r="F36" s="289">
        <f t="shared" si="0"/>
        <v>0</v>
      </c>
      <c r="I36" s="45">
        <v>4754</v>
      </c>
      <c r="J36" s="132" t="s">
        <v>658</v>
      </c>
      <c r="K36" s="133">
        <v>4754.0200000000004</v>
      </c>
      <c r="L36" s="277"/>
      <c r="M36" s="160">
        <v>3718039</v>
      </c>
      <c r="N36" s="161">
        <v>21333</v>
      </c>
      <c r="O36" s="162">
        <v>42897</v>
      </c>
    </row>
    <row r="37" spans="1:15" ht="15.75" x14ac:dyDescent="0.25">
      <c r="A37" s="287">
        <v>42913</v>
      </c>
      <c r="B37" s="468" t="s">
        <v>697</v>
      </c>
      <c r="C37" s="178">
        <v>39432.199999999997</v>
      </c>
      <c r="D37" s="137" t="s">
        <v>741</v>
      </c>
      <c r="E37" s="464">
        <f>12089.19+27343.01</f>
        <v>39432.199999999997</v>
      </c>
      <c r="F37" s="289">
        <f t="shared" si="0"/>
        <v>0</v>
      </c>
      <c r="I37" s="45">
        <f>9300.5+26288</f>
        <v>35588.5</v>
      </c>
      <c r="J37" s="365" t="s">
        <v>659</v>
      </c>
      <c r="K37" s="364">
        <v>35588.720000000001</v>
      </c>
      <c r="L37" s="163"/>
      <c r="M37" s="160">
        <v>3718040</v>
      </c>
      <c r="N37" s="161">
        <v>35832.5</v>
      </c>
      <c r="O37" s="162">
        <v>42898</v>
      </c>
    </row>
    <row r="38" spans="1:15" ht="15.75" x14ac:dyDescent="0.25">
      <c r="A38" s="287">
        <v>42904</v>
      </c>
      <c r="B38" s="290" t="s">
        <v>700</v>
      </c>
      <c r="C38" s="133">
        <v>311</v>
      </c>
      <c r="D38" s="128" t="s">
        <v>701</v>
      </c>
      <c r="E38" s="133">
        <v>311</v>
      </c>
      <c r="F38" s="289">
        <f t="shared" si="0"/>
        <v>0</v>
      </c>
      <c r="I38" s="45">
        <f>4790.5+2037+11837+34242+45991.5+28786</f>
        <v>127684</v>
      </c>
      <c r="J38" s="132" t="s">
        <v>661</v>
      </c>
      <c r="K38" s="133">
        <v>127684.22</v>
      </c>
      <c r="L38" s="165"/>
      <c r="M38" s="160">
        <v>3718041</v>
      </c>
      <c r="N38" s="166">
        <v>11837</v>
      </c>
      <c r="O38" s="167">
        <v>42899</v>
      </c>
    </row>
    <row r="39" spans="1:15" ht="15.75" x14ac:dyDescent="0.25">
      <c r="A39" s="287">
        <v>42914</v>
      </c>
      <c r="B39" s="467" t="s">
        <v>716</v>
      </c>
      <c r="C39" s="133">
        <v>40971.08</v>
      </c>
      <c r="D39" s="137">
        <v>42931</v>
      </c>
      <c r="E39" s="464">
        <v>40971.08</v>
      </c>
      <c r="F39" s="289">
        <f t="shared" si="0"/>
        <v>0</v>
      </c>
      <c r="I39" s="45">
        <f>28295+480+10542</f>
        <v>39317</v>
      </c>
      <c r="J39" s="132" t="s">
        <v>662</v>
      </c>
      <c r="K39" s="133">
        <v>39316.83</v>
      </c>
      <c r="L39" s="163"/>
      <c r="M39" s="160" t="s">
        <v>158</v>
      </c>
      <c r="N39" s="148">
        <v>2037</v>
      </c>
      <c r="O39" s="167">
        <v>42895</v>
      </c>
    </row>
    <row r="40" spans="1:15" ht="15.75" x14ac:dyDescent="0.25">
      <c r="A40" s="287">
        <v>42915</v>
      </c>
      <c r="B40" s="467" t="s">
        <v>717</v>
      </c>
      <c r="C40" s="127">
        <v>98686.66</v>
      </c>
      <c r="D40" s="137">
        <v>42931</v>
      </c>
      <c r="E40" s="473">
        <v>98686.66</v>
      </c>
      <c r="F40" s="289">
        <f t="shared" si="0"/>
        <v>0</v>
      </c>
      <c r="I40" s="45">
        <f>51274+17370.5+1227.5</f>
        <v>69872</v>
      </c>
      <c r="J40" s="132" t="s">
        <v>663</v>
      </c>
      <c r="K40" s="133">
        <v>69872.240000000005</v>
      </c>
      <c r="L40" s="168"/>
      <c r="M40" s="160">
        <v>3718042</v>
      </c>
      <c r="N40" s="161">
        <v>34242</v>
      </c>
      <c r="O40" s="162">
        <v>42900</v>
      </c>
    </row>
    <row r="41" spans="1:15" ht="15.75" x14ac:dyDescent="0.25">
      <c r="A41" s="287">
        <v>42915</v>
      </c>
      <c r="B41" s="467" t="s">
        <v>718</v>
      </c>
      <c r="C41" s="133">
        <v>515</v>
      </c>
      <c r="D41" s="137">
        <v>42931</v>
      </c>
      <c r="E41" s="389">
        <v>515</v>
      </c>
      <c r="F41" s="289">
        <f t="shared" si="0"/>
        <v>0</v>
      </c>
      <c r="I41" s="45">
        <v>41447.5</v>
      </c>
      <c r="J41" s="132" t="s">
        <v>680</v>
      </c>
      <c r="K41" s="133">
        <v>44871.64</v>
      </c>
      <c r="L41" s="168"/>
      <c r="M41" s="160">
        <v>3713043</v>
      </c>
      <c r="N41" s="161">
        <v>25000</v>
      </c>
      <c r="O41" s="162">
        <v>42901</v>
      </c>
    </row>
    <row r="42" spans="1:15" ht="15.75" x14ac:dyDescent="0.25">
      <c r="A42" s="287">
        <v>42916</v>
      </c>
      <c r="B42" s="467" t="s">
        <v>719</v>
      </c>
      <c r="C42" s="196">
        <v>1585.2</v>
      </c>
      <c r="D42" s="137">
        <v>42931</v>
      </c>
      <c r="E42" s="347">
        <v>1585.2</v>
      </c>
      <c r="F42" s="289">
        <f t="shared" si="0"/>
        <v>0</v>
      </c>
      <c r="I42" s="45"/>
      <c r="J42" s="366" t="s">
        <v>681</v>
      </c>
      <c r="K42" s="339">
        <v>2996.71</v>
      </c>
      <c r="L42" s="168" t="s">
        <v>159</v>
      </c>
      <c r="M42" s="160">
        <v>3718044</v>
      </c>
      <c r="N42" s="161">
        <v>20991.5</v>
      </c>
      <c r="O42" s="162">
        <v>42901</v>
      </c>
    </row>
    <row r="43" spans="1:15" ht="15.75" x14ac:dyDescent="0.25">
      <c r="A43" s="287">
        <v>42916</v>
      </c>
      <c r="B43" s="291" t="s">
        <v>720</v>
      </c>
      <c r="C43" s="139" t="s">
        <v>88</v>
      </c>
      <c r="D43" s="137">
        <v>42931</v>
      </c>
      <c r="E43" s="347">
        <v>44907</v>
      </c>
      <c r="F43" s="166" t="e">
        <f t="shared" si="0"/>
        <v>#VALUE!</v>
      </c>
      <c r="I43" s="45"/>
      <c r="J43" s="132"/>
      <c r="K43" s="133"/>
      <c r="L43" s="168"/>
      <c r="M43" s="160">
        <v>3718045</v>
      </c>
      <c r="N43" s="161">
        <v>30000</v>
      </c>
      <c r="O43" s="162">
        <v>42902</v>
      </c>
    </row>
    <row r="44" spans="1:15" ht="15.75" x14ac:dyDescent="0.25">
      <c r="A44" s="287"/>
      <c r="B44" s="298"/>
      <c r="C44" s="139"/>
      <c r="D44" s="137"/>
      <c r="E44" s="347"/>
      <c r="F44" s="166">
        <f t="shared" si="0"/>
        <v>0</v>
      </c>
      <c r="I44" s="45"/>
      <c r="J44" s="132"/>
      <c r="K44" s="133"/>
      <c r="L44" s="168"/>
      <c r="M44" s="160">
        <v>3718046</v>
      </c>
      <c r="N44" s="161">
        <v>27081</v>
      </c>
      <c r="O44" s="162">
        <v>42902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>
        <v>3718047</v>
      </c>
      <c r="N45" s="161">
        <v>40000</v>
      </c>
      <c r="O45" s="162">
        <v>42903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3718048</v>
      </c>
      <c r="N46" s="148">
        <v>22000</v>
      </c>
      <c r="O46" s="167">
        <v>42903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296</v>
      </c>
      <c r="O47" s="167">
        <v>42905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3718351</v>
      </c>
      <c r="N48" s="148">
        <v>13818</v>
      </c>
      <c r="O48" s="167">
        <v>42904</v>
      </c>
    </row>
    <row r="49" spans="1:15" ht="16.5" thickBot="1" x14ac:dyDescent="0.3">
      <c r="A49" s="271"/>
      <c r="B49" s="335"/>
      <c r="C49" s="336">
        <f>SUM(C3:C48)</f>
        <v>1443667.2299999997</v>
      </c>
      <c r="D49" s="335"/>
      <c r="E49" s="275">
        <f>SUM(E3:E48)</f>
        <v>1488574.2299999997</v>
      </c>
      <c r="F49" s="337" t="e">
        <f>SUM(F3:F48)</f>
        <v>#VALUE!</v>
      </c>
      <c r="I49" s="179"/>
      <c r="J49" s="132"/>
      <c r="K49" s="133"/>
      <c r="L49" s="172"/>
      <c r="M49" s="198">
        <v>3718049</v>
      </c>
      <c r="N49" s="148">
        <v>45000</v>
      </c>
      <c r="O49" s="167">
        <v>42904</v>
      </c>
    </row>
    <row r="50" spans="1:15" ht="16.5" thickBot="1" x14ac:dyDescent="0.3">
      <c r="I50" s="179"/>
      <c r="J50" s="132"/>
      <c r="K50" s="133"/>
      <c r="L50" s="172"/>
      <c r="M50" s="198" t="s">
        <v>154</v>
      </c>
      <c r="N50" s="148">
        <v>1227.5</v>
      </c>
      <c r="O50" s="167">
        <v>42898</v>
      </c>
    </row>
    <row r="51" spans="1:15" ht="16.5" thickBot="1" x14ac:dyDescent="0.3">
      <c r="I51" s="273">
        <f>SUM(I31:I50)</f>
        <v>485401.5</v>
      </c>
      <c r="J51" s="271"/>
      <c r="K51" s="275">
        <f>SUM(K32:K50)</f>
        <v>485401.5</v>
      </c>
      <c r="L51" s="276"/>
      <c r="M51" s="276"/>
      <c r="N51" s="275">
        <f>SUM(N32:N50)</f>
        <v>485401.5</v>
      </c>
      <c r="O51" s="272"/>
    </row>
  </sheetData>
  <sortState ref="A26:C42">
    <sortCondition ref="B26:B42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N68"/>
  <sheetViews>
    <sheetView topLeftCell="A25" workbookViewId="0">
      <selection activeCell="D30" sqref="D30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25" t="s">
        <v>721</v>
      </c>
      <c r="C1" s="525"/>
      <c r="D1" s="525"/>
      <c r="E1" s="525"/>
      <c r="F1" s="525"/>
      <c r="G1" s="525"/>
      <c r="H1" s="525"/>
      <c r="I1" s="525"/>
      <c r="J1" s="525"/>
      <c r="L1" s="2" t="s">
        <v>1</v>
      </c>
      <c r="M1" s="3"/>
    </row>
    <row r="2" spans="1:14" ht="15.75" thickBot="1" x14ac:dyDescent="0.3">
      <c r="A2" s="1"/>
      <c r="B2" s="5"/>
      <c r="D2" s="472"/>
      <c r="E2" s="8"/>
      <c r="L2" s="9"/>
      <c r="M2" s="3"/>
    </row>
    <row r="3" spans="1:14" ht="19.5" thickBot="1" x14ac:dyDescent="0.35">
      <c r="A3" s="512" t="s">
        <v>3</v>
      </c>
      <c r="B3" s="10" t="s">
        <v>4</v>
      </c>
      <c r="C3" s="11"/>
      <c r="D3" s="526" t="s">
        <v>2</v>
      </c>
      <c r="E3" s="526"/>
      <c r="F3" s="526"/>
      <c r="G3" s="527">
        <v>2000</v>
      </c>
      <c r="H3" s="527"/>
      <c r="I3" s="5"/>
      <c r="L3" s="9"/>
      <c r="M3" s="3"/>
    </row>
    <row r="4" spans="1:14" ht="20.25" thickTop="1" thickBot="1" x14ac:dyDescent="0.35">
      <c r="A4" s="513"/>
      <c r="B4" s="13">
        <v>59609</v>
      </c>
      <c r="C4" s="14"/>
      <c r="D4" s="530" t="s">
        <v>8</v>
      </c>
      <c r="E4" s="531"/>
      <c r="H4" s="532" t="s">
        <v>9</v>
      </c>
      <c r="I4" s="533"/>
      <c r="J4" s="533"/>
      <c r="K4" s="533"/>
      <c r="L4" s="15" t="s">
        <v>10</v>
      </c>
      <c r="M4" s="16" t="s">
        <v>11</v>
      </c>
    </row>
    <row r="5" spans="1:14" ht="16.5" thickTop="1" thickBot="1" x14ac:dyDescent="0.3">
      <c r="A5" s="412">
        <v>42917</v>
      </c>
      <c r="B5" s="413">
        <v>85577</v>
      </c>
      <c r="C5" s="20" t="s">
        <v>753</v>
      </c>
      <c r="D5" s="433">
        <v>42917</v>
      </c>
      <c r="E5" s="434">
        <v>87971</v>
      </c>
      <c r="F5" s="23"/>
      <c r="G5" s="24">
        <v>42917</v>
      </c>
      <c r="H5" s="439">
        <v>0</v>
      </c>
      <c r="I5" s="26"/>
      <c r="J5" s="451"/>
      <c r="K5" s="451"/>
      <c r="L5" s="442" t="s">
        <v>752</v>
      </c>
      <c r="M5" s="29"/>
      <c r="N5" s="30"/>
    </row>
    <row r="6" spans="1:14" ht="15.75" thickBot="1" x14ac:dyDescent="0.3">
      <c r="A6" s="414">
        <v>42918</v>
      </c>
      <c r="B6" s="415">
        <v>67145</v>
      </c>
      <c r="C6" s="20" t="s">
        <v>754</v>
      </c>
      <c r="D6" s="435">
        <v>42918</v>
      </c>
      <c r="E6" s="436">
        <v>67145</v>
      </c>
      <c r="F6" s="36"/>
      <c r="G6" s="24">
        <v>42918</v>
      </c>
      <c r="H6" s="440">
        <v>0</v>
      </c>
      <c r="I6" s="38"/>
      <c r="J6" s="106" t="s">
        <v>15</v>
      </c>
      <c r="K6" s="452">
        <v>549</v>
      </c>
      <c r="L6" s="443" t="s">
        <v>760</v>
      </c>
      <c r="M6" s="29"/>
      <c r="N6" s="30"/>
    </row>
    <row r="7" spans="1:14" ht="15.75" thickBot="1" x14ac:dyDescent="0.3">
      <c r="A7" s="414">
        <v>42919</v>
      </c>
      <c r="B7" s="415">
        <v>29140</v>
      </c>
      <c r="C7" s="20" t="s">
        <v>762</v>
      </c>
      <c r="D7" s="435">
        <v>42919</v>
      </c>
      <c r="E7" s="436">
        <v>32509</v>
      </c>
      <c r="F7" s="23"/>
      <c r="G7" s="24">
        <v>42919</v>
      </c>
      <c r="H7" s="440">
        <v>30</v>
      </c>
      <c r="I7" s="38"/>
      <c r="J7" s="459" t="s">
        <v>18</v>
      </c>
      <c r="K7" s="453">
        <v>19730</v>
      </c>
      <c r="L7" s="443" t="s">
        <v>761</v>
      </c>
      <c r="M7" s="29"/>
      <c r="N7" s="45"/>
    </row>
    <row r="8" spans="1:14" ht="15.75" thickBot="1" x14ac:dyDescent="0.3">
      <c r="A8" s="414">
        <v>42920</v>
      </c>
      <c r="B8" s="415">
        <v>22198</v>
      </c>
      <c r="C8" s="48" t="s">
        <v>762</v>
      </c>
      <c r="D8" s="435">
        <v>42920</v>
      </c>
      <c r="E8" s="436">
        <v>23068</v>
      </c>
      <c r="F8" s="23"/>
      <c r="G8" s="24">
        <v>42920</v>
      </c>
      <c r="H8" s="440">
        <v>0</v>
      </c>
      <c r="I8" s="38"/>
      <c r="J8" s="106" t="s">
        <v>22</v>
      </c>
      <c r="K8" s="454">
        <f>7187.5+7187.5+7187.5+7187.5</f>
        <v>28750</v>
      </c>
      <c r="L8" s="444" t="s">
        <v>763</v>
      </c>
      <c r="M8" s="29"/>
      <c r="N8" s="45"/>
    </row>
    <row r="9" spans="1:14" ht="15.75" thickBot="1" x14ac:dyDescent="0.3">
      <c r="A9" s="414">
        <v>42921</v>
      </c>
      <c r="B9" s="415">
        <v>40694.5</v>
      </c>
      <c r="C9" s="50" t="s">
        <v>762</v>
      </c>
      <c r="D9" s="435">
        <v>42921</v>
      </c>
      <c r="E9" s="436">
        <v>41378</v>
      </c>
      <c r="F9" s="23"/>
      <c r="G9" s="24">
        <v>42921</v>
      </c>
      <c r="H9" s="440">
        <v>0</v>
      </c>
      <c r="I9" s="38" t="s">
        <v>794</v>
      </c>
      <c r="J9" s="106" t="s">
        <v>723</v>
      </c>
      <c r="K9" s="191">
        <v>7737.45</v>
      </c>
      <c r="L9" s="444" t="s">
        <v>88</v>
      </c>
      <c r="M9" s="29"/>
      <c r="N9" s="30"/>
    </row>
    <row r="10" spans="1:14" ht="15.75" thickBot="1" x14ac:dyDescent="0.3">
      <c r="A10" s="414">
        <v>42922</v>
      </c>
      <c r="B10" s="415">
        <v>49870</v>
      </c>
      <c r="C10" s="48" t="s">
        <v>765</v>
      </c>
      <c r="D10" s="435">
        <v>42922</v>
      </c>
      <c r="E10" s="436">
        <v>53551.5</v>
      </c>
      <c r="F10" s="23"/>
      <c r="G10" s="24">
        <v>42922</v>
      </c>
      <c r="H10" s="440">
        <v>0</v>
      </c>
      <c r="I10" s="51" t="s">
        <v>789</v>
      </c>
      <c r="J10" s="106" t="s">
        <v>724</v>
      </c>
      <c r="K10" s="191">
        <v>8234.57</v>
      </c>
      <c r="L10" s="443" t="s">
        <v>764</v>
      </c>
      <c r="M10" s="29"/>
      <c r="N10" s="45"/>
    </row>
    <row r="11" spans="1:14" ht="15.75" thickBot="1" x14ac:dyDescent="0.3">
      <c r="A11" s="414">
        <v>42923</v>
      </c>
      <c r="B11" s="415">
        <v>56539</v>
      </c>
      <c r="C11" s="48" t="s">
        <v>767</v>
      </c>
      <c r="D11" s="435">
        <v>42923</v>
      </c>
      <c r="E11" s="436">
        <v>56539</v>
      </c>
      <c r="F11" s="23"/>
      <c r="G11" s="24">
        <v>42923</v>
      </c>
      <c r="H11" s="440">
        <v>0</v>
      </c>
      <c r="I11" s="51" t="s">
        <v>814</v>
      </c>
      <c r="J11" s="106" t="s">
        <v>725</v>
      </c>
      <c r="K11" s="191">
        <v>8463.15</v>
      </c>
      <c r="L11" s="443" t="s">
        <v>766</v>
      </c>
      <c r="M11" s="29"/>
      <c r="N11" s="30"/>
    </row>
    <row r="12" spans="1:14" ht="15.75" thickBot="1" x14ac:dyDescent="0.3">
      <c r="A12" s="414">
        <v>42924</v>
      </c>
      <c r="B12" s="415">
        <v>0</v>
      </c>
      <c r="C12" s="48"/>
      <c r="D12" s="435">
        <v>42924</v>
      </c>
      <c r="E12" s="436">
        <v>52856</v>
      </c>
      <c r="F12" s="23"/>
      <c r="G12" s="24">
        <v>42924</v>
      </c>
      <c r="H12" s="440">
        <v>0</v>
      </c>
      <c r="I12" s="38" t="s">
        <v>853</v>
      </c>
      <c r="J12" s="106" t="s">
        <v>793</v>
      </c>
      <c r="K12" s="191">
        <v>6129.81</v>
      </c>
      <c r="L12" s="443" t="s">
        <v>768</v>
      </c>
      <c r="M12" s="29"/>
      <c r="N12" s="30"/>
    </row>
    <row r="13" spans="1:14" ht="15.75" thickBot="1" x14ac:dyDescent="0.3">
      <c r="A13" s="414">
        <v>42925</v>
      </c>
      <c r="B13" s="415">
        <v>0</v>
      </c>
      <c r="C13" s="48"/>
      <c r="D13" s="435">
        <v>42925</v>
      </c>
      <c r="E13" s="436">
        <v>39761</v>
      </c>
      <c r="F13" s="23"/>
      <c r="G13" s="24">
        <v>42925</v>
      </c>
      <c r="H13" s="440">
        <v>10</v>
      </c>
      <c r="I13" s="38"/>
      <c r="J13" s="368"/>
      <c r="K13" s="452">
        <v>0</v>
      </c>
      <c r="L13" s="443" t="s">
        <v>773</v>
      </c>
      <c r="M13" s="29"/>
      <c r="N13" s="45"/>
    </row>
    <row r="14" spans="1:14" ht="15.75" thickBot="1" x14ac:dyDescent="0.3">
      <c r="A14" s="414">
        <v>42926</v>
      </c>
      <c r="B14" s="415">
        <v>58900</v>
      </c>
      <c r="C14" s="50" t="s">
        <v>771</v>
      </c>
      <c r="D14" s="435">
        <v>42926</v>
      </c>
      <c r="E14" s="436">
        <v>50091.5</v>
      </c>
      <c r="F14" s="23"/>
      <c r="G14" s="24">
        <v>42926</v>
      </c>
      <c r="H14" s="440">
        <v>10</v>
      </c>
      <c r="I14" s="38"/>
      <c r="J14" s="460"/>
      <c r="K14" s="452">
        <v>0</v>
      </c>
      <c r="L14" s="443" t="s">
        <v>772</v>
      </c>
      <c r="M14" s="29"/>
      <c r="N14" s="45"/>
    </row>
    <row r="15" spans="1:14" ht="15.75" thickBot="1" x14ac:dyDescent="0.3">
      <c r="A15" s="414">
        <v>42927</v>
      </c>
      <c r="B15" s="415">
        <v>37403</v>
      </c>
      <c r="C15" s="50" t="s">
        <v>774</v>
      </c>
      <c r="D15" s="435">
        <v>42927</v>
      </c>
      <c r="E15" s="436">
        <v>37436</v>
      </c>
      <c r="F15" s="23"/>
      <c r="G15" s="24">
        <v>42927</v>
      </c>
      <c r="H15" s="440">
        <v>33</v>
      </c>
      <c r="I15" s="38"/>
      <c r="J15" s="482" t="s">
        <v>44</v>
      </c>
      <c r="K15" s="452">
        <v>7000</v>
      </c>
      <c r="L15" s="443" t="s">
        <v>775</v>
      </c>
      <c r="M15" s="456"/>
      <c r="N15" s="45"/>
    </row>
    <row r="16" spans="1:14" ht="15.75" thickBot="1" x14ac:dyDescent="0.3">
      <c r="A16" s="414">
        <v>42928</v>
      </c>
      <c r="B16" s="415">
        <v>36536</v>
      </c>
      <c r="C16" s="50" t="s">
        <v>777</v>
      </c>
      <c r="D16" s="435">
        <v>42928</v>
      </c>
      <c r="E16" s="436">
        <v>42593</v>
      </c>
      <c r="F16" s="23"/>
      <c r="G16" s="24">
        <v>42928</v>
      </c>
      <c r="H16" s="440">
        <v>0</v>
      </c>
      <c r="I16" s="38"/>
      <c r="J16" s="54" t="s">
        <v>815</v>
      </c>
      <c r="K16" s="455">
        <v>0</v>
      </c>
      <c r="L16" s="479" t="s">
        <v>776</v>
      </c>
      <c r="M16" s="29"/>
      <c r="N16" s="45"/>
    </row>
    <row r="17" spans="1:14" ht="15.75" thickBot="1" x14ac:dyDescent="0.3">
      <c r="A17" s="414">
        <v>42929</v>
      </c>
      <c r="B17" s="415">
        <v>39848</v>
      </c>
      <c r="C17" s="50" t="s">
        <v>784</v>
      </c>
      <c r="D17" s="435">
        <v>42929</v>
      </c>
      <c r="E17" s="436">
        <v>39858</v>
      </c>
      <c r="F17" s="23"/>
      <c r="G17" s="24">
        <v>42929</v>
      </c>
      <c r="H17" s="440">
        <v>10</v>
      </c>
      <c r="I17" s="38"/>
      <c r="J17" s="522" t="s">
        <v>49</v>
      </c>
      <c r="K17" s="455">
        <v>0</v>
      </c>
      <c r="L17" s="443" t="s">
        <v>783</v>
      </c>
      <c r="M17" s="29"/>
      <c r="N17" s="45"/>
    </row>
    <row r="18" spans="1:14" ht="15.75" thickBot="1" x14ac:dyDescent="0.3">
      <c r="A18" s="414">
        <v>42930</v>
      </c>
      <c r="B18" s="415">
        <v>67479</v>
      </c>
      <c r="C18" s="48" t="s">
        <v>786</v>
      </c>
      <c r="D18" s="435">
        <v>42930</v>
      </c>
      <c r="E18" s="436">
        <v>67479</v>
      </c>
      <c r="F18" s="23"/>
      <c r="G18" s="24">
        <v>42930</v>
      </c>
      <c r="H18" s="440">
        <v>0</v>
      </c>
      <c r="I18" s="56"/>
      <c r="J18" s="522"/>
      <c r="K18" s="456">
        <v>0</v>
      </c>
      <c r="L18" s="445" t="s">
        <v>785</v>
      </c>
      <c r="M18" s="29"/>
      <c r="N18" s="45"/>
    </row>
    <row r="19" spans="1:14" ht="15.75" thickBot="1" x14ac:dyDescent="0.3">
      <c r="A19" s="414">
        <v>42931</v>
      </c>
      <c r="B19" s="415">
        <v>63122.5</v>
      </c>
      <c r="C19" s="50" t="s">
        <v>788</v>
      </c>
      <c r="D19" s="435">
        <v>42931</v>
      </c>
      <c r="E19" s="436">
        <v>63132.5</v>
      </c>
      <c r="F19" s="23"/>
      <c r="G19" s="24">
        <v>42931</v>
      </c>
      <c r="H19" s="440">
        <v>10</v>
      </c>
      <c r="I19" s="38"/>
      <c r="J19" s="368" t="s">
        <v>54</v>
      </c>
      <c r="K19" s="456">
        <v>0</v>
      </c>
      <c r="L19" s="445" t="s">
        <v>787</v>
      </c>
      <c r="M19" s="29"/>
      <c r="N19" s="45"/>
    </row>
    <row r="20" spans="1:14" ht="15.75" thickBot="1" x14ac:dyDescent="0.3">
      <c r="A20" s="414">
        <v>42932</v>
      </c>
      <c r="B20" s="415">
        <v>54472</v>
      </c>
      <c r="C20" s="57" t="s">
        <v>791</v>
      </c>
      <c r="D20" s="435">
        <v>42932</v>
      </c>
      <c r="E20" s="436">
        <v>54472</v>
      </c>
      <c r="F20" s="23"/>
      <c r="G20" s="24">
        <v>42932</v>
      </c>
      <c r="H20" s="440">
        <v>0</v>
      </c>
      <c r="I20" s="58"/>
      <c r="J20" s="59" t="s">
        <v>57</v>
      </c>
      <c r="K20" s="109">
        <v>0</v>
      </c>
      <c r="L20" s="443" t="s">
        <v>790</v>
      </c>
      <c r="M20" s="29"/>
      <c r="N20" s="45"/>
    </row>
    <row r="21" spans="1:14" ht="15.75" thickBot="1" x14ac:dyDescent="0.3">
      <c r="A21" s="414">
        <v>42933</v>
      </c>
      <c r="B21" s="415">
        <v>51452</v>
      </c>
      <c r="C21" s="57" t="s">
        <v>796</v>
      </c>
      <c r="D21" s="435">
        <v>42933</v>
      </c>
      <c r="E21" s="436">
        <v>41040</v>
      </c>
      <c r="F21" s="23"/>
      <c r="G21" s="24">
        <v>42933</v>
      </c>
      <c r="H21" s="440">
        <v>10</v>
      </c>
      <c r="I21" s="450" t="s">
        <v>638</v>
      </c>
      <c r="J21" s="63"/>
      <c r="K21" s="109"/>
      <c r="L21" s="443" t="s">
        <v>795</v>
      </c>
      <c r="M21" s="29"/>
      <c r="N21" s="45"/>
    </row>
    <row r="22" spans="1:14" ht="15.75" thickBot="1" x14ac:dyDescent="0.3">
      <c r="A22" s="414">
        <v>42934</v>
      </c>
      <c r="B22" s="415">
        <v>25125.5</v>
      </c>
      <c r="C22" s="50" t="s">
        <v>798</v>
      </c>
      <c r="D22" s="435">
        <v>42934</v>
      </c>
      <c r="E22" s="436">
        <v>25125.5</v>
      </c>
      <c r="F22" s="23"/>
      <c r="G22" s="24">
        <v>42934</v>
      </c>
      <c r="H22" s="440">
        <v>0</v>
      </c>
      <c r="I22" s="58"/>
      <c r="J22" s="449"/>
      <c r="K22" s="109">
        <v>0</v>
      </c>
      <c r="L22" s="443" t="s">
        <v>797</v>
      </c>
      <c r="M22" s="29"/>
      <c r="N22" s="45"/>
    </row>
    <row r="23" spans="1:14" ht="15.75" thickBot="1" x14ac:dyDescent="0.3">
      <c r="A23" s="414">
        <v>42935</v>
      </c>
      <c r="B23" s="415">
        <v>24056.5</v>
      </c>
      <c r="C23" s="50" t="s">
        <v>800</v>
      </c>
      <c r="D23" s="435">
        <v>42935</v>
      </c>
      <c r="E23" s="436">
        <v>24089.5</v>
      </c>
      <c r="F23" s="23"/>
      <c r="G23" s="24">
        <v>42935</v>
      </c>
      <c r="H23" s="440">
        <v>33</v>
      </c>
      <c r="I23" s="38"/>
      <c r="J23" s="63"/>
      <c r="K23" s="109">
        <v>0</v>
      </c>
      <c r="L23" s="443" t="s">
        <v>799</v>
      </c>
      <c r="M23" s="29"/>
      <c r="N23" s="45"/>
    </row>
    <row r="24" spans="1:14" ht="15.75" thickBot="1" x14ac:dyDescent="0.3">
      <c r="A24" s="414">
        <v>42936</v>
      </c>
      <c r="B24" s="415">
        <v>48689</v>
      </c>
      <c r="C24" s="50" t="s">
        <v>809</v>
      </c>
      <c r="D24" s="435">
        <v>42936</v>
      </c>
      <c r="E24" s="436">
        <v>48689</v>
      </c>
      <c r="F24" s="23"/>
      <c r="G24" s="24">
        <v>42936</v>
      </c>
      <c r="H24" s="440">
        <v>0</v>
      </c>
      <c r="I24" s="38"/>
      <c r="J24" s="359" t="s">
        <v>66</v>
      </c>
      <c r="K24" s="109">
        <v>870</v>
      </c>
      <c r="L24" s="443" t="s">
        <v>810</v>
      </c>
      <c r="M24" s="29"/>
      <c r="N24" s="45"/>
    </row>
    <row r="25" spans="1:14" ht="15.75" thickBot="1" x14ac:dyDescent="0.3">
      <c r="A25" s="414">
        <v>42937</v>
      </c>
      <c r="B25" s="415">
        <v>57263.5</v>
      </c>
      <c r="C25" s="57" t="s">
        <v>812</v>
      </c>
      <c r="D25" s="435">
        <v>42937</v>
      </c>
      <c r="E25" s="436">
        <v>60941.5</v>
      </c>
      <c r="F25" s="23"/>
      <c r="G25" s="24">
        <v>42937</v>
      </c>
      <c r="H25" s="440">
        <v>0</v>
      </c>
      <c r="I25" s="38"/>
      <c r="J25" s="68">
        <v>42920</v>
      </c>
      <c r="K25" s="109">
        <v>0</v>
      </c>
      <c r="L25" s="443" t="s">
        <v>811</v>
      </c>
      <c r="M25" s="29"/>
      <c r="N25" s="45"/>
    </row>
    <row r="26" spans="1:14" ht="15.75" thickBot="1" x14ac:dyDescent="0.3">
      <c r="A26" s="414">
        <v>42938</v>
      </c>
      <c r="B26" s="415">
        <v>64253</v>
      </c>
      <c r="C26" s="50" t="s">
        <v>813</v>
      </c>
      <c r="D26" s="435">
        <v>42938</v>
      </c>
      <c r="E26" s="436">
        <v>65163</v>
      </c>
      <c r="F26" s="23"/>
      <c r="G26" s="24">
        <v>42938</v>
      </c>
      <c r="H26" s="440">
        <v>10</v>
      </c>
      <c r="I26" s="38"/>
      <c r="J26" s="360" t="s">
        <v>73</v>
      </c>
      <c r="K26" s="109">
        <v>900</v>
      </c>
      <c r="L26" s="443" t="s">
        <v>818</v>
      </c>
      <c r="M26" s="29"/>
      <c r="N26" s="45"/>
    </row>
    <row r="27" spans="1:14" ht="15.75" thickBot="1" x14ac:dyDescent="0.3">
      <c r="A27" s="414">
        <v>42939</v>
      </c>
      <c r="B27" s="415">
        <v>43855.5</v>
      </c>
      <c r="C27" s="50" t="s">
        <v>816</v>
      </c>
      <c r="D27" s="435">
        <v>42939</v>
      </c>
      <c r="E27" s="436">
        <v>50875.5</v>
      </c>
      <c r="F27" s="23"/>
      <c r="G27" s="24">
        <v>42939</v>
      </c>
      <c r="H27" s="440">
        <v>20</v>
      </c>
      <c r="I27" s="38"/>
      <c r="J27" s="68">
        <v>42938</v>
      </c>
      <c r="K27" s="109">
        <v>0</v>
      </c>
      <c r="L27" s="443" t="s">
        <v>817</v>
      </c>
      <c r="M27" s="29"/>
      <c r="N27" s="45"/>
    </row>
    <row r="28" spans="1:14" ht="15.75" thickBot="1" x14ac:dyDescent="0.3">
      <c r="A28" s="414">
        <v>42940</v>
      </c>
      <c r="B28" s="415">
        <v>34508.5</v>
      </c>
      <c r="C28" s="50" t="s">
        <v>820</v>
      </c>
      <c r="D28" s="435">
        <v>42940</v>
      </c>
      <c r="E28" s="436">
        <v>34528.5</v>
      </c>
      <c r="F28" s="23"/>
      <c r="G28" s="24">
        <v>42940</v>
      </c>
      <c r="H28" s="440">
        <v>20</v>
      </c>
      <c r="I28" s="38"/>
      <c r="J28" s="358" t="s">
        <v>442</v>
      </c>
      <c r="K28" s="109">
        <v>0</v>
      </c>
      <c r="L28" s="446" t="s">
        <v>819</v>
      </c>
      <c r="M28" s="29"/>
      <c r="N28" s="45"/>
    </row>
    <row r="29" spans="1:14" ht="15.75" thickBot="1" x14ac:dyDescent="0.3">
      <c r="A29" s="414">
        <v>42941</v>
      </c>
      <c r="B29" s="415">
        <v>33486</v>
      </c>
      <c r="C29" s="50" t="s">
        <v>822</v>
      </c>
      <c r="D29" s="435">
        <v>42941</v>
      </c>
      <c r="E29" s="436">
        <v>32991</v>
      </c>
      <c r="F29" s="23"/>
      <c r="G29" s="24">
        <v>42941</v>
      </c>
      <c r="H29" s="440">
        <v>10</v>
      </c>
      <c r="I29" s="38"/>
      <c r="J29" s="68"/>
      <c r="K29" s="109">
        <v>0</v>
      </c>
      <c r="L29" s="443" t="s">
        <v>821</v>
      </c>
      <c r="M29" s="29"/>
      <c r="N29" s="45"/>
    </row>
    <row r="30" spans="1:14" ht="15.75" thickBot="1" x14ac:dyDescent="0.3">
      <c r="A30" s="414">
        <v>42942</v>
      </c>
      <c r="B30" s="415">
        <v>22352</v>
      </c>
      <c r="C30" s="57" t="s">
        <v>831</v>
      </c>
      <c r="D30" s="435">
        <v>42942</v>
      </c>
      <c r="E30" s="436">
        <v>22352</v>
      </c>
      <c r="F30" s="23"/>
      <c r="G30" s="24">
        <v>42942</v>
      </c>
      <c r="H30" s="440">
        <v>0</v>
      </c>
      <c r="I30" s="38"/>
      <c r="J30" s="461" t="s">
        <v>82</v>
      </c>
      <c r="K30" s="109">
        <v>0</v>
      </c>
      <c r="L30" s="446" t="s">
        <v>830</v>
      </c>
      <c r="M30" s="29">
        <v>0</v>
      </c>
    </row>
    <row r="31" spans="1:14" ht="15.75" thickBot="1" x14ac:dyDescent="0.3">
      <c r="A31" s="414">
        <v>42943</v>
      </c>
      <c r="B31" s="415">
        <v>48080.5</v>
      </c>
      <c r="C31" s="57" t="s">
        <v>833</v>
      </c>
      <c r="D31" s="435">
        <v>42943</v>
      </c>
      <c r="E31" s="436">
        <v>48080.5</v>
      </c>
      <c r="F31" s="23"/>
      <c r="G31" s="24">
        <v>42943</v>
      </c>
      <c r="H31" s="440">
        <v>0</v>
      </c>
      <c r="I31" s="38"/>
      <c r="J31" s="68"/>
      <c r="K31" s="109">
        <v>0</v>
      </c>
      <c r="L31" s="446" t="s">
        <v>832</v>
      </c>
      <c r="M31" s="29">
        <v>0</v>
      </c>
    </row>
    <row r="32" spans="1:14" ht="15.75" thickBot="1" x14ac:dyDescent="0.3">
      <c r="A32" s="414">
        <v>42944</v>
      </c>
      <c r="B32" s="415">
        <v>56400</v>
      </c>
      <c r="C32" s="48" t="s">
        <v>835</v>
      </c>
      <c r="D32" s="435">
        <v>42944</v>
      </c>
      <c r="E32" s="436">
        <v>53290</v>
      </c>
      <c r="F32" s="23"/>
      <c r="G32" s="24">
        <v>42944</v>
      </c>
      <c r="H32" s="440">
        <v>63</v>
      </c>
      <c r="I32" s="38"/>
      <c r="J32" s="461"/>
      <c r="K32" s="452"/>
      <c r="L32" s="443" t="s">
        <v>834</v>
      </c>
      <c r="M32" s="29">
        <v>0</v>
      </c>
    </row>
    <row r="33" spans="1:13" ht="15.75" thickBot="1" x14ac:dyDescent="0.3">
      <c r="A33" s="414">
        <v>42945</v>
      </c>
      <c r="B33" s="415">
        <v>53452</v>
      </c>
      <c r="C33" s="48" t="s">
        <v>837</v>
      </c>
      <c r="D33" s="435">
        <v>42945</v>
      </c>
      <c r="E33" s="436">
        <v>53452</v>
      </c>
      <c r="F33" s="23"/>
      <c r="G33" s="24">
        <v>42945</v>
      </c>
      <c r="H33" s="440">
        <v>0</v>
      </c>
      <c r="I33" s="38"/>
      <c r="J33" s="190"/>
      <c r="K33" s="191"/>
      <c r="L33" s="443" t="s">
        <v>836</v>
      </c>
      <c r="M33" s="29">
        <v>0</v>
      </c>
    </row>
    <row r="34" spans="1:13" ht="15.75" thickBot="1" x14ac:dyDescent="0.3">
      <c r="A34" s="414">
        <v>42946</v>
      </c>
      <c r="B34" s="415">
        <v>47455.5</v>
      </c>
      <c r="C34" s="57" t="s">
        <v>839</v>
      </c>
      <c r="D34" s="435">
        <v>42946</v>
      </c>
      <c r="E34" s="436">
        <v>47475.5</v>
      </c>
      <c r="F34" s="23"/>
      <c r="G34" s="24">
        <v>42946</v>
      </c>
      <c r="H34" s="440">
        <v>20</v>
      </c>
      <c r="I34" s="38"/>
      <c r="J34" s="190"/>
      <c r="K34" s="191"/>
      <c r="L34" s="447" t="s">
        <v>838</v>
      </c>
      <c r="M34" s="29">
        <v>0</v>
      </c>
    </row>
    <row r="35" spans="1:13" ht="15.75" thickBot="1" x14ac:dyDescent="0.3">
      <c r="A35" s="414">
        <v>42947</v>
      </c>
      <c r="B35" s="418">
        <v>33972</v>
      </c>
      <c r="C35" s="20" t="s">
        <v>841</v>
      </c>
      <c r="D35" s="435">
        <v>42947</v>
      </c>
      <c r="E35" s="436">
        <v>35757</v>
      </c>
      <c r="F35" s="23"/>
      <c r="G35" s="24">
        <v>42947</v>
      </c>
      <c r="H35" s="440">
        <v>0</v>
      </c>
      <c r="I35" s="38"/>
      <c r="J35" s="461"/>
      <c r="K35" s="452"/>
      <c r="L35" s="448" t="s">
        <v>840</v>
      </c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1353325.5</v>
      </c>
      <c r="D38" s="100" t="s">
        <v>85</v>
      </c>
      <c r="E38" s="101">
        <f>SUM(E5:E37)</f>
        <v>1453691</v>
      </c>
      <c r="G38" s="472" t="s">
        <v>85</v>
      </c>
      <c r="H38" s="4">
        <f>SUM(H5:H37)</f>
        <v>289</v>
      </c>
      <c r="I38" s="4"/>
      <c r="J38" s="102" t="s">
        <v>85</v>
      </c>
      <c r="K38" s="103">
        <f t="shared" ref="K38" si="0">SUM(K5:K37)</f>
        <v>88363.98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8" t="s">
        <v>86</v>
      </c>
      <c r="H40" s="519"/>
      <c r="I40" s="471"/>
      <c r="J40" s="520">
        <f>H38+K38</f>
        <v>88652.98</v>
      </c>
      <c r="K40" s="521"/>
      <c r="L40" s="108"/>
      <c r="M40" s="108"/>
    </row>
    <row r="41" spans="1:13" ht="15.75" x14ac:dyDescent="0.25">
      <c r="A41" s="1"/>
      <c r="B41" s="5"/>
      <c r="C41" s="540" t="s">
        <v>87</v>
      </c>
      <c r="D41" s="540"/>
      <c r="E41" s="109">
        <f>E38-J40</f>
        <v>1365038.02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-1406211.57</v>
      </c>
      <c r="H43" s="539"/>
      <c r="I43" s="539"/>
      <c r="J43" s="539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-41173.550000000047</v>
      </c>
      <c r="H44" s="541" t="s">
        <v>91</v>
      </c>
      <c r="I44" s="541"/>
      <c r="J44" s="542">
        <f>E46</f>
        <v>84513.549999999959</v>
      </c>
      <c r="K44" s="54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125687.1</v>
      </c>
      <c r="H45" s="544" t="s">
        <v>3</v>
      </c>
      <c r="I45" s="544"/>
      <c r="J45" s="529">
        <v>-59609</v>
      </c>
      <c r="K45" s="52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84513.549999999959</v>
      </c>
      <c r="I46" s="116"/>
      <c r="J46" s="534">
        <v>0</v>
      </c>
      <c r="K46" s="534"/>
      <c r="L46" s="108"/>
      <c r="M46" s="108"/>
    </row>
    <row r="47" spans="1:13" ht="19.5" thickBot="1" x14ac:dyDescent="0.3">
      <c r="A47" s="1"/>
      <c r="B47" s="5"/>
      <c r="E47" s="109"/>
      <c r="H47" s="535" t="s">
        <v>94</v>
      </c>
      <c r="I47" s="536"/>
      <c r="J47" s="537">
        <f>SUM(J44:K46)</f>
        <v>24904.549999999959</v>
      </c>
      <c r="K47" s="538"/>
      <c r="L47" s="108"/>
      <c r="M47" s="108"/>
    </row>
    <row r="48" spans="1:13" x14ac:dyDescent="0.25">
      <c r="A48" s="1"/>
      <c r="B48" s="5"/>
      <c r="C48" s="539"/>
      <c r="D48" s="53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11811023622047245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X56"/>
  <sheetViews>
    <sheetView topLeftCell="D25" workbookViewId="0">
      <selection activeCell="K53" sqref="K5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4.5703125" customWidth="1"/>
    <col min="14" max="14" width="13.85546875" bestFit="1" customWidth="1"/>
    <col min="18" max="18" width="13.85546875" bestFit="1" customWidth="1"/>
    <col min="20" max="20" width="13.85546875" bestFit="1" customWidth="1"/>
    <col min="23" max="23" width="14.140625" bestFit="1" customWidth="1"/>
  </cols>
  <sheetData>
    <row r="1" spans="1:24" ht="19.5" thickBot="1" x14ac:dyDescent="0.35">
      <c r="A1" s="1"/>
      <c r="B1" s="118"/>
      <c r="C1" s="545" t="s">
        <v>95</v>
      </c>
      <c r="D1" s="546"/>
      <c r="E1" s="547"/>
      <c r="F1" s="119"/>
      <c r="I1" s="45"/>
      <c r="J1" s="154"/>
      <c r="K1" s="343">
        <v>42931</v>
      </c>
      <c r="L1" s="216"/>
      <c r="M1" s="217" t="s">
        <v>141</v>
      </c>
      <c r="N1" s="111"/>
      <c r="O1" s="158"/>
      <c r="R1" s="45"/>
      <c r="S1" s="154"/>
      <c r="T1" s="361">
        <v>42945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v>33763.879999999997</v>
      </c>
      <c r="J2" s="468" t="s">
        <v>697</v>
      </c>
      <c r="K2" s="133">
        <v>27343.01</v>
      </c>
      <c r="L2" s="214" t="s">
        <v>143</v>
      </c>
      <c r="M2" s="160">
        <v>3718366</v>
      </c>
      <c r="N2" s="161">
        <v>56071.5</v>
      </c>
      <c r="O2" s="162">
        <v>42912</v>
      </c>
      <c r="R2" s="45">
        <v>21096.5</v>
      </c>
      <c r="S2" s="132" t="s">
        <v>779</v>
      </c>
      <c r="T2" s="133">
        <v>11035.42</v>
      </c>
      <c r="U2" s="214" t="s">
        <v>175</v>
      </c>
      <c r="V2" s="160">
        <v>3932304</v>
      </c>
      <c r="W2" s="161">
        <v>24056.5</v>
      </c>
      <c r="X2" s="162">
        <v>42935</v>
      </c>
    </row>
    <row r="3" spans="1:24" ht="15.75" x14ac:dyDescent="0.25">
      <c r="A3" s="125">
        <v>42917</v>
      </c>
      <c r="B3" s="126" t="s">
        <v>726</v>
      </c>
      <c r="C3" s="127">
        <v>98958.42</v>
      </c>
      <c r="D3" s="128">
        <v>42931</v>
      </c>
      <c r="E3" s="127">
        <v>98958.42</v>
      </c>
      <c r="F3" s="129">
        <f t="shared" ref="F3:F55" si="0">C3-E3</f>
        <v>0</v>
      </c>
      <c r="I3" s="45">
        <f>39916.62+1054.46</f>
        <v>40971.08</v>
      </c>
      <c r="J3" s="467" t="s">
        <v>716</v>
      </c>
      <c r="K3" s="133">
        <v>40971.08</v>
      </c>
      <c r="L3" s="159"/>
      <c r="M3" s="160">
        <v>3718367</v>
      </c>
      <c r="N3" s="161">
        <v>17609</v>
      </c>
      <c r="O3" s="162">
        <v>42912</v>
      </c>
      <c r="R3" s="45">
        <f>2960+31871.5</f>
        <v>34831.5</v>
      </c>
      <c r="S3" s="366" t="s">
        <v>780</v>
      </c>
      <c r="T3" s="339">
        <v>34831.31</v>
      </c>
      <c r="U3" s="197"/>
      <c r="V3" s="198">
        <v>3932305</v>
      </c>
      <c r="W3" s="148">
        <v>30000</v>
      </c>
      <c r="X3" s="167">
        <v>42936</v>
      </c>
    </row>
    <row r="4" spans="1:24" ht="15.75" x14ac:dyDescent="0.25">
      <c r="A4" s="131">
        <v>42917</v>
      </c>
      <c r="B4" s="132" t="s">
        <v>727</v>
      </c>
      <c r="C4" s="133">
        <v>3856.04</v>
      </c>
      <c r="D4" s="128">
        <v>42931</v>
      </c>
      <c r="E4" s="133">
        <v>3856.04</v>
      </c>
      <c r="F4" s="134">
        <f t="shared" si="0"/>
        <v>0</v>
      </c>
      <c r="I4" s="45">
        <f>25863.54+59538.5+13284.62</f>
        <v>98686.66</v>
      </c>
      <c r="J4" s="467" t="s">
        <v>717</v>
      </c>
      <c r="K4" s="127">
        <v>98686.66</v>
      </c>
      <c r="L4" s="163"/>
      <c r="M4" s="160" t="s">
        <v>154</v>
      </c>
      <c r="N4" s="161">
        <v>17100</v>
      </c>
      <c r="O4" s="162">
        <v>42913</v>
      </c>
      <c r="R4" s="45">
        <f>16817.5+22244</f>
        <v>39061.5</v>
      </c>
      <c r="S4" s="132" t="s">
        <v>801</v>
      </c>
      <c r="T4" s="133">
        <v>39061.629999999997</v>
      </c>
      <c r="U4" s="344"/>
      <c r="V4" s="270">
        <v>3932306</v>
      </c>
      <c r="W4" s="148">
        <v>18689</v>
      </c>
      <c r="X4" s="167">
        <v>42936</v>
      </c>
    </row>
    <row r="5" spans="1:24" ht="15.75" x14ac:dyDescent="0.25">
      <c r="A5" s="131">
        <v>42917</v>
      </c>
      <c r="B5" s="132" t="s">
        <v>728</v>
      </c>
      <c r="C5" s="133">
        <v>555</v>
      </c>
      <c r="D5" s="128">
        <v>42931</v>
      </c>
      <c r="E5" s="133">
        <v>555</v>
      </c>
      <c r="F5" s="134">
        <f t="shared" si="0"/>
        <v>0</v>
      </c>
      <c r="I5" s="45">
        <v>515</v>
      </c>
      <c r="J5" s="467" t="s">
        <v>718</v>
      </c>
      <c r="K5" s="133">
        <v>515</v>
      </c>
      <c r="L5" s="164"/>
      <c r="M5" s="160" t="s">
        <v>154</v>
      </c>
      <c r="N5" s="161">
        <v>7127</v>
      </c>
      <c r="O5" s="162">
        <v>42914</v>
      </c>
      <c r="R5" s="45">
        <f>35019.5+10678</f>
        <v>45697.5</v>
      </c>
      <c r="S5" s="393" t="s">
        <v>781</v>
      </c>
      <c r="T5" s="133">
        <v>45697.66</v>
      </c>
      <c r="U5" s="344"/>
      <c r="V5" s="270">
        <v>3932307</v>
      </c>
      <c r="W5" s="148">
        <v>30000</v>
      </c>
      <c r="X5" s="167">
        <v>42937</v>
      </c>
    </row>
    <row r="6" spans="1:24" ht="15.75" x14ac:dyDescent="0.25">
      <c r="A6" s="131">
        <v>42917</v>
      </c>
      <c r="B6" s="132" t="s">
        <v>729</v>
      </c>
      <c r="C6" s="133">
        <v>780</v>
      </c>
      <c r="D6" s="128">
        <v>42931</v>
      </c>
      <c r="E6" s="133">
        <v>780</v>
      </c>
      <c r="F6" s="135">
        <f t="shared" si="0"/>
        <v>0</v>
      </c>
      <c r="I6" s="45">
        <v>1585.2</v>
      </c>
      <c r="J6" s="467" t="s">
        <v>719</v>
      </c>
      <c r="K6" s="196">
        <v>1585.2</v>
      </c>
      <c r="L6" s="277"/>
      <c r="M6" s="160" t="s">
        <v>154</v>
      </c>
      <c r="N6" s="161">
        <v>2691</v>
      </c>
      <c r="O6" s="162">
        <v>42915</v>
      </c>
      <c r="R6" s="45">
        <v>44126</v>
      </c>
      <c r="S6" s="367" t="s">
        <v>802</v>
      </c>
      <c r="T6" s="133">
        <v>44126.04</v>
      </c>
      <c r="U6" s="172"/>
      <c r="V6" s="198">
        <v>3932308</v>
      </c>
      <c r="W6" s="148">
        <v>27263.5</v>
      </c>
      <c r="X6" s="167">
        <v>42937</v>
      </c>
    </row>
    <row r="7" spans="1:24" ht="15.75" x14ac:dyDescent="0.25">
      <c r="A7" s="475">
        <v>42919</v>
      </c>
      <c r="B7" s="476" t="s">
        <v>759</v>
      </c>
      <c r="C7" s="477">
        <v>266</v>
      </c>
      <c r="D7" s="478">
        <v>42919</v>
      </c>
      <c r="E7" s="477">
        <v>266</v>
      </c>
      <c r="F7" s="135">
        <f t="shared" si="0"/>
        <v>0</v>
      </c>
      <c r="G7" t="s">
        <v>770</v>
      </c>
      <c r="I7" s="45">
        <f>24970.18+4335+15601.82</f>
        <v>44907</v>
      </c>
      <c r="J7" s="291" t="s">
        <v>720</v>
      </c>
      <c r="K7" s="139">
        <v>44907</v>
      </c>
      <c r="L7" s="163"/>
      <c r="M7" s="160">
        <v>3718368</v>
      </c>
      <c r="N7" s="161">
        <v>38638.5</v>
      </c>
      <c r="O7" s="162">
        <v>42914</v>
      </c>
      <c r="R7" s="179">
        <f>9449+26832</f>
        <v>36281</v>
      </c>
      <c r="S7" s="367" t="s">
        <v>803</v>
      </c>
      <c r="T7" s="133">
        <v>36281.199999999997</v>
      </c>
      <c r="U7" s="172"/>
      <c r="V7" s="198">
        <v>3932309</v>
      </c>
      <c r="W7" s="148">
        <v>40000</v>
      </c>
      <c r="X7" s="167">
        <v>42938</v>
      </c>
    </row>
    <row r="8" spans="1:24" ht="15.75" x14ac:dyDescent="0.25">
      <c r="A8" s="131">
        <v>42919</v>
      </c>
      <c r="B8" s="132" t="s">
        <v>730</v>
      </c>
      <c r="C8" s="133">
        <v>32859.699999999997</v>
      </c>
      <c r="D8" s="128">
        <v>42931</v>
      </c>
      <c r="E8" s="133">
        <v>32859.699999999997</v>
      </c>
      <c r="F8" s="135">
        <f t="shared" ref="F8:F15" si="1">C8-E8</f>
        <v>0</v>
      </c>
      <c r="I8" s="45">
        <f>64659.68+34298.74</f>
        <v>98958.42</v>
      </c>
      <c r="J8" s="126" t="s">
        <v>726</v>
      </c>
      <c r="K8" s="127">
        <v>98958.42</v>
      </c>
      <c r="L8" s="165"/>
      <c r="M8" s="160" t="s">
        <v>154</v>
      </c>
      <c r="N8" s="166">
        <v>14900</v>
      </c>
      <c r="O8" s="167">
        <v>42914</v>
      </c>
      <c r="R8" s="179">
        <f>17023.5+21357</f>
        <v>38380.5</v>
      </c>
      <c r="S8" s="367" t="s">
        <v>804</v>
      </c>
      <c r="T8" s="133">
        <v>38380.5</v>
      </c>
      <c r="U8" s="198"/>
      <c r="V8" s="274">
        <v>3932310</v>
      </c>
      <c r="W8" s="148">
        <v>24253</v>
      </c>
      <c r="X8" s="167">
        <v>42938</v>
      </c>
    </row>
    <row r="9" spans="1:24" ht="15.75" x14ac:dyDescent="0.25">
      <c r="A9" s="131">
        <v>42919</v>
      </c>
      <c r="B9" s="132" t="s">
        <v>731</v>
      </c>
      <c r="C9" s="133">
        <v>2809.48</v>
      </c>
      <c r="D9" s="128">
        <v>42931</v>
      </c>
      <c r="E9" s="133">
        <v>2809.48</v>
      </c>
      <c r="F9" s="135">
        <f t="shared" si="1"/>
        <v>0</v>
      </c>
      <c r="I9" s="45">
        <v>3856.04</v>
      </c>
      <c r="J9" s="132" t="s">
        <v>727</v>
      </c>
      <c r="K9" s="133">
        <v>3856.04</v>
      </c>
      <c r="L9" s="163"/>
      <c r="M9" s="160" t="s">
        <v>154</v>
      </c>
      <c r="N9" s="148">
        <v>6000</v>
      </c>
      <c r="O9" s="167">
        <v>42916</v>
      </c>
      <c r="R9" s="179">
        <v>13151.5</v>
      </c>
      <c r="S9" s="367" t="s">
        <v>805</v>
      </c>
      <c r="T9" s="133">
        <v>23211.74</v>
      </c>
      <c r="U9" s="480" t="s">
        <v>159</v>
      </c>
      <c r="V9" s="210">
        <v>3932311</v>
      </c>
      <c r="W9" s="148">
        <v>30000</v>
      </c>
      <c r="X9" s="167">
        <v>42939</v>
      </c>
    </row>
    <row r="10" spans="1:24" ht="15.75" x14ac:dyDescent="0.25">
      <c r="A10" s="131">
        <v>42921</v>
      </c>
      <c r="B10" s="132" t="s">
        <v>732</v>
      </c>
      <c r="C10" s="133">
        <v>36358.54</v>
      </c>
      <c r="D10" s="128">
        <v>42931</v>
      </c>
      <c r="E10" s="133">
        <v>36358.54</v>
      </c>
      <c r="F10" s="135">
        <f t="shared" si="1"/>
        <v>0</v>
      </c>
      <c r="I10" s="45">
        <v>555</v>
      </c>
      <c r="J10" s="132" t="s">
        <v>728</v>
      </c>
      <c r="K10" s="133">
        <v>555</v>
      </c>
      <c r="L10" s="168"/>
      <c r="M10" s="160">
        <v>3718369</v>
      </c>
      <c r="N10" s="161">
        <v>39355</v>
      </c>
      <c r="O10" s="162">
        <v>42915</v>
      </c>
      <c r="R10" s="179">
        <v>0</v>
      </c>
      <c r="S10" s="367"/>
      <c r="T10" s="133">
        <v>0</v>
      </c>
      <c r="U10" s="209"/>
      <c r="V10" s="210">
        <v>3932312</v>
      </c>
      <c r="W10" s="148">
        <v>13855</v>
      </c>
      <c r="X10" s="167">
        <v>42939</v>
      </c>
    </row>
    <row r="11" spans="1:24" ht="15.75" x14ac:dyDescent="0.25">
      <c r="A11" s="131">
        <v>42921</v>
      </c>
      <c r="B11" s="132" t="s">
        <v>733</v>
      </c>
      <c r="C11" s="133">
        <v>38024.699999999997</v>
      </c>
      <c r="D11" s="128">
        <v>42931</v>
      </c>
      <c r="E11" s="133">
        <v>38024.699999999997</v>
      </c>
      <c r="F11" s="135">
        <f t="shared" si="1"/>
        <v>0</v>
      </c>
      <c r="I11" s="45">
        <v>780</v>
      </c>
      <c r="J11" s="132" t="s">
        <v>729</v>
      </c>
      <c r="K11" s="133">
        <v>780</v>
      </c>
      <c r="L11" s="168"/>
      <c r="M11" s="160" t="s">
        <v>154</v>
      </c>
      <c r="N11" s="161">
        <v>1000</v>
      </c>
      <c r="O11" s="162">
        <v>42919</v>
      </c>
      <c r="R11" s="179">
        <v>0</v>
      </c>
      <c r="S11" s="367"/>
      <c r="T11" s="133">
        <v>0</v>
      </c>
      <c r="U11" s="480"/>
      <c r="V11" s="210">
        <v>3932313</v>
      </c>
      <c r="W11" s="148">
        <v>34508.5</v>
      </c>
      <c r="X11" s="167">
        <v>42940</v>
      </c>
    </row>
    <row r="12" spans="1:24" ht="16.5" thickBot="1" x14ac:dyDescent="0.3">
      <c r="A12" s="131">
        <v>42922</v>
      </c>
      <c r="B12" s="132" t="s">
        <v>734</v>
      </c>
      <c r="C12" s="133">
        <v>118780.6</v>
      </c>
      <c r="D12" s="128">
        <v>42931</v>
      </c>
      <c r="E12" s="133">
        <v>118780.6</v>
      </c>
      <c r="F12" s="135">
        <f t="shared" si="1"/>
        <v>0</v>
      </c>
      <c r="I12" s="45">
        <v>32859.699999999997</v>
      </c>
      <c r="J12" s="132" t="s">
        <v>730</v>
      </c>
      <c r="K12" s="133">
        <v>32859.699999999997</v>
      </c>
      <c r="L12" s="168"/>
      <c r="M12" s="160" t="s">
        <v>154</v>
      </c>
      <c r="N12" s="161">
        <v>4335</v>
      </c>
      <c r="O12" s="162">
        <v>42912</v>
      </c>
      <c r="R12" s="485">
        <v>0</v>
      </c>
      <c r="S12" s="262"/>
      <c r="T12" s="181">
        <v>0</v>
      </c>
      <c r="U12" s="140"/>
      <c r="V12" s="486"/>
      <c r="W12" s="184">
        <v>0</v>
      </c>
      <c r="X12" s="185"/>
    </row>
    <row r="13" spans="1:24" ht="16.5" thickTop="1" x14ac:dyDescent="0.25">
      <c r="A13" s="131">
        <v>42923</v>
      </c>
      <c r="B13" s="132" t="s">
        <v>736</v>
      </c>
      <c r="C13" s="133">
        <v>79201.2</v>
      </c>
      <c r="D13" s="128">
        <v>42931</v>
      </c>
      <c r="E13" s="133">
        <v>79201.2</v>
      </c>
      <c r="F13" s="135">
        <f t="shared" si="1"/>
        <v>0</v>
      </c>
      <c r="I13" s="45">
        <v>2809.48</v>
      </c>
      <c r="J13" s="132" t="s">
        <v>731</v>
      </c>
      <c r="K13" s="133">
        <v>2809.48</v>
      </c>
      <c r="L13" s="168"/>
      <c r="M13" s="160">
        <v>3718371</v>
      </c>
      <c r="N13" s="161">
        <v>20261.5</v>
      </c>
      <c r="O13" s="162">
        <v>42916</v>
      </c>
      <c r="R13" s="284">
        <f>SUM(R2:R12)</f>
        <v>272626</v>
      </c>
      <c r="S13" s="256"/>
      <c r="T13" s="108">
        <f>SUM(T2:T12)</f>
        <v>272625.5</v>
      </c>
      <c r="U13" s="39"/>
      <c r="V13" s="481"/>
      <c r="W13" s="38">
        <f>SUM(W2:W12)</f>
        <v>272625.5</v>
      </c>
      <c r="X13" s="128"/>
    </row>
    <row r="14" spans="1:24" ht="15.75" x14ac:dyDescent="0.25">
      <c r="A14" s="131">
        <v>42926</v>
      </c>
      <c r="B14" s="132" t="s">
        <v>737</v>
      </c>
      <c r="C14" s="133">
        <v>40174.26</v>
      </c>
      <c r="D14" s="128" t="s">
        <v>782</v>
      </c>
      <c r="E14" s="133">
        <f>10060.37+30113.89</f>
        <v>40174.26</v>
      </c>
      <c r="F14" s="135">
        <f t="shared" si="1"/>
        <v>0</v>
      </c>
      <c r="I14" s="45">
        <v>36358.54</v>
      </c>
      <c r="J14" s="132" t="s">
        <v>732</v>
      </c>
      <c r="K14" s="133">
        <v>36358.54</v>
      </c>
      <c r="L14" s="168"/>
      <c r="M14" s="160">
        <v>3718372</v>
      </c>
      <c r="N14" s="161">
        <v>60000</v>
      </c>
      <c r="O14" s="162">
        <v>42916</v>
      </c>
      <c r="R14" s="284"/>
      <c r="S14" s="256"/>
      <c r="T14" s="108"/>
      <c r="U14" s="39"/>
      <c r="V14" s="481"/>
      <c r="W14" s="38"/>
      <c r="X14" s="128"/>
    </row>
    <row r="15" spans="1:24" ht="15.75" x14ac:dyDescent="0.25">
      <c r="A15" s="475">
        <v>42926</v>
      </c>
      <c r="B15" s="476" t="s">
        <v>769</v>
      </c>
      <c r="C15" s="477">
        <v>329.5</v>
      </c>
      <c r="D15" s="478">
        <v>42926</v>
      </c>
      <c r="E15" s="477">
        <v>329.5</v>
      </c>
      <c r="F15" s="135">
        <f t="shared" si="1"/>
        <v>0</v>
      </c>
      <c r="G15" t="s">
        <v>770</v>
      </c>
      <c r="I15" s="45">
        <f>10418.04+27606.66</f>
        <v>38024.699999999997</v>
      </c>
      <c r="J15" s="132" t="s">
        <v>733</v>
      </c>
      <c r="K15" s="133">
        <v>38024.699999999997</v>
      </c>
      <c r="L15" s="168"/>
      <c r="M15" s="160">
        <v>3718370</v>
      </c>
      <c r="N15" s="161">
        <v>52000</v>
      </c>
      <c r="O15" s="162">
        <v>42917</v>
      </c>
      <c r="R15" s="284"/>
      <c r="S15" s="256"/>
      <c r="T15" s="108"/>
      <c r="U15" s="39"/>
      <c r="V15" s="481"/>
      <c r="W15" s="38"/>
      <c r="X15" s="128"/>
    </row>
    <row r="16" spans="1:24" ht="15.75" x14ac:dyDescent="0.25">
      <c r="A16" s="131">
        <v>42928</v>
      </c>
      <c r="B16" s="132" t="s">
        <v>738</v>
      </c>
      <c r="C16" s="133">
        <v>47574.52</v>
      </c>
      <c r="D16" s="128">
        <v>42938</v>
      </c>
      <c r="E16" s="133">
        <v>47574.52</v>
      </c>
      <c r="F16" s="135">
        <f t="shared" si="0"/>
        <v>0</v>
      </c>
      <c r="I16" s="45">
        <f>3179.8+29140+22198+40694.5+26748</f>
        <v>121960.3</v>
      </c>
      <c r="J16" s="132" t="s">
        <v>734</v>
      </c>
      <c r="K16" s="133">
        <v>118780.6</v>
      </c>
      <c r="L16" s="197"/>
      <c r="M16" s="198">
        <v>3718373</v>
      </c>
      <c r="N16" s="148">
        <v>33577</v>
      </c>
      <c r="O16" s="167">
        <v>42917</v>
      </c>
      <c r="R16" s="284"/>
      <c r="S16" s="256"/>
      <c r="T16" s="108"/>
      <c r="U16" s="39"/>
      <c r="V16" s="481"/>
      <c r="W16" s="38"/>
      <c r="X16" s="128"/>
    </row>
    <row r="17" spans="1:24" ht="15.75" x14ac:dyDescent="0.25">
      <c r="A17" s="131">
        <v>42928</v>
      </c>
      <c r="B17" s="132" t="s">
        <v>739</v>
      </c>
      <c r="C17" s="133">
        <v>38868</v>
      </c>
      <c r="D17" s="128">
        <v>42938</v>
      </c>
      <c r="E17" s="133">
        <v>38868</v>
      </c>
      <c r="F17" s="135">
        <f t="shared" si="0"/>
        <v>0</v>
      </c>
      <c r="I17" s="45">
        <f>23122+56079</f>
        <v>79201</v>
      </c>
      <c r="J17" s="132" t="s">
        <v>736</v>
      </c>
      <c r="K17" s="133">
        <v>79201.2</v>
      </c>
      <c r="L17" s="344"/>
      <c r="M17" s="270">
        <v>3718374</v>
      </c>
      <c r="N17" s="148">
        <v>67145</v>
      </c>
      <c r="O17" s="167">
        <v>42918</v>
      </c>
      <c r="R17" s="284"/>
      <c r="S17" s="256"/>
      <c r="T17" s="108"/>
      <c r="U17" s="39"/>
      <c r="V17" s="481"/>
      <c r="W17" s="38"/>
      <c r="X17" s="128"/>
    </row>
    <row r="18" spans="1:24" ht="15.75" x14ac:dyDescent="0.25">
      <c r="A18" s="131">
        <v>42929</v>
      </c>
      <c r="B18" s="132" t="s">
        <v>740</v>
      </c>
      <c r="C18" s="133">
        <v>85357.32</v>
      </c>
      <c r="D18" s="128">
        <v>42938</v>
      </c>
      <c r="E18" s="133">
        <v>85357.32</v>
      </c>
      <c r="F18" s="135">
        <f t="shared" si="0"/>
        <v>0</v>
      </c>
      <c r="I18" s="45">
        <v>460</v>
      </c>
      <c r="J18" s="132" t="s">
        <v>737</v>
      </c>
      <c r="K18" s="133">
        <v>10060.370000000001</v>
      </c>
      <c r="L18" s="344" t="s">
        <v>159</v>
      </c>
      <c r="M18" s="270">
        <v>3718375</v>
      </c>
      <c r="N18" s="148">
        <v>29140</v>
      </c>
      <c r="O18" s="167">
        <v>42919</v>
      </c>
      <c r="R18" s="284"/>
      <c r="S18" s="256"/>
      <c r="T18" s="108"/>
      <c r="U18" s="39"/>
      <c r="V18" s="481"/>
      <c r="W18" s="38"/>
      <c r="X18" s="128"/>
    </row>
    <row r="19" spans="1:24" ht="15.75" x14ac:dyDescent="0.25">
      <c r="A19" s="131">
        <v>42930</v>
      </c>
      <c r="B19" s="132" t="s">
        <v>755</v>
      </c>
      <c r="C19" s="133">
        <v>84655.72</v>
      </c>
      <c r="D19" s="128">
        <v>42938</v>
      </c>
      <c r="E19" s="133">
        <v>84655.72</v>
      </c>
      <c r="F19" s="135">
        <f t="shared" si="0"/>
        <v>0</v>
      </c>
      <c r="I19" s="179"/>
      <c r="J19" s="132"/>
      <c r="K19" s="133"/>
      <c r="L19" s="172"/>
      <c r="M19" s="198">
        <v>3718377</v>
      </c>
      <c r="N19" s="148">
        <v>22198</v>
      </c>
      <c r="O19" s="167">
        <v>42920</v>
      </c>
      <c r="R19" s="284"/>
      <c r="S19" s="39"/>
      <c r="T19" s="108"/>
      <c r="U19" s="39"/>
      <c r="V19" s="481"/>
      <c r="W19" s="38"/>
      <c r="X19" s="128"/>
    </row>
    <row r="20" spans="1:24" ht="15.75" x14ac:dyDescent="0.25">
      <c r="A20" s="131">
        <v>42932</v>
      </c>
      <c r="B20" s="132" t="s">
        <v>756</v>
      </c>
      <c r="C20" s="133">
        <v>38957.26</v>
      </c>
      <c r="D20" s="128">
        <v>42938</v>
      </c>
      <c r="E20" s="133">
        <v>38957.26</v>
      </c>
      <c r="F20" s="135">
        <f t="shared" si="0"/>
        <v>0</v>
      </c>
      <c r="I20" s="179"/>
      <c r="J20" s="132"/>
      <c r="K20" s="133"/>
      <c r="L20" s="172"/>
      <c r="M20" s="198">
        <v>3718376</v>
      </c>
      <c r="N20" s="148">
        <v>40694.5</v>
      </c>
      <c r="O20" s="167">
        <v>42921</v>
      </c>
      <c r="R20" s="284"/>
      <c r="S20" s="39"/>
      <c r="T20" s="108"/>
      <c r="U20" s="39"/>
      <c r="V20" s="481"/>
      <c r="W20" s="38"/>
      <c r="X20" s="128"/>
    </row>
    <row r="21" spans="1:24" ht="15.75" x14ac:dyDescent="0.25">
      <c r="A21" s="131">
        <v>42932</v>
      </c>
      <c r="B21" s="365" t="s">
        <v>757</v>
      </c>
      <c r="C21" s="364">
        <v>904.8</v>
      </c>
      <c r="D21" s="128">
        <v>42938</v>
      </c>
      <c r="E21" s="364">
        <v>904.8</v>
      </c>
      <c r="F21" s="135">
        <f t="shared" si="0"/>
        <v>0</v>
      </c>
      <c r="I21" s="179"/>
      <c r="J21" s="132"/>
      <c r="K21" s="133"/>
      <c r="L21" s="198"/>
      <c r="M21" s="274">
        <v>3718378</v>
      </c>
      <c r="N21" s="148">
        <v>40000</v>
      </c>
      <c r="O21" s="167">
        <v>42922</v>
      </c>
      <c r="R21" s="284"/>
      <c r="S21" s="39"/>
      <c r="T21" s="483"/>
      <c r="U21" s="484"/>
      <c r="V21" s="484"/>
      <c r="W21" s="483"/>
      <c r="X21" s="39"/>
    </row>
    <row r="22" spans="1:24" ht="15.75" x14ac:dyDescent="0.25">
      <c r="A22" s="131">
        <v>42933</v>
      </c>
      <c r="B22" s="132" t="s">
        <v>758</v>
      </c>
      <c r="C22" s="133">
        <v>40388.400000000001</v>
      </c>
      <c r="D22" s="128">
        <v>42938</v>
      </c>
      <c r="E22" s="133">
        <v>40388.400000000001</v>
      </c>
      <c r="F22" s="135">
        <f t="shared" si="0"/>
        <v>0</v>
      </c>
      <c r="I22" s="179"/>
      <c r="J22" s="209"/>
      <c r="K22" s="196"/>
      <c r="L22" s="209"/>
      <c r="M22" s="210">
        <v>3718380</v>
      </c>
      <c r="N22" s="148">
        <v>9870</v>
      </c>
      <c r="O22" s="167">
        <v>42922</v>
      </c>
    </row>
    <row r="23" spans="1:24" ht="15.75" x14ac:dyDescent="0.25">
      <c r="A23" s="131">
        <v>42934</v>
      </c>
      <c r="B23" s="132" t="s">
        <v>778</v>
      </c>
      <c r="C23" s="133">
        <v>37867.5</v>
      </c>
      <c r="D23" s="128">
        <v>42938</v>
      </c>
      <c r="E23" s="133">
        <v>37867.5</v>
      </c>
      <c r="F23" s="135">
        <f t="shared" si="0"/>
        <v>0</v>
      </c>
      <c r="I23" s="179"/>
      <c r="J23" s="209"/>
      <c r="K23" s="196"/>
      <c r="L23" s="209"/>
      <c r="M23" s="210">
        <v>3718381</v>
      </c>
      <c r="N23" s="148">
        <v>30000</v>
      </c>
      <c r="O23" s="167">
        <v>42923</v>
      </c>
    </row>
    <row r="24" spans="1:24" ht="15.75" x14ac:dyDescent="0.25">
      <c r="A24" s="131">
        <v>42935</v>
      </c>
      <c r="B24" s="132" t="s">
        <v>779</v>
      </c>
      <c r="C24" s="133">
        <v>40686.01</v>
      </c>
      <c r="D24" s="211" t="s">
        <v>823</v>
      </c>
      <c r="E24" s="133">
        <f>29650.59+11035.42</f>
        <v>40686.01</v>
      </c>
      <c r="F24" s="135">
        <f t="shared" si="0"/>
        <v>0</v>
      </c>
      <c r="I24" s="179"/>
      <c r="J24" s="209"/>
      <c r="K24" s="196"/>
      <c r="L24" s="209"/>
      <c r="M24" s="210">
        <v>3718383</v>
      </c>
      <c r="N24" s="148">
        <v>26539</v>
      </c>
      <c r="O24" s="167">
        <v>42923</v>
      </c>
    </row>
    <row r="25" spans="1:24" ht="15.75" x14ac:dyDescent="0.25">
      <c r="A25" s="131">
        <v>42936</v>
      </c>
      <c r="B25" s="366" t="s">
        <v>780</v>
      </c>
      <c r="C25" s="339">
        <v>34831.31</v>
      </c>
      <c r="D25" s="128">
        <v>42945</v>
      </c>
      <c r="E25" s="339">
        <v>34831.31</v>
      </c>
      <c r="F25" s="135">
        <f t="shared" si="0"/>
        <v>0</v>
      </c>
      <c r="I25" s="179"/>
      <c r="J25" s="209"/>
      <c r="K25" s="196"/>
      <c r="L25" s="209"/>
      <c r="M25" s="210"/>
      <c r="N25" s="148"/>
      <c r="O25" s="167"/>
    </row>
    <row r="26" spans="1:24" ht="16.5" thickBot="1" x14ac:dyDescent="0.3">
      <c r="A26" s="131">
        <v>42936</v>
      </c>
      <c r="B26" s="132" t="s">
        <v>801</v>
      </c>
      <c r="C26" s="133">
        <v>39061.629999999997</v>
      </c>
      <c r="D26" s="128">
        <v>42945</v>
      </c>
      <c r="E26" s="133">
        <v>39061.629999999997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4" ht="16.5" thickBot="1" x14ac:dyDescent="0.3">
      <c r="A27" s="131">
        <v>42937</v>
      </c>
      <c r="B27" s="393" t="s">
        <v>781</v>
      </c>
      <c r="C27" s="133">
        <v>45697.66</v>
      </c>
      <c r="D27" s="128">
        <v>42945</v>
      </c>
      <c r="E27" s="133">
        <v>45697.66</v>
      </c>
      <c r="F27" s="135">
        <f t="shared" si="0"/>
        <v>0</v>
      </c>
      <c r="I27" s="273">
        <f>SUM(I1:I26)</f>
        <v>636252</v>
      </c>
      <c r="J27" s="271"/>
      <c r="K27" s="275">
        <f>SUM(K2:K26)</f>
        <v>636251.99999999988</v>
      </c>
      <c r="L27" s="276"/>
      <c r="M27" s="276"/>
      <c r="N27" s="275">
        <f>SUM(N2:N26)</f>
        <v>636252</v>
      </c>
      <c r="O27" s="272"/>
    </row>
    <row r="28" spans="1:24" x14ac:dyDescent="0.25">
      <c r="A28" s="287">
        <v>42938</v>
      </c>
      <c r="B28" s="367" t="s">
        <v>802</v>
      </c>
      <c r="C28" s="133">
        <v>44126.04</v>
      </c>
      <c r="D28" s="128">
        <v>42945</v>
      </c>
      <c r="E28" s="133">
        <v>44126.04</v>
      </c>
      <c r="F28" s="289">
        <f t="shared" si="0"/>
        <v>0</v>
      </c>
    </row>
    <row r="29" spans="1:24" x14ac:dyDescent="0.25">
      <c r="A29" s="287">
        <v>42938</v>
      </c>
      <c r="B29" s="367" t="s">
        <v>803</v>
      </c>
      <c r="C29" s="133">
        <v>36281.199999999997</v>
      </c>
      <c r="D29" s="128">
        <v>42945</v>
      </c>
      <c r="E29" s="133">
        <v>36281.199999999997</v>
      </c>
      <c r="F29" s="289">
        <f t="shared" si="0"/>
        <v>0</v>
      </c>
    </row>
    <row r="30" spans="1:24" x14ac:dyDescent="0.25">
      <c r="A30" s="287">
        <v>42941</v>
      </c>
      <c r="B30" s="367" t="s">
        <v>804</v>
      </c>
      <c r="C30" s="133">
        <v>38380.5</v>
      </c>
      <c r="D30" s="128">
        <v>42945</v>
      </c>
      <c r="E30" s="133">
        <v>38380.5</v>
      </c>
      <c r="F30" s="289">
        <f t="shared" si="0"/>
        <v>0</v>
      </c>
    </row>
    <row r="31" spans="1:24" ht="16.5" thickBot="1" x14ac:dyDescent="0.3">
      <c r="A31" s="287">
        <v>42942</v>
      </c>
      <c r="B31" s="367" t="s">
        <v>805</v>
      </c>
      <c r="C31" s="133">
        <v>50640.5</v>
      </c>
      <c r="D31" s="463" t="s">
        <v>875</v>
      </c>
      <c r="E31" s="138">
        <f>23211.74+27428.76</f>
        <v>50640.5</v>
      </c>
      <c r="F31" s="289">
        <f t="shared" si="0"/>
        <v>0</v>
      </c>
      <c r="I31" s="45"/>
      <c r="J31" s="154"/>
      <c r="K31" s="343">
        <v>42938</v>
      </c>
      <c r="L31" s="216"/>
      <c r="M31" s="217" t="s">
        <v>141</v>
      </c>
      <c r="N31" s="111"/>
      <c r="O31" s="158"/>
    </row>
    <row r="32" spans="1:24" ht="16.5" thickTop="1" x14ac:dyDescent="0.25">
      <c r="A32" s="287">
        <v>42942</v>
      </c>
      <c r="B32" s="367" t="s">
        <v>806</v>
      </c>
      <c r="C32" s="133">
        <v>12166.4</v>
      </c>
      <c r="D32" s="137">
        <v>42961</v>
      </c>
      <c r="E32" s="138">
        <v>12166.4</v>
      </c>
      <c r="F32" s="289">
        <f t="shared" si="0"/>
        <v>0</v>
      </c>
      <c r="I32" s="45">
        <f>9148+31026.5</f>
        <v>40174.5</v>
      </c>
      <c r="J32" s="132" t="s">
        <v>737</v>
      </c>
      <c r="K32" s="133">
        <v>30113.89</v>
      </c>
      <c r="L32" s="214" t="s">
        <v>143</v>
      </c>
      <c r="M32" s="160">
        <v>3718388</v>
      </c>
      <c r="N32" s="161">
        <v>30000</v>
      </c>
      <c r="O32" s="162">
        <v>42926</v>
      </c>
    </row>
    <row r="33" spans="1:15" ht="15.75" x14ac:dyDescent="0.25">
      <c r="A33" s="287">
        <v>42943</v>
      </c>
      <c r="B33" s="367" t="s">
        <v>807</v>
      </c>
      <c r="C33" s="133">
        <v>74354.06</v>
      </c>
      <c r="D33" s="137">
        <v>42961</v>
      </c>
      <c r="E33" s="138">
        <v>74354.06</v>
      </c>
      <c r="F33" s="289">
        <f t="shared" si="0"/>
        <v>0</v>
      </c>
      <c r="H33" t="s">
        <v>88</v>
      </c>
      <c r="I33" s="45">
        <f>17260.5+30314</f>
        <v>47574.5</v>
      </c>
      <c r="J33" s="132" t="s">
        <v>738</v>
      </c>
      <c r="K33" s="133">
        <v>47574.52</v>
      </c>
      <c r="L33" s="197"/>
      <c r="M33" s="198">
        <v>3718389</v>
      </c>
      <c r="N33" s="148">
        <v>19752</v>
      </c>
      <c r="O33" s="167">
        <v>42926</v>
      </c>
    </row>
    <row r="34" spans="1:15" ht="15.75" x14ac:dyDescent="0.25">
      <c r="A34" s="287">
        <v>42943</v>
      </c>
      <c r="B34" s="367" t="s">
        <v>842</v>
      </c>
      <c r="C34" s="133">
        <v>8046.72</v>
      </c>
      <c r="D34" s="137">
        <v>42961</v>
      </c>
      <c r="E34" s="138">
        <v>8046.72</v>
      </c>
      <c r="F34" s="289">
        <f t="shared" si="0"/>
        <v>0</v>
      </c>
      <c r="I34" s="45">
        <f>18725.5+20142.5</f>
        <v>38868</v>
      </c>
      <c r="J34" s="132" t="s">
        <v>739</v>
      </c>
      <c r="K34" s="133">
        <v>38868</v>
      </c>
      <c r="L34" s="344"/>
      <c r="M34" s="270" t="s">
        <v>154</v>
      </c>
      <c r="N34" s="148">
        <v>5467</v>
      </c>
      <c r="O34" s="167">
        <v>42922</v>
      </c>
    </row>
    <row r="35" spans="1:15" ht="15.75" x14ac:dyDescent="0.25">
      <c r="A35" s="287">
        <v>42943</v>
      </c>
      <c r="B35" s="367" t="s">
        <v>808</v>
      </c>
      <c r="C35" s="133">
        <v>2340</v>
      </c>
      <c r="D35" s="137">
        <v>42961</v>
      </c>
      <c r="E35" s="138">
        <v>2340</v>
      </c>
      <c r="F35" s="289">
        <f t="shared" si="0"/>
        <v>0</v>
      </c>
      <c r="I35" s="45">
        <f>6222+39848+39287.5</f>
        <v>85357.5</v>
      </c>
      <c r="J35" s="132" t="s">
        <v>740</v>
      </c>
      <c r="K35" s="133">
        <v>85357.32</v>
      </c>
      <c r="L35" s="344"/>
      <c r="M35" s="270" t="s">
        <v>154</v>
      </c>
      <c r="N35" s="148">
        <v>3681</v>
      </c>
      <c r="O35" s="167">
        <v>42916</v>
      </c>
    </row>
    <row r="36" spans="1:15" ht="15.75" x14ac:dyDescent="0.25">
      <c r="A36" s="287">
        <v>42945</v>
      </c>
      <c r="B36" s="367" t="s">
        <v>824</v>
      </c>
      <c r="C36" s="133">
        <v>78046.62</v>
      </c>
      <c r="D36" s="137">
        <v>42961</v>
      </c>
      <c r="E36" s="138">
        <v>78046.62</v>
      </c>
      <c r="F36" s="289">
        <f t="shared" si="0"/>
        <v>0</v>
      </c>
      <c r="I36" s="179">
        <f>28191.5+56464</f>
        <v>84655.5</v>
      </c>
      <c r="J36" s="132" t="s">
        <v>755</v>
      </c>
      <c r="K36" s="133">
        <v>84655.72</v>
      </c>
      <c r="L36" s="172"/>
      <c r="M36" s="198">
        <v>3718390</v>
      </c>
      <c r="N36" s="148">
        <v>37403</v>
      </c>
      <c r="O36" s="167">
        <v>42927</v>
      </c>
    </row>
    <row r="37" spans="1:15" ht="15.75" x14ac:dyDescent="0.25">
      <c r="A37" s="287">
        <v>42945</v>
      </c>
      <c r="B37" s="367" t="s">
        <v>828</v>
      </c>
      <c r="C37" s="133">
        <v>37481.32</v>
      </c>
      <c r="D37" s="137">
        <v>42961</v>
      </c>
      <c r="E37" s="138">
        <v>37481.32</v>
      </c>
      <c r="F37" s="289">
        <f t="shared" si="0"/>
        <v>0</v>
      </c>
      <c r="I37" s="179">
        <f>6658.5+32299</f>
        <v>38957.5</v>
      </c>
      <c r="J37" s="132" t="s">
        <v>756</v>
      </c>
      <c r="K37" s="133">
        <v>38957.26</v>
      </c>
      <c r="L37" s="172"/>
      <c r="M37" s="198">
        <v>3718391</v>
      </c>
      <c r="N37" s="148">
        <v>36536</v>
      </c>
      <c r="O37" s="167">
        <v>42928</v>
      </c>
    </row>
    <row r="38" spans="1:15" ht="15.75" x14ac:dyDescent="0.25">
      <c r="A38" s="287">
        <v>42947</v>
      </c>
      <c r="B38" s="367" t="s">
        <v>825</v>
      </c>
      <c r="C38" s="133">
        <v>36544.639999999999</v>
      </c>
      <c r="D38" s="137">
        <v>42961</v>
      </c>
      <c r="E38" s="138">
        <v>36544.639999999999</v>
      </c>
      <c r="F38" s="289">
        <f t="shared" si="0"/>
        <v>0</v>
      </c>
      <c r="I38" s="179">
        <v>905</v>
      </c>
      <c r="J38" s="365" t="s">
        <v>757</v>
      </c>
      <c r="K38" s="364">
        <v>904.8</v>
      </c>
      <c r="L38" s="198"/>
      <c r="M38" s="274">
        <v>3718392</v>
      </c>
      <c r="N38" s="148">
        <v>30000</v>
      </c>
      <c r="O38" s="167">
        <v>42929</v>
      </c>
    </row>
    <row r="39" spans="1:15" ht="15.75" x14ac:dyDescent="0.25">
      <c r="A39" s="287"/>
      <c r="B39" s="367"/>
      <c r="C39" s="133"/>
      <c r="D39" s="128"/>
      <c r="E39" s="133"/>
      <c r="F39" s="289">
        <f t="shared" si="0"/>
        <v>0</v>
      </c>
      <c r="I39" s="179">
        <f>21268+10422+8698.5</f>
        <v>40388.5</v>
      </c>
      <c r="J39" s="132" t="s">
        <v>758</v>
      </c>
      <c r="K39" s="133">
        <v>40388.400000000001</v>
      </c>
      <c r="L39" s="209"/>
      <c r="M39" s="210">
        <v>3718393</v>
      </c>
      <c r="N39" s="148">
        <v>9848</v>
      </c>
      <c r="O39" s="167">
        <v>42929</v>
      </c>
    </row>
    <row r="40" spans="1:15" ht="15.75" x14ac:dyDescent="0.25">
      <c r="A40" s="287"/>
      <c r="B40" s="367"/>
      <c r="C40" s="133"/>
      <c r="D40" s="128"/>
      <c r="E40" s="133"/>
      <c r="F40" s="289">
        <f t="shared" si="0"/>
        <v>0</v>
      </c>
      <c r="I40" s="179">
        <f>32331.5+5536</f>
        <v>37867.5</v>
      </c>
      <c r="J40" s="132" t="s">
        <v>778</v>
      </c>
      <c r="K40" s="133">
        <v>37867.5</v>
      </c>
      <c r="L40" s="209"/>
      <c r="M40" s="210">
        <v>3718394</v>
      </c>
      <c r="N40" s="148">
        <v>40000</v>
      </c>
      <c r="O40" s="167">
        <v>42930</v>
      </c>
    </row>
    <row r="41" spans="1:15" ht="15.75" x14ac:dyDescent="0.25">
      <c r="A41" s="287"/>
      <c r="B41" s="367"/>
      <c r="C41" s="133"/>
      <c r="D41" s="128"/>
      <c r="E41" s="133"/>
      <c r="F41" s="289">
        <f t="shared" si="0"/>
        <v>0</v>
      </c>
      <c r="I41" s="179">
        <v>19589.5</v>
      </c>
      <c r="J41" s="132" t="s">
        <v>779</v>
      </c>
      <c r="K41" s="133">
        <v>29650.59</v>
      </c>
      <c r="L41" s="480" t="s">
        <v>368</v>
      </c>
      <c r="M41" s="210">
        <v>3718395</v>
      </c>
      <c r="N41" s="148">
        <v>27479</v>
      </c>
      <c r="O41" s="167">
        <v>42930</v>
      </c>
    </row>
    <row r="42" spans="1:15" ht="15.75" x14ac:dyDescent="0.25">
      <c r="A42" s="287"/>
      <c r="B42" s="367"/>
      <c r="C42" s="133"/>
      <c r="D42" s="128"/>
      <c r="E42" s="133"/>
      <c r="F42" s="289">
        <f t="shared" si="0"/>
        <v>0</v>
      </c>
      <c r="I42" s="179"/>
      <c r="J42" s="132"/>
      <c r="K42" s="133"/>
      <c r="L42" s="209"/>
      <c r="M42" s="210">
        <v>3718396</v>
      </c>
      <c r="N42" s="148">
        <v>30000</v>
      </c>
      <c r="O42" s="167">
        <v>42931</v>
      </c>
    </row>
    <row r="43" spans="1:15" ht="15.75" x14ac:dyDescent="0.25">
      <c r="A43" s="287"/>
      <c r="B43" s="367"/>
      <c r="C43" s="133"/>
      <c r="D43" s="128"/>
      <c r="E43" s="133"/>
      <c r="F43" s="289">
        <f t="shared" si="0"/>
        <v>0</v>
      </c>
      <c r="I43" s="179"/>
      <c r="J43" s="132"/>
      <c r="K43" s="133"/>
      <c r="L43" s="209"/>
      <c r="M43" s="210">
        <v>3718398</v>
      </c>
      <c r="N43" s="148">
        <v>20000</v>
      </c>
      <c r="O43" s="167">
        <v>42931</v>
      </c>
    </row>
    <row r="44" spans="1:15" ht="15.75" x14ac:dyDescent="0.25">
      <c r="A44" s="287"/>
      <c r="B44" s="367"/>
      <c r="C44" s="133"/>
      <c r="D44" s="128"/>
      <c r="E44" s="133"/>
      <c r="F44" s="289">
        <f t="shared" si="0"/>
        <v>0</v>
      </c>
      <c r="I44" s="179"/>
      <c r="J44" s="132"/>
      <c r="K44" s="133"/>
      <c r="L44" s="209"/>
      <c r="M44" s="210">
        <v>3718399</v>
      </c>
      <c r="N44" s="148">
        <v>13122.5</v>
      </c>
      <c r="O44" s="167">
        <v>42931</v>
      </c>
    </row>
    <row r="45" spans="1:15" ht="15.75" x14ac:dyDescent="0.25">
      <c r="A45" s="287"/>
      <c r="B45" s="367"/>
      <c r="C45" s="133"/>
      <c r="D45" s="128"/>
      <c r="E45" s="133"/>
      <c r="F45" s="289">
        <f t="shared" si="0"/>
        <v>0</v>
      </c>
      <c r="I45" s="179"/>
      <c r="J45" s="132"/>
      <c r="K45" s="133"/>
      <c r="L45" s="209"/>
      <c r="M45" s="210">
        <v>3718400</v>
      </c>
      <c r="N45" s="148">
        <v>35000</v>
      </c>
      <c r="O45" s="167">
        <v>42932</v>
      </c>
    </row>
    <row r="46" spans="1:15" ht="15.75" x14ac:dyDescent="0.25">
      <c r="A46" s="287"/>
      <c r="B46" s="367"/>
      <c r="C46" s="133"/>
      <c r="D46" s="128"/>
      <c r="E46" s="133"/>
      <c r="F46" s="289">
        <f t="shared" si="0"/>
        <v>0</v>
      </c>
      <c r="I46" s="179"/>
      <c r="J46" s="132"/>
      <c r="K46" s="133"/>
      <c r="L46" s="209"/>
      <c r="M46" s="210">
        <v>3932301</v>
      </c>
      <c r="N46" s="148">
        <v>19472</v>
      </c>
      <c r="O46" s="167">
        <v>42932</v>
      </c>
    </row>
    <row r="47" spans="1:15" ht="15.75" x14ac:dyDescent="0.25">
      <c r="A47" s="287"/>
      <c r="B47" s="367"/>
      <c r="C47" s="133"/>
      <c r="D47" s="128"/>
      <c r="E47" s="133"/>
      <c r="F47" s="289">
        <f t="shared" si="0"/>
        <v>0</v>
      </c>
      <c r="I47" s="179"/>
      <c r="J47" s="132"/>
      <c r="K47" s="133"/>
      <c r="L47" s="209"/>
      <c r="M47" s="210">
        <v>3932302</v>
      </c>
      <c r="N47" s="148">
        <v>41030</v>
      </c>
      <c r="O47" s="167">
        <v>42933</v>
      </c>
    </row>
    <row r="48" spans="1:15" ht="15.75" x14ac:dyDescent="0.25">
      <c r="A48" s="287"/>
      <c r="B48" s="367"/>
      <c r="C48" s="133"/>
      <c r="D48" s="128"/>
      <c r="E48" s="133"/>
      <c r="F48" s="289">
        <f t="shared" si="0"/>
        <v>0</v>
      </c>
      <c r="I48" s="179"/>
      <c r="J48" s="132"/>
      <c r="K48" s="133"/>
      <c r="L48" s="209"/>
      <c r="M48" s="210" t="s">
        <v>154</v>
      </c>
      <c r="N48" s="148">
        <v>6057</v>
      </c>
      <c r="O48" s="167">
        <v>42930</v>
      </c>
    </row>
    <row r="49" spans="1:15" ht="15.75" x14ac:dyDescent="0.25">
      <c r="A49" s="287"/>
      <c r="B49" s="290"/>
      <c r="C49" s="133"/>
      <c r="D49" s="128"/>
      <c r="E49" s="133"/>
      <c r="F49" s="289">
        <f t="shared" si="0"/>
        <v>0</v>
      </c>
      <c r="I49" s="179"/>
      <c r="J49" s="209"/>
      <c r="K49" s="196"/>
      <c r="L49" s="209"/>
      <c r="M49" s="210" t="s">
        <v>154</v>
      </c>
      <c r="N49" s="148">
        <v>4365</v>
      </c>
      <c r="O49" s="167">
        <v>42926</v>
      </c>
    </row>
    <row r="50" spans="1:15" ht="16.5" thickBot="1" x14ac:dyDescent="0.3">
      <c r="A50" s="287"/>
      <c r="B50" s="290"/>
      <c r="C50" s="133"/>
      <c r="D50" s="128"/>
      <c r="E50" s="133"/>
      <c r="F50" s="289">
        <f t="shared" si="0"/>
        <v>0</v>
      </c>
      <c r="I50" s="179">
        <v>0</v>
      </c>
      <c r="J50" s="209"/>
      <c r="K50" s="196">
        <v>0</v>
      </c>
      <c r="L50" s="209"/>
      <c r="M50" s="210">
        <v>3932303</v>
      </c>
      <c r="N50" s="148">
        <v>25125.5</v>
      </c>
      <c r="O50" s="167">
        <v>42934</v>
      </c>
    </row>
    <row r="51" spans="1:15" ht="16.5" thickBot="1" x14ac:dyDescent="0.3">
      <c r="A51" s="287"/>
      <c r="B51" s="290"/>
      <c r="C51" s="133"/>
      <c r="D51" s="128"/>
      <c r="E51" s="133"/>
      <c r="F51" s="289">
        <f t="shared" si="0"/>
        <v>0</v>
      </c>
      <c r="I51" s="273">
        <f>SUM(I31:I50)</f>
        <v>434338</v>
      </c>
      <c r="J51" s="271"/>
      <c r="K51" s="275">
        <f>SUM(K32:K50)</f>
        <v>434338.00000000006</v>
      </c>
      <c r="L51" s="276"/>
      <c r="M51" s="276"/>
      <c r="N51" s="275">
        <f>SUM(N32:N50)</f>
        <v>434338</v>
      </c>
      <c r="O51" s="272"/>
    </row>
    <row r="52" spans="1:15" x14ac:dyDescent="0.25">
      <c r="A52" s="287"/>
      <c r="B52" s="290"/>
      <c r="C52" s="133"/>
      <c r="D52" s="128"/>
      <c r="E52" s="133"/>
      <c r="F52" s="289">
        <f t="shared" si="0"/>
        <v>0</v>
      </c>
    </row>
    <row r="53" spans="1:15" x14ac:dyDescent="0.25">
      <c r="A53" s="287"/>
      <c r="B53" s="290"/>
      <c r="C53" s="133"/>
      <c r="D53" s="128"/>
      <c r="E53" s="133"/>
      <c r="F53" s="289">
        <f t="shared" si="0"/>
        <v>0</v>
      </c>
    </row>
    <row r="54" spans="1:15" x14ac:dyDescent="0.25">
      <c r="A54" s="287"/>
      <c r="B54" s="291"/>
      <c r="C54" s="139"/>
      <c r="D54" s="128"/>
      <c r="E54" s="148"/>
      <c r="F54" s="166">
        <f t="shared" si="0"/>
        <v>0</v>
      </c>
    </row>
    <row r="55" spans="1:15" ht="15.75" thickBot="1" x14ac:dyDescent="0.3">
      <c r="A55" s="131"/>
      <c r="B55" s="291"/>
      <c r="C55" s="139"/>
      <c r="D55" s="209"/>
      <c r="E55" s="139"/>
      <c r="F55" s="166">
        <f t="shared" si="0"/>
        <v>0</v>
      </c>
    </row>
    <row r="56" spans="1:15" ht="16.5" thickBot="1" x14ac:dyDescent="0.3">
      <c r="A56" s="271"/>
      <c r="B56" s="335"/>
      <c r="C56" s="336">
        <f>SUM(C3:C55)</f>
        <v>1406211.5699999998</v>
      </c>
      <c r="D56" s="335"/>
      <c r="E56" s="275">
        <f>SUM(E3:E55)</f>
        <v>1406211.5699999998</v>
      </c>
      <c r="F56" s="337">
        <f>SUM(F3:F55)</f>
        <v>0</v>
      </c>
    </row>
  </sheetData>
  <sortState ref="A33:C38">
    <sortCondition ref="B33:B38"/>
  </sortState>
  <mergeCells count="1">
    <mergeCell ref="C1:E1"/>
  </mergeCells>
  <pageMargins left="0.70866141732283472" right="0.11811023622047245" top="0.74803149606299213" bottom="0.15748031496062992" header="0.31496062992125984" footer="0.31496062992125984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68"/>
  <sheetViews>
    <sheetView topLeftCell="A22" workbookViewId="0">
      <selection activeCell="I14" sqref="I14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5" max="15" width="13" style="12" customWidth="1"/>
    <col min="16" max="16" width="14.140625" bestFit="1" customWidth="1"/>
    <col min="17" max="17" width="11.42578125" style="6"/>
    <col min="18" max="18" width="11.42578125" style="12"/>
    <col min="19" max="19" width="14.140625" bestFit="1" customWidth="1"/>
    <col min="20" max="20" width="8.140625" customWidth="1"/>
    <col min="22" max="22" width="11.42578125" style="5" customWidth="1"/>
    <col min="23" max="23" width="8.7109375" customWidth="1"/>
    <col min="24" max="24" width="12.28515625" style="12" customWidth="1"/>
    <col min="25" max="25" width="11.42578125" style="12"/>
    <col min="26" max="26" width="22.5703125" customWidth="1"/>
    <col min="27" max="27" width="14.140625" bestFit="1" customWidth="1"/>
    <col min="28" max="28" width="11.42578125" style="4"/>
  </cols>
  <sheetData>
    <row r="1" spans="1:28" ht="23.25" x14ac:dyDescent="0.35">
      <c r="A1" s="1"/>
      <c r="B1" s="525" t="s">
        <v>826</v>
      </c>
      <c r="C1" s="525"/>
      <c r="D1" s="525"/>
      <c r="E1" s="525"/>
      <c r="F1" s="525"/>
      <c r="G1" s="525"/>
      <c r="H1" s="525"/>
      <c r="I1" s="525"/>
      <c r="J1" s="525"/>
      <c r="L1" s="2" t="s">
        <v>907</v>
      </c>
      <c r="M1" s="3"/>
      <c r="O1" s="1"/>
      <c r="P1" s="525" t="s">
        <v>826</v>
      </c>
      <c r="Q1" s="525"/>
      <c r="R1" s="525"/>
      <c r="S1" s="525"/>
      <c r="T1" s="525"/>
      <c r="U1" s="525"/>
      <c r="V1" s="525"/>
      <c r="W1" s="525"/>
      <c r="X1" s="525"/>
      <c r="Z1" s="2" t="s">
        <v>1</v>
      </c>
      <c r="AA1" s="3"/>
    </row>
    <row r="2" spans="1:28" ht="15.75" thickBot="1" x14ac:dyDescent="0.3">
      <c r="A2" s="1"/>
      <c r="B2" s="5" t="s">
        <v>827</v>
      </c>
      <c r="D2" s="496"/>
      <c r="E2" s="8"/>
      <c r="L2" s="9"/>
      <c r="M2" s="3"/>
      <c r="O2" s="1"/>
      <c r="P2" s="5" t="s">
        <v>827</v>
      </c>
      <c r="R2" s="487"/>
      <c r="S2" s="8"/>
      <c r="Z2" s="9"/>
      <c r="AA2" s="3"/>
    </row>
    <row r="3" spans="1:28" ht="19.5" customHeight="1" thickBot="1" x14ac:dyDescent="0.35">
      <c r="A3" s="512" t="s">
        <v>3</v>
      </c>
      <c r="B3" s="10" t="s">
        <v>4</v>
      </c>
      <c r="C3" s="11"/>
      <c r="D3" s="526" t="s">
        <v>2</v>
      </c>
      <c r="E3" s="526"/>
      <c r="F3" s="526"/>
      <c r="G3" s="527">
        <v>2000</v>
      </c>
      <c r="H3" s="527"/>
      <c r="I3" s="5"/>
      <c r="L3" s="9"/>
      <c r="M3" s="3"/>
      <c r="O3" s="512" t="s">
        <v>3</v>
      </c>
      <c r="P3" s="10" t="s">
        <v>4</v>
      </c>
      <c r="Q3" s="11"/>
      <c r="R3" s="526" t="s">
        <v>2</v>
      </c>
      <c r="S3" s="526"/>
      <c r="T3" s="526"/>
      <c r="U3" s="527">
        <v>2000</v>
      </c>
      <c r="V3" s="527"/>
      <c r="W3" s="5"/>
      <c r="Z3" s="9"/>
      <c r="AA3" s="3"/>
    </row>
    <row r="4" spans="1:28" ht="20.25" thickTop="1" thickBot="1" x14ac:dyDescent="0.35">
      <c r="A4" s="513"/>
      <c r="B4" s="13">
        <v>125687.1</v>
      </c>
      <c r="C4" s="14"/>
      <c r="D4" s="530" t="s">
        <v>8</v>
      </c>
      <c r="E4" s="531"/>
      <c r="H4" s="532" t="s">
        <v>9</v>
      </c>
      <c r="I4" s="533"/>
      <c r="J4" s="533"/>
      <c r="K4" s="533"/>
      <c r="L4" s="500" t="s">
        <v>10</v>
      </c>
      <c r="M4" s="506" t="s">
        <v>11</v>
      </c>
      <c r="O4" s="513"/>
      <c r="P4" s="13">
        <v>125687.1</v>
      </c>
      <c r="Q4" s="14"/>
      <c r="R4" s="530" t="s">
        <v>8</v>
      </c>
      <c r="S4" s="531"/>
      <c r="V4" s="532" t="s">
        <v>9</v>
      </c>
      <c r="W4" s="533"/>
      <c r="X4" s="533"/>
      <c r="Y4" s="533"/>
      <c r="Z4" s="15" t="s">
        <v>10</v>
      </c>
      <c r="AA4" s="16" t="s">
        <v>11</v>
      </c>
    </row>
    <row r="5" spans="1:28" ht="16.5" thickTop="1" thickBot="1" x14ac:dyDescent="0.3">
      <c r="A5" s="412">
        <v>42948</v>
      </c>
      <c r="B5" s="413">
        <v>22083</v>
      </c>
      <c r="C5" s="20" t="s">
        <v>854</v>
      </c>
      <c r="D5" s="433">
        <v>42948</v>
      </c>
      <c r="E5" s="434">
        <v>20298</v>
      </c>
      <c r="F5" s="23"/>
      <c r="G5" s="24">
        <v>42948</v>
      </c>
      <c r="H5" s="439">
        <v>0</v>
      </c>
      <c r="I5" s="26"/>
      <c r="J5" s="451"/>
      <c r="K5" s="451"/>
      <c r="L5" s="501" t="s">
        <v>855</v>
      </c>
      <c r="M5" s="507">
        <v>0</v>
      </c>
      <c r="O5" s="412">
        <v>42948</v>
      </c>
      <c r="P5" s="413">
        <v>22083</v>
      </c>
      <c r="Q5" s="20" t="s">
        <v>854</v>
      </c>
      <c r="R5" s="433">
        <v>42948</v>
      </c>
      <c r="S5" s="434">
        <v>20298</v>
      </c>
      <c r="T5" s="23"/>
      <c r="U5" s="24">
        <v>42948</v>
      </c>
      <c r="V5" s="439">
        <v>0</v>
      </c>
      <c r="W5" s="26"/>
      <c r="X5" s="451"/>
      <c r="Y5" s="451"/>
      <c r="Z5" s="493" t="s">
        <v>855</v>
      </c>
      <c r="AA5" s="29"/>
      <c r="AB5" s="30"/>
    </row>
    <row r="6" spans="1:28" ht="15.75" thickBot="1" x14ac:dyDescent="0.3">
      <c r="A6" s="414">
        <v>42949</v>
      </c>
      <c r="B6" s="415">
        <v>23861.5</v>
      </c>
      <c r="C6" s="20" t="s">
        <v>856</v>
      </c>
      <c r="D6" s="435">
        <v>42949</v>
      </c>
      <c r="E6" s="436">
        <v>24731.5</v>
      </c>
      <c r="F6" s="36"/>
      <c r="G6" s="24">
        <v>42949</v>
      </c>
      <c r="H6" s="440">
        <v>0</v>
      </c>
      <c r="I6" s="38"/>
      <c r="J6" s="106" t="s">
        <v>15</v>
      </c>
      <c r="K6" s="452">
        <v>549</v>
      </c>
      <c r="L6" s="502" t="s">
        <v>857</v>
      </c>
      <c r="M6" s="508">
        <v>0</v>
      </c>
      <c r="O6" s="414">
        <v>42949</v>
      </c>
      <c r="P6" s="415">
        <v>23861.5</v>
      </c>
      <c r="Q6" s="20" t="s">
        <v>856</v>
      </c>
      <c r="R6" s="435">
        <v>42949</v>
      </c>
      <c r="S6" s="436">
        <v>24731.5</v>
      </c>
      <c r="T6" s="36"/>
      <c r="U6" s="24">
        <v>42949</v>
      </c>
      <c r="V6" s="440">
        <v>0</v>
      </c>
      <c r="W6" s="38"/>
      <c r="X6" s="106" t="s">
        <v>15</v>
      </c>
      <c r="Y6" s="452">
        <v>549</v>
      </c>
      <c r="Z6" s="445" t="s">
        <v>857</v>
      </c>
      <c r="AA6" s="29"/>
      <c r="AB6" s="30"/>
    </row>
    <row r="7" spans="1:28" ht="15.75" thickBot="1" x14ac:dyDescent="0.3">
      <c r="A7" s="414">
        <v>42950</v>
      </c>
      <c r="B7" s="415">
        <v>23871</v>
      </c>
      <c r="C7" s="20" t="s">
        <v>858</v>
      </c>
      <c r="D7" s="435">
        <v>42950</v>
      </c>
      <c r="E7" s="436">
        <v>35136.5</v>
      </c>
      <c r="F7" s="23"/>
      <c r="G7" s="24">
        <v>42950</v>
      </c>
      <c r="H7" s="440">
        <v>0</v>
      </c>
      <c r="I7" s="38"/>
      <c r="J7" s="459" t="s">
        <v>18</v>
      </c>
      <c r="K7" s="453">
        <v>17005</v>
      </c>
      <c r="L7" s="502" t="s">
        <v>861</v>
      </c>
      <c r="M7" s="508">
        <v>0</v>
      </c>
      <c r="O7" s="414">
        <v>42950</v>
      </c>
      <c r="P7" s="415">
        <v>23871</v>
      </c>
      <c r="Q7" s="20" t="s">
        <v>858</v>
      </c>
      <c r="R7" s="435">
        <v>42950</v>
      </c>
      <c r="S7" s="436">
        <v>35136.5</v>
      </c>
      <c r="T7" s="23"/>
      <c r="U7" s="24">
        <v>42950</v>
      </c>
      <c r="V7" s="440">
        <v>0</v>
      </c>
      <c r="W7" s="38"/>
      <c r="X7" s="459" t="s">
        <v>18</v>
      </c>
      <c r="Y7" s="453">
        <v>0</v>
      </c>
      <c r="Z7" s="445" t="s">
        <v>861</v>
      </c>
      <c r="AA7" s="29"/>
      <c r="AB7" s="45"/>
    </row>
    <row r="8" spans="1:28" ht="15.75" thickBot="1" x14ac:dyDescent="0.3">
      <c r="A8" s="414">
        <v>42951</v>
      </c>
      <c r="B8" s="415">
        <v>64783.5</v>
      </c>
      <c r="C8" s="48" t="s">
        <v>859</v>
      </c>
      <c r="D8" s="435">
        <v>42951</v>
      </c>
      <c r="E8" s="436">
        <v>64816.5</v>
      </c>
      <c r="F8" s="23"/>
      <c r="G8" s="24">
        <v>42951</v>
      </c>
      <c r="H8" s="440">
        <v>33</v>
      </c>
      <c r="I8" s="38"/>
      <c r="J8" s="106" t="s">
        <v>22</v>
      </c>
      <c r="K8" s="490">
        <f>7187.5+7187.5+7187.5+7187.5</f>
        <v>28750</v>
      </c>
      <c r="L8" s="502" t="s">
        <v>860</v>
      </c>
      <c r="M8" s="508">
        <v>0</v>
      </c>
      <c r="O8" s="414">
        <v>42951</v>
      </c>
      <c r="P8" s="415">
        <v>64783.5</v>
      </c>
      <c r="Q8" s="48" t="s">
        <v>859</v>
      </c>
      <c r="R8" s="435">
        <v>42951</v>
      </c>
      <c r="S8" s="436">
        <v>64816.5</v>
      </c>
      <c r="T8" s="23"/>
      <c r="U8" s="24">
        <v>42951</v>
      </c>
      <c r="V8" s="440">
        <v>33</v>
      </c>
      <c r="W8" s="38"/>
      <c r="X8" s="106" t="s">
        <v>22</v>
      </c>
      <c r="Y8" s="490">
        <f>7187.5+7187.5+7187.5+7187.5</f>
        <v>28750</v>
      </c>
      <c r="Z8" s="445" t="s">
        <v>860</v>
      </c>
      <c r="AA8" s="29"/>
      <c r="AB8" s="45"/>
    </row>
    <row r="9" spans="1:28" ht="15.75" thickBot="1" x14ac:dyDescent="0.3">
      <c r="A9" s="414">
        <v>42952</v>
      </c>
      <c r="B9" s="415">
        <v>55854.5</v>
      </c>
      <c r="C9" s="50" t="s">
        <v>862</v>
      </c>
      <c r="D9" s="435">
        <v>42952</v>
      </c>
      <c r="E9" s="436">
        <v>59868</v>
      </c>
      <c r="F9" s="23"/>
      <c r="G9" s="24">
        <v>42952</v>
      </c>
      <c r="H9" s="440">
        <v>0</v>
      </c>
      <c r="I9" s="511" t="s">
        <v>868</v>
      </c>
      <c r="J9" s="106" t="s">
        <v>864</v>
      </c>
      <c r="K9" s="191">
        <v>5663.15</v>
      </c>
      <c r="L9" s="502" t="s">
        <v>863</v>
      </c>
      <c r="M9" s="508">
        <v>0</v>
      </c>
      <c r="O9" s="414">
        <v>42952</v>
      </c>
      <c r="P9" s="415">
        <v>55854.5</v>
      </c>
      <c r="Q9" s="50" t="s">
        <v>862</v>
      </c>
      <c r="R9" s="435">
        <v>42952</v>
      </c>
      <c r="S9" s="436">
        <v>59868</v>
      </c>
      <c r="T9" s="23"/>
      <c r="U9" s="24">
        <v>42952</v>
      </c>
      <c r="V9" s="440">
        <v>0</v>
      </c>
      <c r="W9" s="38" t="s">
        <v>868</v>
      </c>
      <c r="X9" s="106" t="s">
        <v>864</v>
      </c>
      <c r="Y9" s="191">
        <v>5663.15</v>
      </c>
      <c r="Z9" s="445" t="s">
        <v>863</v>
      </c>
      <c r="AA9" s="29"/>
      <c r="AB9" s="30"/>
    </row>
    <row r="10" spans="1:28" ht="15.75" thickBot="1" x14ac:dyDescent="0.3">
      <c r="A10" s="414">
        <v>42953</v>
      </c>
      <c r="B10" s="415">
        <v>43500</v>
      </c>
      <c r="C10" s="48" t="s">
        <v>869</v>
      </c>
      <c r="D10" s="435">
        <v>42953</v>
      </c>
      <c r="E10" s="436">
        <v>43660</v>
      </c>
      <c r="F10" s="23"/>
      <c r="G10" s="24">
        <v>42953</v>
      </c>
      <c r="H10" s="440">
        <v>160</v>
      </c>
      <c r="I10" s="51" t="s">
        <v>903</v>
      </c>
      <c r="J10" s="106" t="s">
        <v>865</v>
      </c>
      <c r="K10" s="191">
        <v>13692.47</v>
      </c>
      <c r="L10" s="502" t="s">
        <v>870</v>
      </c>
      <c r="M10" s="508">
        <v>0</v>
      </c>
      <c r="O10" s="414">
        <v>42953</v>
      </c>
      <c r="P10" s="415">
        <v>43500</v>
      </c>
      <c r="Q10" s="48" t="s">
        <v>869</v>
      </c>
      <c r="R10" s="435">
        <v>42953</v>
      </c>
      <c r="S10" s="436">
        <v>43660</v>
      </c>
      <c r="T10" s="23"/>
      <c r="U10" s="24">
        <v>42953</v>
      </c>
      <c r="V10" s="440">
        <v>160</v>
      </c>
      <c r="W10" s="51" t="s">
        <v>903</v>
      </c>
      <c r="X10" s="106" t="s">
        <v>865</v>
      </c>
      <c r="Y10" s="191">
        <v>13692.47</v>
      </c>
      <c r="Z10" s="445" t="s">
        <v>870</v>
      </c>
      <c r="AA10" s="29"/>
      <c r="AB10" s="45"/>
    </row>
    <row r="11" spans="1:28" ht="15.75" thickBot="1" x14ac:dyDescent="0.3">
      <c r="A11" s="414">
        <v>42954</v>
      </c>
      <c r="B11" s="415">
        <v>38635.5</v>
      </c>
      <c r="C11" s="48" t="s">
        <v>871</v>
      </c>
      <c r="D11" s="435">
        <v>42954</v>
      </c>
      <c r="E11" s="436">
        <v>42561.5</v>
      </c>
      <c r="F11" s="23"/>
      <c r="G11" s="24">
        <v>42954</v>
      </c>
      <c r="H11" s="440">
        <v>0</v>
      </c>
      <c r="I11" s="51" t="s">
        <v>904</v>
      </c>
      <c r="J11" s="106" t="s">
        <v>866</v>
      </c>
      <c r="K11" s="191">
        <v>13463.9</v>
      </c>
      <c r="L11" s="502" t="s">
        <v>872</v>
      </c>
      <c r="M11" s="508">
        <v>0</v>
      </c>
      <c r="O11" s="414">
        <v>42954</v>
      </c>
      <c r="P11" s="415">
        <v>38635.5</v>
      </c>
      <c r="Q11" s="48" t="s">
        <v>871</v>
      </c>
      <c r="R11" s="435">
        <v>42954</v>
      </c>
      <c r="S11" s="436">
        <v>42561.5</v>
      </c>
      <c r="T11" s="23"/>
      <c r="U11" s="24">
        <v>42954</v>
      </c>
      <c r="V11" s="440">
        <v>0</v>
      </c>
      <c r="W11" s="51" t="s">
        <v>904</v>
      </c>
      <c r="X11" s="106" t="s">
        <v>866</v>
      </c>
      <c r="Y11" s="191">
        <v>13463.9</v>
      </c>
      <c r="Z11" s="445" t="s">
        <v>872</v>
      </c>
      <c r="AA11" s="29"/>
      <c r="AB11" s="30"/>
    </row>
    <row r="12" spans="1:28" ht="15.75" thickBot="1" x14ac:dyDescent="0.3">
      <c r="A12" s="414">
        <v>42955</v>
      </c>
      <c r="B12" s="415">
        <v>16228</v>
      </c>
      <c r="C12" s="48" t="s">
        <v>873</v>
      </c>
      <c r="D12" s="435">
        <v>42955</v>
      </c>
      <c r="E12" s="436">
        <v>16242</v>
      </c>
      <c r="F12" s="23"/>
      <c r="G12" s="24">
        <v>42955</v>
      </c>
      <c r="H12" s="440">
        <v>14</v>
      </c>
      <c r="I12" s="51" t="s">
        <v>938</v>
      </c>
      <c r="J12" s="106" t="s">
        <v>867</v>
      </c>
      <c r="K12" s="191">
        <v>13692.47</v>
      </c>
      <c r="L12" s="502" t="s">
        <v>874</v>
      </c>
      <c r="M12" s="508">
        <v>0</v>
      </c>
      <c r="O12" s="414">
        <v>42955</v>
      </c>
      <c r="P12" s="415">
        <v>16228</v>
      </c>
      <c r="Q12" s="48" t="s">
        <v>873</v>
      </c>
      <c r="R12" s="435">
        <v>42955</v>
      </c>
      <c r="S12" s="436">
        <v>16242</v>
      </c>
      <c r="T12" s="23"/>
      <c r="U12" s="24">
        <v>42955</v>
      </c>
      <c r="V12" s="440">
        <v>14</v>
      </c>
      <c r="W12" s="38"/>
      <c r="X12" s="106" t="s">
        <v>867</v>
      </c>
      <c r="Y12" s="191">
        <v>0</v>
      </c>
      <c r="Z12" s="445" t="s">
        <v>874</v>
      </c>
      <c r="AA12" s="29"/>
      <c r="AB12" s="30"/>
    </row>
    <row r="13" spans="1:28" ht="15.75" thickBot="1" x14ac:dyDescent="0.3">
      <c r="A13" s="414">
        <v>42956</v>
      </c>
      <c r="B13" s="415">
        <v>29423.5</v>
      </c>
      <c r="C13" s="48" t="s">
        <v>882</v>
      </c>
      <c r="D13" s="435">
        <v>42956</v>
      </c>
      <c r="E13" s="436">
        <v>29423.5</v>
      </c>
      <c r="F13" s="23"/>
      <c r="G13" s="24">
        <v>42956</v>
      </c>
      <c r="H13" s="440">
        <v>0</v>
      </c>
      <c r="I13" s="38"/>
      <c r="J13" s="368"/>
      <c r="K13" s="452">
        <v>0</v>
      </c>
      <c r="L13" s="502" t="s">
        <v>881</v>
      </c>
      <c r="M13" s="508">
        <v>0</v>
      </c>
      <c r="O13" s="414">
        <v>42956</v>
      </c>
      <c r="P13" s="415">
        <v>29423.5</v>
      </c>
      <c r="Q13" s="48" t="s">
        <v>882</v>
      </c>
      <c r="R13" s="435">
        <v>42956</v>
      </c>
      <c r="S13" s="436">
        <v>29423.5</v>
      </c>
      <c r="T13" s="23"/>
      <c r="U13" s="24">
        <v>42956</v>
      </c>
      <c r="V13" s="440">
        <v>0</v>
      </c>
      <c r="W13" s="38"/>
      <c r="X13" s="368"/>
      <c r="Y13" s="452">
        <v>0</v>
      </c>
      <c r="Z13" s="445" t="s">
        <v>881</v>
      </c>
      <c r="AA13" s="29"/>
      <c r="AB13" s="45"/>
    </row>
    <row r="14" spans="1:28" ht="15.75" thickBot="1" x14ac:dyDescent="0.3">
      <c r="A14" s="414">
        <v>42957</v>
      </c>
      <c r="B14" s="415">
        <v>25087.5</v>
      </c>
      <c r="C14" s="50" t="s">
        <v>884</v>
      </c>
      <c r="D14" s="435">
        <v>42957</v>
      </c>
      <c r="E14" s="436">
        <v>25087.5</v>
      </c>
      <c r="F14" s="23"/>
      <c r="G14" s="24">
        <v>42957</v>
      </c>
      <c r="H14" s="440">
        <v>0</v>
      </c>
      <c r="I14" s="38"/>
      <c r="J14" s="460"/>
      <c r="K14" s="452">
        <v>0</v>
      </c>
      <c r="L14" s="502" t="s">
        <v>883</v>
      </c>
      <c r="M14" s="508">
        <v>0</v>
      </c>
      <c r="O14" s="414">
        <v>42957</v>
      </c>
      <c r="P14" s="415">
        <v>25087.5</v>
      </c>
      <c r="Q14" s="50" t="s">
        <v>884</v>
      </c>
      <c r="R14" s="435">
        <v>42957</v>
      </c>
      <c r="S14" s="436">
        <v>25087.5</v>
      </c>
      <c r="T14" s="23"/>
      <c r="U14" s="24">
        <v>42957</v>
      </c>
      <c r="V14" s="440">
        <v>0</v>
      </c>
      <c r="W14" s="38"/>
      <c r="X14" s="460"/>
      <c r="Y14" s="452">
        <v>0</v>
      </c>
      <c r="Z14" s="445" t="s">
        <v>883</v>
      </c>
      <c r="AA14" s="29"/>
      <c r="AB14" s="45"/>
    </row>
    <row r="15" spans="1:28" ht="15.75" thickBot="1" x14ac:dyDescent="0.3">
      <c r="A15" s="414">
        <v>42958</v>
      </c>
      <c r="B15" s="415">
        <v>58915</v>
      </c>
      <c r="C15" s="50" t="s">
        <v>886</v>
      </c>
      <c r="D15" s="435">
        <v>42958</v>
      </c>
      <c r="E15" s="436">
        <v>62515.5</v>
      </c>
      <c r="F15" s="23"/>
      <c r="G15" s="24">
        <v>42958</v>
      </c>
      <c r="H15" s="440">
        <v>0</v>
      </c>
      <c r="I15" s="38"/>
      <c r="J15" s="482" t="s">
        <v>44</v>
      </c>
      <c r="K15" s="452">
        <v>0</v>
      </c>
      <c r="L15" s="502" t="s">
        <v>885</v>
      </c>
      <c r="M15" s="508">
        <v>0</v>
      </c>
      <c r="O15" s="414">
        <v>42958</v>
      </c>
      <c r="P15" s="415">
        <v>58915</v>
      </c>
      <c r="Q15" s="50" t="s">
        <v>886</v>
      </c>
      <c r="R15" s="435">
        <v>42958</v>
      </c>
      <c r="S15" s="436">
        <v>62515.5</v>
      </c>
      <c r="T15" s="23"/>
      <c r="U15" s="24">
        <v>42958</v>
      </c>
      <c r="V15" s="440">
        <v>0</v>
      </c>
      <c r="W15" s="38"/>
      <c r="X15" s="482" t="s">
        <v>44</v>
      </c>
      <c r="Y15" s="452">
        <v>0</v>
      </c>
      <c r="Z15" s="445" t="s">
        <v>885</v>
      </c>
      <c r="AA15" s="456"/>
      <c r="AB15" s="45"/>
    </row>
    <row r="16" spans="1:28" ht="15.75" thickBot="1" x14ac:dyDescent="0.3">
      <c r="A16" s="414">
        <v>42959</v>
      </c>
      <c r="B16" s="415">
        <v>59190</v>
      </c>
      <c r="C16" s="50" t="s">
        <v>888</v>
      </c>
      <c r="D16" s="435">
        <v>42959</v>
      </c>
      <c r="E16" s="436">
        <v>59190</v>
      </c>
      <c r="F16" s="23"/>
      <c r="G16" s="24">
        <v>42959</v>
      </c>
      <c r="H16" s="440">
        <v>0</v>
      </c>
      <c r="I16" s="38"/>
      <c r="J16" s="54"/>
      <c r="K16" s="455">
        <v>0</v>
      </c>
      <c r="L16" s="503" t="s">
        <v>887</v>
      </c>
      <c r="M16" s="508">
        <v>0</v>
      </c>
      <c r="O16" s="414">
        <v>42959</v>
      </c>
      <c r="P16" s="415">
        <v>59190</v>
      </c>
      <c r="Q16" s="50" t="s">
        <v>888</v>
      </c>
      <c r="R16" s="435">
        <v>42959</v>
      </c>
      <c r="S16" s="436">
        <v>59190</v>
      </c>
      <c r="T16" s="23"/>
      <c r="U16" s="24">
        <v>42959</v>
      </c>
      <c r="V16" s="440">
        <v>0</v>
      </c>
      <c r="W16" s="38"/>
      <c r="X16" s="54"/>
      <c r="Y16" s="455">
        <v>0</v>
      </c>
      <c r="Z16" s="494" t="s">
        <v>887</v>
      </c>
      <c r="AA16" s="29"/>
      <c r="AB16" s="45"/>
    </row>
    <row r="17" spans="1:28" ht="15.75" customHeight="1" thickBot="1" x14ac:dyDescent="0.3">
      <c r="A17" s="414">
        <v>42960</v>
      </c>
      <c r="B17" s="415">
        <f>63205.5+342</f>
        <v>63547.5</v>
      </c>
      <c r="C17" s="50" t="s">
        <v>889</v>
      </c>
      <c r="D17" s="435">
        <v>42960</v>
      </c>
      <c r="E17" s="436">
        <v>52951.5</v>
      </c>
      <c r="F17" s="23"/>
      <c r="G17" s="24">
        <v>42960</v>
      </c>
      <c r="H17" s="440">
        <v>30</v>
      </c>
      <c r="I17" s="38"/>
      <c r="J17" s="522" t="s">
        <v>49</v>
      </c>
      <c r="K17" s="455">
        <v>0</v>
      </c>
      <c r="L17" s="502" t="s">
        <v>893</v>
      </c>
      <c r="M17" s="508">
        <v>0</v>
      </c>
      <c r="O17" s="414">
        <v>42960</v>
      </c>
      <c r="P17" s="415">
        <f>63205.5+342</f>
        <v>63547.5</v>
      </c>
      <c r="Q17" s="50" t="s">
        <v>889</v>
      </c>
      <c r="R17" s="435">
        <v>42960</v>
      </c>
      <c r="S17" s="436">
        <v>52951.5</v>
      </c>
      <c r="T17" s="23"/>
      <c r="U17" s="24">
        <v>42960</v>
      </c>
      <c r="V17" s="440">
        <v>30</v>
      </c>
      <c r="W17" s="38"/>
      <c r="X17" s="522" t="s">
        <v>49</v>
      </c>
      <c r="Y17" s="455">
        <v>0</v>
      </c>
      <c r="Z17" s="445" t="s">
        <v>893</v>
      </c>
      <c r="AA17" s="29"/>
      <c r="AB17" s="45"/>
    </row>
    <row r="18" spans="1:28" ht="15.75" thickBot="1" x14ac:dyDescent="0.3">
      <c r="A18" s="414">
        <v>42961</v>
      </c>
      <c r="B18" s="415">
        <v>32056.5</v>
      </c>
      <c r="C18" s="48" t="s">
        <v>891</v>
      </c>
      <c r="D18" s="435">
        <v>42961</v>
      </c>
      <c r="E18" s="436">
        <v>34056.5</v>
      </c>
      <c r="F18" s="23"/>
      <c r="G18" s="24">
        <v>42961</v>
      </c>
      <c r="H18" s="440">
        <v>12</v>
      </c>
      <c r="I18" s="56"/>
      <c r="J18" s="522"/>
      <c r="K18" s="456">
        <v>0</v>
      </c>
      <c r="L18" s="502" t="s">
        <v>894</v>
      </c>
      <c r="M18" s="508">
        <v>0</v>
      </c>
      <c r="O18" s="414">
        <v>42961</v>
      </c>
      <c r="P18" s="415">
        <v>32056.5</v>
      </c>
      <c r="Q18" s="48" t="s">
        <v>891</v>
      </c>
      <c r="R18" s="435">
        <v>42961</v>
      </c>
      <c r="S18" s="436">
        <v>34056.5</v>
      </c>
      <c r="T18" s="23"/>
      <c r="U18" s="24">
        <v>42961</v>
      </c>
      <c r="V18" s="440">
        <v>12</v>
      </c>
      <c r="W18" s="56"/>
      <c r="X18" s="522"/>
      <c r="Y18" s="456">
        <v>0</v>
      </c>
      <c r="Z18" s="445" t="s">
        <v>894</v>
      </c>
      <c r="AA18" s="29"/>
      <c r="AB18" s="45"/>
    </row>
    <row r="19" spans="1:28" ht="16.5" thickBot="1" x14ac:dyDescent="0.3">
      <c r="A19" s="414">
        <v>42962</v>
      </c>
      <c r="B19" s="415">
        <v>0</v>
      </c>
      <c r="C19" s="50"/>
      <c r="D19" s="435">
        <v>42962</v>
      </c>
      <c r="E19" s="436">
        <v>29528</v>
      </c>
      <c r="F19" s="23"/>
      <c r="G19" s="24">
        <v>42962</v>
      </c>
      <c r="H19" s="440">
        <v>33</v>
      </c>
      <c r="I19" s="38"/>
      <c r="J19" s="368" t="s">
        <v>54</v>
      </c>
      <c r="K19" s="456">
        <v>0</v>
      </c>
      <c r="L19" s="502" t="s">
        <v>892</v>
      </c>
      <c r="M19" s="509">
        <v>29495</v>
      </c>
      <c r="O19" s="414">
        <v>42962</v>
      </c>
      <c r="P19" s="415">
        <v>0</v>
      </c>
      <c r="Q19" s="50"/>
      <c r="R19" s="435">
        <v>42962</v>
      </c>
      <c r="S19" s="436">
        <v>29528</v>
      </c>
      <c r="T19" s="23"/>
      <c r="U19" s="24">
        <v>42962</v>
      </c>
      <c r="V19" s="440">
        <v>33</v>
      </c>
      <c r="W19" s="38"/>
      <c r="X19" s="368" t="s">
        <v>54</v>
      </c>
      <c r="Y19" s="456">
        <v>0</v>
      </c>
      <c r="Z19" s="445" t="s">
        <v>892</v>
      </c>
      <c r="AA19" s="456">
        <v>29495</v>
      </c>
      <c r="AB19" s="45"/>
    </row>
    <row r="20" spans="1:28" ht="16.5" thickBot="1" x14ac:dyDescent="0.3">
      <c r="A20" s="414">
        <v>42963</v>
      </c>
      <c r="B20" s="415">
        <v>0</v>
      </c>
      <c r="C20" s="57"/>
      <c r="D20" s="435">
        <v>42963</v>
      </c>
      <c r="E20" s="436">
        <v>30711.5</v>
      </c>
      <c r="F20" s="23"/>
      <c r="G20" s="24">
        <v>42963</v>
      </c>
      <c r="H20" s="440">
        <v>20</v>
      </c>
      <c r="I20" s="58"/>
      <c r="J20" s="59" t="s">
        <v>57</v>
      </c>
      <c r="K20" s="109">
        <v>0</v>
      </c>
      <c r="L20" s="502" t="s">
        <v>895</v>
      </c>
      <c r="M20" s="509">
        <v>30691.5</v>
      </c>
      <c r="O20" s="414">
        <v>42963</v>
      </c>
      <c r="P20" s="415">
        <v>0</v>
      </c>
      <c r="Q20" s="57"/>
      <c r="R20" s="435">
        <v>42963</v>
      </c>
      <c r="S20" s="436">
        <v>30711.5</v>
      </c>
      <c r="T20" s="23"/>
      <c r="U20" s="24">
        <v>42963</v>
      </c>
      <c r="V20" s="440">
        <v>20</v>
      </c>
      <c r="W20" s="58"/>
      <c r="X20" s="59" t="s">
        <v>57</v>
      </c>
      <c r="Y20" s="109">
        <v>0</v>
      </c>
      <c r="Z20" s="445" t="s">
        <v>895</v>
      </c>
      <c r="AA20" s="456">
        <v>30691.5</v>
      </c>
      <c r="AB20" s="45"/>
    </row>
    <row r="21" spans="1:28" ht="15.75" thickBot="1" x14ac:dyDescent="0.3">
      <c r="A21" s="414">
        <v>42964</v>
      </c>
      <c r="B21" s="415">
        <v>24104</v>
      </c>
      <c r="C21" s="57" t="s">
        <v>901</v>
      </c>
      <c r="D21" s="435">
        <v>42964</v>
      </c>
      <c r="E21" s="436">
        <v>22662</v>
      </c>
      <c r="F21" s="23"/>
      <c r="G21" s="24">
        <v>42964</v>
      </c>
      <c r="H21" s="440">
        <v>0</v>
      </c>
      <c r="I21" s="450" t="s">
        <v>638</v>
      </c>
      <c r="J21" s="63"/>
      <c r="K21" s="109"/>
      <c r="L21" s="502" t="s">
        <v>900</v>
      </c>
      <c r="M21" s="508">
        <v>0</v>
      </c>
      <c r="O21" s="414">
        <v>42964</v>
      </c>
      <c r="P21" s="415">
        <v>24104</v>
      </c>
      <c r="Q21" s="57" t="s">
        <v>901</v>
      </c>
      <c r="R21" s="435">
        <v>42964</v>
      </c>
      <c r="S21" s="436">
        <v>22662</v>
      </c>
      <c r="T21" s="23"/>
      <c r="U21" s="24">
        <v>42964</v>
      </c>
      <c r="V21" s="440">
        <v>0</v>
      </c>
      <c r="W21" s="450" t="s">
        <v>638</v>
      </c>
      <c r="X21" s="63"/>
      <c r="Y21" s="109"/>
      <c r="Z21" s="445" t="s">
        <v>900</v>
      </c>
      <c r="AA21" s="29"/>
      <c r="AB21" s="45"/>
    </row>
    <row r="22" spans="1:28" ht="15.75" thickBot="1" x14ac:dyDescent="0.3">
      <c r="A22" s="414">
        <v>42965</v>
      </c>
      <c r="B22" s="415">
        <v>65389.5</v>
      </c>
      <c r="C22" s="50" t="s">
        <v>902</v>
      </c>
      <c r="D22" s="435">
        <v>42965</v>
      </c>
      <c r="E22" s="436">
        <v>67616.800000000003</v>
      </c>
      <c r="F22" s="23"/>
      <c r="G22" s="24">
        <v>42965</v>
      </c>
      <c r="H22" s="440">
        <v>10</v>
      </c>
      <c r="I22" s="58"/>
      <c r="J22" s="449"/>
      <c r="K22" s="109">
        <v>0</v>
      </c>
      <c r="L22" s="502" t="s">
        <v>899</v>
      </c>
      <c r="M22" s="508">
        <v>0</v>
      </c>
      <c r="O22" s="414">
        <v>42965</v>
      </c>
      <c r="P22" s="415">
        <v>65389.5</v>
      </c>
      <c r="Q22" s="50" t="s">
        <v>902</v>
      </c>
      <c r="R22" s="435">
        <v>42965</v>
      </c>
      <c r="S22" s="436">
        <v>67616.800000000003</v>
      </c>
      <c r="T22" s="23"/>
      <c r="U22" s="24">
        <v>42965</v>
      </c>
      <c r="V22" s="440">
        <v>10</v>
      </c>
      <c r="W22" s="58"/>
      <c r="X22" s="449"/>
      <c r="Y22" s="109">
        <v>0</v>
      </c>
      <c r="Z22" s="445" t="s">
        <v>899</v>
      </c>
      <c r="AA22" s="29"/>
      <c r="AB22" s="45"/>
    </row>
    <row r="23" spans="1:28" ht="15.75" thickBot="1" x14ac:dyDescent="0.3">
      <c r="A23" s="414">
        <v>42966</v>
      </c>
      <c r="B23" s="415">
        <v>47346.5</v>
      </c>
      <c r="C23" s="50" t="s">
        <v>911</v>
      </c>
      <c r="D23" s="435">
        <v>42966</v>
      </c>
      <c r="E23" s="436">
        <v>56253</v>
      </c>
      <c r="F23" s="23"/>
      <c r="G23" s="24">
        <v>42966</v>
      </c>
      <c r="H23" s="440">
        <v>0</v>
      </c>
      <c r="I23" s="38"/>
      <c r="J23" s="63"/>
      <c r="K23" s="109">
        <v>0</v>
      </c>
      <c r="L23" s="502" t="s">
        <v>912</v>
      </c>
      <c r="M23" s="508">
        <v>0</v>
      </c>
      <c r="O23" s="414">
        <v>42966</v>
      </c>
      <c r="P23" s="415"/>
      <c r="Q23" s="50"/>
      <c r="R23" s="435">
        <v>42966</v>
      </c>
      <c r="S23" s="436"/>
      <c r="T23" s="23"/>
      <c r="U23" s="24">
        <v>42966</v>
      </c>
      <c r="V23" s="440"/>
      <c r="W23" s="38"/>
      <c r="X23" s="63"/>
      <c r="Y23" s="109">
        <v>0</v>
      </c>
      <c r="Z23" s="445"/>
      <c r="AA23" s="29"/>
      <c r="AB23" s="45"/>
    </row>
    <row r="24" spans="1:28" ht="15.75" thickBot="1" x14ac:dyDescent="0.3">
      <c r="A24" s="414">
        <v>42967</v>
      </c>
      <c r="B24" s="415">
        <v>83320.5</v>
      </c>
      <c r="C24" s="50" t="s">
        <v>921</v>
      </c>
      <c r="D24" s="435">
        <v>42967</v>
      </c>
      <c r="E24" s="436">
        <v>83320.5</v>
      </c>
      <c r="F24" s="23"/>
      <c r="G24" s="24">
        <v>42967</v>
      </c>
      <c r="H24" s="440">
        <v>0</v>
      </c>
      <c r="I24" s="38"/>
      <c r="J24" s="359" t="s">
        <v>66</v>
      </c>
      <c r="K24" s="109">
        <v>870</v>
      </c>
      <c r="L24" s="502" t="s">
        <v>920</v>
      </c>
      <c r="M24" s="508">
        <v>0</v>
      </c>
      <c r="O24" s="414">
        <v>42967</v>
      </c>
      <c r="P24" s="415"/>
      <c r="Q24" s="50"/>
      <c r="R24" s="435">
        <v>42967</v>
      </c>
      <c r="S24" s="436"/>
      <c r="T24" s="23"/>
      <c r="U24" s="24">
        <v>42967</v>
      </c>
      <c r="V24" s="440"/>
      <c r="W24" s="38"/>
      <c r="X24" s="359" t="s">
        <v>66</v>
      </c>
      <c r="Y24" s="109">
        <v>870</v>
      </c>
      <c r="Z24" s="445"/>
      <c r="AA24" s="29"/>
      <c r="AB24" s="45"/>
    </row>
    <row r="25" spans="1:28" ht="15.75" thickBot="1" x14ac:dyDescent="0.3">
      <c r="A25" s="414">
        <v>42968</v>
      </c>
      <c r="B25" s="415">
        <v>41948</v>
      </c>
      <c r="C25" s="57" t="s">
        <v>923</v>
      </c>
      <c r="D25" s="435">
        <v>42968</v>
      </c>
      <c r="E25" s="436">
        <v>46406.35</v>
      </c>
      <c r="F25" s="23"/>
      <c r="G25" s="24">
        <v>42968</v>
      </c>
      <c r="H25" s="440">
        <v>30</v>
      </c>
      <c r="I25" s="38"/>
      <c r="J25" s="68">
        <v>42949</v>
      </c>
      <c r="K25" s="109">
        <v>0</v>
      </c>
      <c r="L25" s="502" t="s">
        <v>922</v>
      </c>
      <c r="M25" s="508">
        <v>0</v>
      </c>
      <c r="O25" s="414">
        <v>42968</v>
      </c>
      <c r="P25" s="415"/>
      <c r="Q25" s="57"/>
      <c r="R25" s="435">
        <v>42968</v>
      </c>
      <c r="S25" s="436"/>
      <c r="T25" s="23"/>
      <c r="U25" s="24">
        <v>42968</v>
      </c>
      <c r="V25" s="440"/>
      <c r="W25" s="38"/>
      <c r="X25" s="68">
        <v>42949</v>
      </c>
      <c r="Y25" s="109">
        <v>0</v>
      </c>
      <c r="Z25" s="445"/>
      <c r="AA25" s="29"/>
      <c r="AB25" s="45"/>
    </row>
    <row r="26" spans="1:28" ht="15.75" thickBot="1" x14ac:dyDescent="0.3">
      <c r="A26" s="414">
        <v>42969</v>
      </c>
      <c r="B26" s="415">
        <v>22963.5</v>
      </c>
      <c r="C26" s="50" t="s">
        <v>925</v>
      </c>
      <c r="D26" s="435">
        <v>42969</v>
      </c>
      <c r="E26" s="436">
        <v>14681.5</v>
      </c>
      <c r="F26" s="23"/>
      <c r="G26" s="24">
        <v>42969</v>
      </c>
      <c r="H26" s="440">
        <v>0</v>
      </c>
      <c r="I26" s="38"/>
      <c r="J26" s="360" t="s">
        <v>73</v>
      </c>
      <c r="K26" s="109">
        <v>0</v>
      </c>
      <c r="L26" s="504" t="s">
        <v>924</v>
      </c>
      <c r="M26" s="508">
        <v>0</v>
      </c>
      <c r="O26" s="414">
        <v>42969</v>
      </c>
      <c r="P26" s="415"/>
      <c r="Q26" s="50"/>
      <c r="R26" s="435">
        <v>42969</v>
      </c>
      <c r="S26" s="436"/>
      <c r="T26" s="23"/>
      <c r="U26" s="24">
        <v>42969</v>
      </c>
      <c r="V26" s="440"/>
      <c r="W26" s="38"/>
      <c r="X26" s="360" t="s">
        <v>73</v>
      </c>
      <c r="Y26" s="109">
        <v>0</v>
      </c>
      <c r="Z26" s="443"/>
      <c r="AA26" s="29"/>
      <c r="AB26" s="45"/>
    </row>
    <row r="27" spans="1:28" ht="15.75" thickBot="1" x14ac:dyDescent="0.3">
      <c r="A27" s="414">
        <v>42970</v>
      </c>
      <c r="B27" s="415">
        <v>32801.5</v>
      </c>
      <c r="C27" s="50" t="s">
        <v>926</v>
      </c>
      <c r="D27" s="435">
        <v>42970</v>
      </c>
      <c r="E27" s="436">
        <v>40000.5</v>
      </c>
      <c r="F27" s="23"/>
      <c r="G27" s="24">
        <v>42970</v>
      </c>
      <c r="H27" s="440">
        <v>0</v>
      </c>
      <c r="I27" s="38"/>
      <c r="J27" s="68"/>
      <c r="K27" s="109">
        <v>0</v>
      </c>
      <c r="L27" s="504" t="s">
        <v>927</v>
      </c>
      <c r="M27" s="508">
        <v>0</v>
      </c>
      <c r="O27" s="414">
        <v>42970</v>
      </c>
      <c r="P27" s="415"/>
      <c r="Q27" s="50"/>
      <c r="R27" s="435">
        <v>42970</v>
      </c>
      <c r="S27" s="436"/>
      <c r="T27" s="23"/>
      <c r="U27" s="24">
        <v>42970</v>
      </c>
      <c r="V27" s="440"/>
      <c r="W27" s="38"/>
      <c r="X27" s="68"/>
      <c r="Y27" s="109">
        <v>0</v>
      </c>
      <c r="Z27" s="443"/>
      <c r="AA27" s="29"/>
      <c r="AB27" s="45"/>
    </row>
    <row r="28" spans="1:28" ht="15.75" thickBot="1" x14ac:dyDescent="0.3">
      <c r="A28" s="414">
        <v>42971</v>
      </c>
      <c r="B28" s="415">
        <v>53234.5</v>
      </c>
      <c r="C28" s="50" t="s">
        <v>931</v>
      </c>
      <c r="D28" s="435">
        <v>42971</v>
      </c>
      <c r="E28" s="436">
        <v>53277.5</v>
      </c>
      <c r="F28" s="23"/>
      <c r="G28" s="24">
        <v>42971</v>
      </c>
      <c r="H28" s="440">
        <v>43</v>
      </c>
      <c r="I28" s="38"/>
      <c r="J28" s="358" t="s">
        <v>442</v>
      </c>
      <c r="K28" s="109">
        <v>0</v>
      </c>
      <c r="L28" s="446" t="s">
        <v>930</v>
      </c>
      <c r="M28" s="508">
        <v>0</v>
      </c>
      <c r="O28" s="414">
        <v>42971</v>
      </c>
      <c r="P28" s="415"/>
      <c r="Q28" s="50"/>
      <c r="R28" s="435">
        <v>42971</v>
      </c>
      <c r="S28" s="436"/>
      <c r="T28" s="23"/>
      <c r="U28" s="24">
        <v>42971</v>
      </c>
      <c r="V28" s="440"/>
      <c r="W28" s="38"/>
      <c r="X28" s="358" t="s">
        <v>442</v>
      </c>
      <c r="Y28" s="109">
        <v>0</v>
      </c>
      <c r="Z28" s="446"/>
      <c r="AA28" s="29"/>
      <c r="AB28" s="45"/>
    </row>
    <row r="29" spans="1:28" ht="15.75" thickBot="1" x14ac:dyDescent="0.3">
      <c r="A29" s="414">
        <v>42972</v>
      </c>
      <c r="B29" s="415">
        <v>33625</v>
      </c>
      <c r="C29" s="50" t="s">
        <v>932</v>
      </c>
      <c r="D29" s="435">
        <v>42972</v>
      </c>
      <c r="E29" s="436">
        <v>33625</v>
      </c>
      <c r="F29" s="23"/>
      <c r="G29" s="24">
        <v>42972</v>
      </c>
      <c r="H29" s="440">
        <v>0</v>
      </c>
      <c r="I29" s="38"/>
      <c r="J29" s="68"/>
      <c r="K29" s="109">
        <v>0</v>
      </c>
      <c r="L29" s="504" t="s">
        <v>933</v>
      </c>
      <c r="M29" s="508">
        <v>0</v>
      </c>
      <c r="O29" s="414">
        <v>42972</v>
      </c>
      <c r="P29" s="415"/>
      <c r="Q29" s="50"/>
      <c r="R29" s="435">
        <v>42972</v>
      </c>
      <c r="S29" s="436"/>
      <c r="T29" s="23"/>
      <c r="U29" s="24">
        <v>42972</v>
      </c>
      <c r="V29" s="440"/>
      <c r="W29" s="38"/>
      <c r="X29" s="68"/>
      <c r="Y29" s="109">
        <v>0</v>
      </c>
      <c r="Z29" s="443"/>
      <c r="AA29" s="29"/>
      <c r="AB29" s="45"/>
    </row>
    <row r="30" spans="1:28" ht="15.75" thickBot="1" x14ac:dyDescent="0.3">
      <c r="A30" s="414">
        <v>42973</v>
      </c>
      <c r="B30" s="415">
        <v>57054</v>
      </c>
      <c r="C30" s="57" t="s">
        <v>935</v>
      </c>
      <c r="D30" s="435">
        <v>42973</v>
      </c>
      <c r="E30" s="436">
        <v>78653.5</v>
      </c>
      <c r="F30" s="23"/>
      <c r="G30" s="24">
        <v>42973</v>
      </c>
      <c r="H30" s="440">
        <v>0</v>
      </c>
      <c r="I30" s="38"/>
      <c r="J30" s="461" t="s">
        <v>82</v>
      </c>
      <c r="K30" s="109">
        <v>0</v>
      </c>
      <c r="L30" s="446" t="s">
        <v>934</v>
      </c>
      <c r="M30" s="508">
        <v>0</v>
      </c>
      <c r="O30" s="414">
        <v>42973</v>
      </c>
      <c r="P30" s="415"/>
      <c r="Q30" s="57"/>
      <c r="R30" s="435">
        <v>42973</v>
      </c>
      <c r="S30" s="436"/>
      <c r="T30" s="23"/>
      <c r="U30" s="24">
        <v>42973</v>
      </c>
      <c r="V30" s="440"/>
      <c r="W30" s="38"/>
      <c r="X30" s="461" t="s">
        <v>82</v>
      </c>
      <c r="Y30" s="109">
        <v>0</v>
      </c>
      <c r="Z30" s="446"/>
      <c r="AA30" s="29">
        <v>0</v>
      </c>
    </row>
    <row r="31" spans="1:28" ht="15.75" thickBot="1" x14ac:dyDescent="0.3">
      <c r="A31" s="414">
        <v>42974</v>
      </c>
      <c r="B31" s="415">
        <v>60759</v>
      </c>
      <c r="C31" s="57" t="s">
        <v>937</v>
      </c>
      <c r="D31" s="435">
        <v>42974</v>
      </c>
      <c r="E31" s="436">
        <v>46951.5</v>
      </c>
      <c r="F31" s="23"/>
      <c r="G31" s="24">
        <v>42974</v>
      </c>
      <c r="H31" s="440">
        <v>20</v>
      </c>
      <c r="I31" s="38"/>
      <c r="J31" s="68"/>
      <c r="K31" s="109">
        <v>0</v>
      </c>
      <c r="L31" s="446" t="s">
        <v>936</v>
      </c>
      <c r="M31" s="508">
        <v>0</v>
      </c>
      <c r="O31" s="414">
        <v>42974</v>
      </c>
      <c r="P31" s="415"/>
      <c r="Q31" s="57"/>
      <c r="R31" s="435">
        <v>42974</v>
      </c>
      <c r="S31" s="436"/>
      <c r="T31" s="23"/>
      <c r="U31" s="24">
        <v>42974</v>
      </c>
      <c r="V31" s="440"/>
      <c r="W31" s="38"/>
      <c r="X31" s="68"/>
      <c r="Y31" s="109">
        <v>0</v>
      </c>
      <c r="Z31" s="446"/>
      <c r="AA31" s="29">
        <v>0</v>
      </c>
    </row>
    <row r="32" spans="1:28" ht="15.75" thickBot="1" x14ac:dyDescent="0.3">
      <c r="A32" s="414">
        <v>42975</v>
      </c>
      <c r="B32" s="415">
        <v>54063</v>
      </c>
      <c r="C32" s="48" t="s">
        <v>940</v>
      </c>
      <c r="D32" s="435">
        <v>42975</v>
      </c>
      <c r="E32" s="436">
        <v>50889</v>
      </c>
      <c r="F32" s="23"/>
      <c r="G32" s="24">
        <v>42975</v>
      </c>
      <c r="H32" s="440">
        <v>0</v>
      </c>
      <c r="I32" s="38"/>
      <c r="J32" s="461"/>
      <c r="K32" s="452"/>
      <c r="L32" s="504" t="s">
        <v>939</v>
      </c>
      <c r="M32" s="508">
        <v>0</v>
      </c>
      <c r="O32" s="414">
        <v>42975</v>
      </c>
      <c r="P32" s="415"/>
      <c r="Q32" s="48"/>
      <c r="R32" s="435">
        <v>42975</v>
      </c>
      <c r="S32" s="436"/>
      <c r="T32" s="23"/>
      <c r="U32" s="24">
        <v>42975</v>
      </c>
      <c r="V32" s="440"/>
      <c r="W32" s="38"/>
      <c r="X32" s="461"/>
      <c r="Y32" s="452"/>
      <c r="Z32" s="443"/>
      <c r="AA32" s="29">
        <v>0</v>
      </c>
    </row>
    <row r="33" spans="1:27" ht="15.75" thickBot="1" x14ac:dyDescent="0.3">
      <c r="A33" s="414">
        <v>42976</v>
      </c>
      <c r="B33" s="415">
        <v>36546.5</v>
      </c>
      <c r="C33" s="48" t="s">
        <v>955</v>
      </c>
      <c r="D33" s="435">
        <v>42976</v>
      </c>
      <c r="E33" s="436">
        <v>32454.5</v>
      </c>
      <c r="F33" s="23"/>
      <c r="G33" s="24">
        <v>42976</v>
      </c>
      <c r="H33" s="440">
        <v>33</v>
      </c>
      <c r="I33" s="38"/>
      <c r="J33" s="190"/>
      <c r="K33" s="191"/>
      <c r="L33" s="504" t="s">
        <v>953</v>
      </c>
      <c r="M33" s="508">
        <v>0</v>
      </c>
      <c r="O33" s="414">
        <v>42976</v>
      </c>
      <c r="P33" s="415"/>
      <c r="Q33" s="48"/>
      <c r="R33" s="435">
        <v>42976</v>
      </c>
      <c r="S33" s="436"/>
      <c r="T33" s="23"/>
      <c r="U33" s="24">
        <v>42976</v>
      </c>
      <c r="V33" s="440"/>
      <c r="W33" s="38"/>
      <c r="X33" s="190"/>
      <c r="Y33" s="191"/>
      <c r="Z33" s="443"/>
      <c r="AA33" s="29">
        <v>0</v>
      </c>
    </row>
    <row r="34" spans="1:27" ht="15.75" thickBot="1" x14ac:dyDescent="0.3">
      <c r="A34" s="414">
        <v>42977</v>
      </c>
      <c r="B34" s="415">
        <v>38108.35</v>
      </c>
      <c r="C34" s="57" t="s">
        <v>956</v>
      </c>
      <c r="D34" s="435">
        <v>42977</v>
      </c>
      <c r="E34" s="436">
        <v>42595</v>
      </c>
      <c r="F34" s="23"/>
      <c r="G34" s="24">
        <v>42977</v>
      </c>
      <c r="H34" s="440">
        <v>0</v>
      </c>
      <c r="I34" s="38"/>
      <c r="J34" s="190"/>
      <c r="K34" s="191"/>
      <c r="L34" s="447" t="s">
        <v>954</v>
      </c>
      <c r="M34" s="508">
        <v>0</v>
      </c>
      <c r="O34" s="414">
        <v>42977</v>
      </c>
      <c r="P34" s="415"/>
      <c r="Q34" s="57"/>
      <c r="R34" s="435">
        <v>42977</v>
      </c>
      <c r="S34" s="436"/>
      <c r="T34" s="23"/>
      <c r="U34" s="24">
        <v>42977</v>
      </c>
      <c r="V34" s="440"/>
      <c r="W34" s="38"/>
      <c r="X34" s="190"/>
      <c r="Y34" s="191"/>
      <c r="Z34" s="447"/>
      <c r="AA34" s="29">
        <v>0</v>
      </c>
    </row>
    <row r="35" spans="1:27" ht="15.75" thickBot="1" x14ac:dyDescent="0.3">
      <c r="A35" s="414">
        <v>42978</v>
      </c>
      <c r="B35" s="418">
        <v>35854.5</v>
      </c>
      <c r="C35" s="20" t="s">
        <v>958</v>
      </c>
      <c r="D35" s="435">
        <v>42978</v>
      </c>
      <c r="E35" s="436">
        <v>27055</v>
      </c>
      <c r="F35" s="23"/>
      <c r="G35" s="491">
        <v>42978</v>
      </c>
      <c r="H35" s="440"/>
      <c r="I35" s="38"/>
      <c r="J35" s="461"/>
      <c r="K35" s="452"/>
      <c r="L35" s="505"/>
      <c r="M35" s="508">
        <v>0</v>
      </c>
      <c r="O35" s="414">
        <v>42978</v>
      </c>
      <c r="P35" s="418"/>
      <c r="Q35" s="20"/>
      <c r="R35" s="435">
        <v>42978</v>
      </c>
      <c r="S35" s="436"/>
      <c r="T35" s="23"/>
      <c r="U35" s="491">
        <v>42978</v>
      </c>
      <c r="V35" s="440"/>
      <c r="W35" s="38"/>
      <c r="X35" s="461"/>
      <c r="Y35" s="452"/>
      <c r="Z35" s="448"/>
      <c r="AA35" s="29">
        <v>0</v>
      </c>
    </row>
    <row r="36" spans="1:27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510">
        <v>0</v>
      </c>
      <c r="O36" s="82"/>
      <c r="P36" s="83">
        <v>0</v>
      </c>
      <c r="Q36" s="14"/>
      <c r="R36" s="437"/>
      <c r="S36" s="438">
        <v>0</v>
      </c>
      <c r="U36" s="86"/>
      <c r="V36" s="441"/>
      <c r="W36" s="60"/>
      <c r="X36" s="461"/>
      <c r="Y36" s="457"/>
      <c r="Z36" s="9"/>
      <c r="AA36" s="29">
        <v>0</v>
      </c>
    </row>
    <row r="37" spans="1:27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60186.5</v>
      </c>
      <c r="O37" s="89"/>
      <c r="P37" s="90">
        <v>0</v>
      </c>
      <c r="Q37" s="14"/>
      <c r="R37" s="91"/>
      <c r="S37" s="92">
        <v>0</v>
      </c>
      <c r="U37" s="93"/>
      <c r="V37" s="94"/>
      <c r="W37" s="60"/>
      <c r="X37" s="462"/>
      <c r="Y37" s="458"/>
      <c r="Z37" s="9"/>
      <c r="AA37" s="97">
        <f>SUM(AA5:AA36)</f>
        <v>60186.5</v>
      </c>
    </row>
    <row r="38" spans="1:27" x14ac:dyDescent="0.25">
      <c r="A38" s="98" t="s">
        <v>85</v>
      </c>
      <c r="B38" s="99">
        <f>SUM(B5:B37)</f>
        <v>1244155.3500000001</v>
      </c>
      <c r="D38" s="100" t="s">
        <v>85</v>
      </c>
      <c r="E38" s="101">
        <f>SUM(E5:E37)</f>
        <v>1327219.6499999999</v>
      </c>
      <c r="G38" s="496" t="s">
        <v>85</v>
      </c>
      <c r="H38" s="4">
        <f>SUM(H5:H37)</f>
        <v>438</v>
      </c>
      <c r="I38" s="4"/>
      <c r="J38" s="102" t="s">
        <v>85</v>
      </c>
      <c r="K38" s="103">
        <f t="shared" ref="K38" si="0">SUM(K5:K37)</f>
        <v>93685.989999999991</v>
      </c>
      <c r="L38" s="9"/>
      <c r="M38" s="3"/>
      <c r="O38" s="98" t="s">
        <v>85</v>
      </c>
      <c r="P38" s="99">
        <f>SUM(P5:P37)</f>
        <v>646530.5</v>
      </c>
      <c r="R38" s="100" t="s">
        <v>85</v>
      </c>
      <c r="S38" s="101">
        <f>SUM(S5:S37)</f>
        <v>721056.8</v>
      </c>
      <c r="U38" s="487" t="s">
        <v>85</v>
      </c>
      <c r="V38" s="4">
        <f>SUM(V5:V37)</f>
        <v>312</v>
      </c>
      <c r="W38" s="4"/>
      <c r="X38" s="102" t="s">
        <v>85</v>
      </c>
      <c r="Y38" s="103">
        <f t="shared" ref="Y38" si="1">SUM(Y5:Y37)</f>
        <v>62988.520000000004</v>
      </c>
      <c r="Z38" s="9"/>
      <c r="AA38" s="3"/>
    </row>
    <row r="39" spans="1:27" x14ac:dyDescent="0.25">
      <c r="A39" s="1"/>
      <c r="B39" s="5"/>
      <c r="E39" s="5"/>
      <c r="I39" s="5"/>
      <c r="L39" s="9"/>
      <c r="M39" s="3"/>
      <c r="O39" s="1"/>
      <c r="P39" s="5"/>
      <c r="S39" s="5"/>
      <c r="W39" s="5"/>
      <c r="Z39" s="9"/>
      <c r="AA39" s="3"/>
    </row>
    <row r="40" spans="1:27" ht="15.75" customHeight="1" x14ac:dyDescent="0.25">
      <c r="A40" s="1"/>
      <c r="B40" s="104">
        <v>0</v>
      </c>
      <c r="C40" s="105"/>
      <c r="D40" s="106"/>
      <c r="E40" s="60"/>
      <c r="G40" s="518" t="s">
        <v>86</v>
      </c>
      <c r="H40" s="519"/>
      <c r="I40" s="495"/>
      <c r="J40" s="520">
        <f>H38+K38</f>
        <v>94123.989999999991</v>
      </c>
      <c r="K40" s="521"/>
      <c r="L40" s="108"/>
      <c r="M40" s="108"/>
      <c r="O40" s="1"/>
      <c r="P40" s="104">
        <v>0</v>
      </c>
      <c r="Q40" s="105"/>
      <c r="R40" s="106"/>
      <c r="S40" s="60"/>
      <c r="U40" s="518" t="s">
        <v>86</v>
      </c>
      <c r="V40" s="519"/>
      <c r="W40" s="488"/>
      <c r="X40" s="520">
        <f>V38+Y38</f>
        <v>63300.520000000004</v>
      </c>
      <c r="Y40" s="521"/>
      <c r="Z40" s="108"/>
      <c r="AA40" s="108"/>
    </row>
    <row r="41" spans="1:27" ht="15.75" customHeight="1" x14ac:dyDescent="0.25">
      <c r="A41" s="1"/>
      <c r="B41" s="5"/>
      <c r="C41" s="540" t="s">
        <v>87</v>
      </c>
      <c r="D41" s="540"/>
      <c r="E41" s="109">
        <f>E38-J40</f>
        <v>1233095.6599999999</v>
      </c>
      <c r="H41" s="110"/>
      <c r="I41" s="110"/>
      <c r="L41" s="108"/>
      <c r="M41" s="108"/>
      <c r="O41" s="1"/>
      <c r="P41" s="5"/>
      <c r="Q41" s="540" t="s">
        <v>87</v>
      </c>
      <c r="R41" s="540"/>
      <c r="S41" s="109">
        <f>S38-X40</f>
        <v>657756.28</v>
      </c>
      <c r="V41" s="110"/>
      <c r="W41" s="110"/>
      <c r="Z41" s="108"/>
      <c r="AA41" s="108"/>
    </row>
    <row r="42" spans="1:27" x14ac:dyDescent="0.25">
      <c r="A42" s="1"/>
      <c r="B42" s="5"/>
      <c r="C42" s="105"/>
      <c r="D42" s="106"/>
      <c r="E42" s="109"/>
      <c r="I42" s="5"/>
      <c r="L42" s="108"/>
      <c r="M42" s="108"/>
      <c r="O42" s="1"/>
      <c r="P42" s="5"/>
      <c r="Q42" s="105"/>
      <c r="R42" s="106"/>
      <c r="S42" s="109"/>
      <c r="W42" s="5"/>
      <c r="Z42" s="108"/>
      <c r="AA42" s="108"/>
    </row>
    <row r="43" spans="1:27" ht="15.75" thickBot="1" x14ac:dyDescent="0.3">
      <c r="A43" s="1"/>
      <c r="B43" s="5" t="s">
        <v>88</v>
      </c>
      <c r="C43" s="6" t="s">
        <v>89</v>
      </c>
      <c r="E43" s="111">
        <v>-1309874.1499999999</v>
      </c>
      <c r="H43" s="539"/>
      <c r="I43" s="539"/>
      <c r="J43" s="539"/>
      <c r="K43" s="103"/>
      <c r="L43" s="108"/>
      <c r="M43" s="108"/>
      <c r="O43" s="1"/>
      <c r="P43" s="5" t="s">
        <v>88</v>
      </c>
      <c r="Q43" s="6" t="s">
        <v>89</v>
      </c>
      <c r="S43" s="111">
        <v>-744084.16</v>
      </c>
      <c r="V43" s="539"/>
      <c r="W43" s="539"/>
      <c r="X43" s="539"/>
      <c r="Y43" s="103"/>
      <c r="Z43" s="108"/>
      <c r="AA43" s="108"/>
    </row>
    <row r="44" spans="1:27" ht="16.5" thickTop="1" x14ac:dyDescent="0.25">
      <c r="A44" s="1"/>
      <c r="B44" s="5"/>
      <c r="D44" s="12" t="s">
        <v>90</v>
      </c>
      <c r="E44" s="4">
        <f>SUM(E41:E43)</f>
        <v>-76778.489999999991</v>
      </c>
      <c r="H44" s="541" t="s">
        <v>91</v>
      </c>
      <c r="I44" s="541"/>
      <c r="J44" s="542">
        <f>E46</f>
        <v>127433.69</v>
      </c>
      <c r="K44" s="543"/>
      <c r="L44" s="108"/>
      <c r="M44" s="108"/>
      <c r="O44" s="1"/>
      <c r="P44" s="5"/>
      <c r="R44" s="12" t="s">
        <v>90</v>
      </c>
      <c r="S44" s="4">
        <f>SUM(S41:S43)</f>
        <v>-86327.88</v>
      </c>
      <c r="V44" s="541" t="s">
        <v>91</v>
      </c>
      <c r="W44" s="541"/>
      <c r="X44" s="542">
        <f>S46</f>
        <v>105027.72999999998</v>
      </c>
      <c r="Y44" s="543"/>
      <c r="Z44" s="108"/>
      <c r="AA44" s="108"/>
    </row>
    <row r="45" spans="1:27" ht="16.5" thickBot="1" x14ac:dyDescent="0.3">
      <c r="A45" s="1"/>
      <c r="B45" s="5"/>
      <c r="C45" s="113" t="s">
        <v>92</v>
      </c>
      <c r="D45" s="114"/>
      <c r="E45" s="115">
        <v>204212.18</v>
      </c>
      <c r="H45" s="544" t="s">
        <v>3</v>
      </c>
      <c r="I45" s="544"/>
      <c r="J45" s="529">
        <v>-125687.1</v>
      </c>
      <c r="K45" s="529"/>
      <c r="L45" s="108"/>
      <c r="M45" s="108"/>
      <c r="O45" s="1"/>
      <c r="P45" s="5"/>
      <c r="Q45" s="113" t="s">
        <v>92</v>
      </c>
      <c r="R45" s="114"/>
      <c r="S45" s="115">
        <v>191355.61</v>
      </c>
      <c r="V45" s="544" t="s">
        <v>3</v>
      </c>
      <c r="W45" s="544"/>
      <c r="X45" s="529">
        <v>-125687.1</v>
      </c>
      <c r="Y45" s="529"/>
      <c r="Z45" s="108"/>
      <c r="AA45" s="108"/>
    </row>
    <row r="46" spans="1:27" ht="19.5" thickBot="1" x14ac:dyDescent="0.3">
      <c r="A46" s="1"/>
      <c r="B46" s="5"/>
      <c r="D46" s="6" t="s">
        <v>93</v>
      </c>
      <c r="E46" s="99">
        <f>E45+E44</f>
        <v>127433.69</v>
      </c>
      <c r="I46" s="116"/>
      <c r="J46" s="534">
        <v>0</v>
      </c>
      <c r="K46" s="534"/>
      <c r="L46" s="108"/>
      <c r="M46" s="108"/>
      <c r="O46" s="1"/>
      <c r="P46" s="5"/>
      <c r="R46" s="6" t="s">
        <v>93</v>
      </c>
      <c r="S46" s="99">
        <f>S45+S44</f>
        <v>105027.72999999998</v>
      </c>
      <c r="W46" s="116"/>
      <c r="X46" s="534">
        <v>0</v>
      </c>
      <c r="Y46" s="534"/>
      <c r="Z46" s="108"/>
      <c r="AA46" s="108"/>
    </row>
    <row r="47" spans="1:27" ht="19.5" thickBot="1" x14ac:dyDescent="0.3">
      <c r="A47" s="1"/>
      <c r="B47" s="5"/>
      <c r="E47" s="109"/>
      <c r="H47" s="535" t="s">
        <v>94</v>
      </c>
      <c r="I47" s="536"/>
      <c r="J47" s="537">
        <f>SUM(J44:K46)</f>
        <v>1746.5899999999965</v>
      </c>
      <c r="K47" s="538"/>
      <c r="L47" s="108"/>
      <c r="M47" s="108"/>
      <c r="O47" s="1"/>
      <c r="P47" s="5"/>
      <c r="S47" s="109"/>
      <c r="V47" s="535" t="s">
        <v>270</v>
      </c>
      <c r="W47" s="536"/>
      <c r="X47" s="537">
        <f>SUM(X44:Y46)</f>
        <v>-20659.370000000024</v>
      </c>
      <c r="Y47" s="538"/>
      <c r="Z47" s="108"/>
      <c r="AA47" s="108"/>
    </row>
    <row r="48" spans="1:27" x14ac:dyDescent="0.25">
      <c r="A48" s="1"/>
      <c r="B48" s="5"/>
      <c r="C48" s="539"/>
      <c r="D48" s="539"/>
      <c r="E48" s="4"/>
      <c r="I48" s="5"/>
      <c r="L48" s="108"/>
      <c r="M48" s="108"/>
      <c r="O48" s="1"/>
      <c r="P48" s="5"/>
      <c r="Q48" s="539"/>
      <c r="R48" s="539"/>
      <c r="S48" s="4"/>
      <c r="W48" s="5"/>
      <c r="Z48" s="108"/>
      <c r="AA48" s="108"/>
    </row>
    <row r="49" spans="1:27" x14ac:dyDescent="0.25">
      <c r="A49"/>
      <c r="C49"/>
      <c r="L49" s="108"/>
      <c r="M49" s="108"/>
      <c r="O49"/>
      <c r="Q49"/>
      <c r="Z49" s="108"/>
      <c r="AA49" s="108"/>
    </row>
    <row r="50" spans="1:27" x14ac:dyDescent="0.25">
      <c r="A50"/>
      <c r="L50" s="108"/>
      <c r="M50" s="108"/>
      <c r="O50"/>
      <c r="Z50" s="108"/>
      <c r="AA50" s="108"/>
    </row>
    <row r="51" spans="1:27" x14ac:dyDescent="0.25">
      <c r="A51"/>
      <c r="L51" s="108"/>
      <c r="M51" s="108"/>
      <c r="O51"/>
      <c r="Z51" s="108"/>
      <c r="AA51" s="108"/>
    </row>
    <row r="52" spans="1:27" x14ac:dyDescent="0.25">
      <c r="A52"/>
      <c r="L52" s="108"/>
      <c r="M52" s="108"/>
      <c r="O52"/>
      <c r="Z52" s="108"/>
      <c r="AA52" s="108"/>
    </row>
    <row r="53" spans="1:27" x14ac:dyDescent="0.25">
      <c r="A53"/>
      <c r="L53" s="117"/>
      <c r="M53" s="108"/>
      <c r="O53"/>
      <c r="Z53" s="117"/>
      <c r="AA53" s="108"/>
    </row>
    <row r="54" spans="1:27" x14ac:dyDescent="0.25">
      <c r="A54"/>
      <c r="M54" s="108"/>
      <c r="O54"/>
      <c r="AA54" s="108"/>
    </row>
    <row r="55" spans="1:27" x14ac:dyDescent="0.25">
      <c r="A55"/>
      <c r="M55" s="108"/>
      <c r="O55"/>
      <c r="AA55" s="108"/>
    </row>
    <row r="56" spans="1:27" x14ac:dyDescent="0.25">
      <c r="A56"/>
      <c r="M56" s="108"/>
      <c r="O56"/>
      <c r="AA56" s="108"/>
    </row>
    <row r="57" spans="1:27" x14ac:dyDescent="0.25">
      <c r="A57"/>
      <c r="M57" s="108"/>
      <c r="O57"/>
      <c r="AA57" s="108"/>
    </row>
    <row r="58" spans="1:27" x14ac:dyDescent="0.25">
      <c r="A58"/>
      <c r="M58" s="108"/>
      <c r="O58"/>
      <c r="AA58" s="108"/>
    </row>
    <row r="59" spans="1:27" x14ac:dyDescent="0.25">
      <c r="A59"/>
      <c r="M59" s="108"/>
      <c r="O59"/>
      <c r="AA59" s="108"/>
    </row>
    <row r="60" spans="1:27" x14ac:dyDescent="0.25">
      <c r="A60"/>
      <c r="M60" s="108"/>
      <c r="O60"/>
      <c r="AA60" s="108"/>
    </row>
    <row r="61" spans="1:27" x14ac:dyDescent="0.25">
      <c r="A61"/>
      <c r="M61" s="108"/>
      <c r="O61"/>
      <c r="AA61" s="108"/>
    </row>
    <row r="62" spans="1:27" x14ac:dyDescent="0.25">
      <c r="A62"/>
      <c r="M62" s="108"/>
      <c r="O62"/>
      <c r="AA62" s="108"/>
    </row>
    <row r="63" spans="1:27" x14ac:dyDescent="0.25">
      <c r="A63"/>
      <c r="M63" s="108"/>
      <c r="O63"/>
      <c r="AA63" s="108"/>
    </row>
    <row r="64" spans="1:27" x14ac:dyDescent="0.25">
      <c r="A64"/>
      <c r="M64" s="108"/>
      <c r="O64"/>
      <c r="AA64" s="108"/>
    </row>
    <row r="65" spans="1:27" x14ac:dyDescent="0.25">
      <c r="A65"/>
      <c r="C65"/>
      <c r="M65" s="108"/>
      <c r="O65"/>
      <c r="Q65"/>
      <c r="AA65" s="108"/>
    </row>
    <row r="66" spans="1:27" x14ac:dyDescent="0.25">
      <c r="A66"/>
      <c r="C66"/>
      <c r="M66" s="108"/>
      <c r="O66"/>
      <c r="Q66"/>
      <c r="AA66" s="108"/>
    </row>
    <row r="67" spans="1:27" x14ac:dyDescent="0.25">
      <c r="A67"/>
      <c r="C67"/>
      <c r="M67" s="108"/>
      <c r="O67"/>
      <c r="Q67"/>
      <c r="AA67" s="108"/>
    </row>
    <row r="68" spans="1:27" x14ac:dyDescent="0.25">
      <c r="A68"/>
      <c r="C68"/>
      <c r="M68" s="117"/>
      <c r="O68"/>
      <c r="Q68"/>
      <c r="AA68" s="117"/>
    </row>
  </sheetData>
  <mergeCells count="38">
    <mergeCell ref="Q48:R48"/>
    <mergeCell ref="X17:X18"/>
    <mergeCell ref="U40:V40"/>
    <mergeCell ref="X40:Y40"/>
    <mergeCell ref="Q41:R41"/>
    <mergeCell ref="V43:X43"/>
    <mergeCell ref="V44:W44"/>
    <mergeCell ref="X44:Y44"/>
    <mergeCell ref="V45:W45"/>
    <mergeCell ref="X45:Y45"/>
    <mergeCell ref="X46:Y46"/>
    <mergeCell ref="V47:W47"/>
    <mergeCell ref="X47:Y47"/>
    <mergeCell ref="P1:X1"/>
    <mergeCell ref="O3:O4"/>
    <mergeCell ref="R3:T3"/>
    <mergeCell ref="U3:V3"/>
    <mergeCell ref="R4:S4"/>
    <mergeCell ref="V4:Y4"/>
    <mergeCell ref="B1:J1"/>
    <mergeCell ref="A3:A4"/>
    <mergeCell ref="D3:F3"/>
    <mergeCell ref="G3:H3"/>
    <mergeCell ref="D4:E4"/>
    <mergeCell ref="H4:K4"/>
    <mergeCell ref="J17:J18"/>
    <mergeCell ref="G40:H40"/>
    <mergeCell ref="J40:K40"/>
    <mergeCell ref="C41:D41"/>
    <mergeCell ref="H43:J43"/>
    <mergeCell ref="H47:I47"/>
    <mergeCell ref="J47:K47"/>
    <mergeCell ref="C48:D48"/>
    <mergeCell ref="H44:I44"/>
    <mergeCell ref="J44:K44"/>
    <mergeCell ref="H45:I45"/>
    <mergeCell ref="J45:K45"/>
    <mergeCell ref="J46:K46"/>
  </mergeCells>
  <pageMargins left="0.31496062992125984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52"/>
  <sheetViews>
    <sheetView topLeftCell="A25" workbookViewId="0">
      <selection activeCell="B31" sqref="B31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9" max="9" width="13.85546875" bestFit="1" customWidth="1"/>
    <col min="11" max="11" width="13.85546875" bestFit="1" customWidth="1"/>
    <col min="13" max="13" width="12" customWidth="1"/>
    <col min="14" max="14" width="14.140625" bestFit="1" customWidth="1"/>
    <col min="18" max="18" width="13.85546875" bestFit="1" customWidth="1"/>
    <col min="20" max="20" width="13.85546875" bestFit="1" customWidth="1"/>
    <col min="23" max="23" width="13.85546875" bestFit="1" customWidth="1"/>
  </cols>
  <sheetData>
    <row r="1" spans="1:24" ht="19.5" thickBot="1" x14ac:dyDescent="0.35">
      <c r="A1" s="1"/>
      <c r="B1" s="118"/>
      <c r="C1" s="545" t="s">
        <v>95</v>
      </c>
      <c r="D1" s="546"/>
      <c r="E1" s="547"/>
      <c r="F1" s="119"/>
      <c r="I1" s="45"/>
      <c r="J1" s="154"/>
      <c r="K1" s="343">
        <v>42961</v>
      </c>
      <c r="L1" s="216"/>
      <c r="M1" s="217" t="s">
        <v>141</v>
      </c>
      <c r="N1" s="111"/>
      <c r="O1" s="158"/>
      <c r="R1" s="45"/>
      <c r="S1" s="154"/>
      <c r="T1" s="361">
        <v>42978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3678+29808+4003</f>
        <v>37489</v>
      </c>
      <c r="J2" s="367" t="s">
        <v>805</v>
      </c>
      <c r="K2" s="133">
        <v>27428.76</v>
      </c>
      <c r="L2" s="214" t="s">
        <v>143</v>
      </c>
      <c r="M2" s="160" t="s">
        <v>154</v>
      </c>
      <c r="N2" s="161">
        <v>3678</v>
      </c>
      <c r="O2" s="162">
        <v>42940</v>
      </c>
      <c r="R2" s="45">
        <f>37668+38678.5</f>
        <v>76346.5</v>
      </c>
      <c r="S2" s="132" t="s">
        <v>898</v>
      </c>
      <c r="T2" s="133">
        <v>67294.880000000005</v>
      </c>
      <c r="U2" s="214" t="s">
        <v>143</v>
      </c>
      <c r="V2" s="160">
        <v>3932556</v>
      </c>
      <c r="W2" s="161">
        <v>40000</v>
      </c>
      <c r="X2" s="162">
        <v>42966</v>
      </c>
    </row>
    <row r="3" spans="1:24" ht="15.75" x14ac:dyDescent="0.25">
      <c r="A3" s="125">
        <v>42948</v>
      </c>
      <c r="B3" s="126" t="s">
        <v>829</v>
      </c>
      <c r="C3" s="127">
        <v>4337.8</v>
      </c>
      <c r="D3" s="128">
        <v>42961</v>
      </c>
      <c r="E3" s="127">
        <v>4337.8</v>
      </c>
      <c r="F3" s="129">
        <f t="shared" ref="F3:F44" si="0">C3-E3</f>
        <v>0</v>
      </c>
      <c r="I3" s="45">
        <v>12166.5</v>
      </c>
      <c r="J3" s="367" t="s">
        <v>806</v>
      </c>
      <c r="K3" s="133">
        <v>12166.4</v>
      </c>
      <c r="L3" s="159"/>
      <c r="M3" s="160">
        <v>3932314</v>
      </c>
      <c r="N3" s="161">
        <v>29808</v>
      </c>
      <c r="O3" s="162">
        <v>42941</v>
      </c>
      <c r="R3" s="45">
        <v>30723</v>
      </c>
      <c r="S3" s="132" t="s">
        <v>905</v>
      </c>
      <c r="T3" s="133">
        <v>30723.1</v>
      </c>
      <c r="U3" s="197"/>
      <c r="V3" s="198">
        <v>3932557</v>
      </c>
      <c r="W3" s="148">
        <v>7346.5</v>
      </c>
      <c r="X3" s="167">
        <v>42966</v>
      </c>
    </row>
    <row r="4" spans="1:24" ht="15.75" x14ac:dyDescent="0.25">
      <c r="A4" s="131">
        <v>42950</v>
      </c>
      <c r="B4" s="132" t="s">
        <v>843</v>
      </c>
      <c r="C4" s="133">
        <v>36612.92</v>
      </c>
      <c r="D4" s="128">
        <v>42961</v>
      </c>
      <c r="E4" s="133">
        <v>36612.92</v>
      </c>
      <c r="F4" s="134">
        <f t="shared" si="0"/>
        <v>0</v>
      </c>
      <c r="I4" s="45">
        <f>6182.5+48080.5+3173+16918</f>
        <v>74354</v>
      </c>
      <c r="J4" s="367" t="s">
        <v>807</v>
      </c>
      <c r="K4" s="133">
        <v>74354.06</v>
      </c>
      <c r="L4" s="163"/>
      <c r="M4" s="160">
        <v>3932315</v>
      </c>
      <c r="N4" s="161">
        <v>22352</v>
      </c>
      <c r="O4" s="162">
        <v>42942</v>
      </c>
      <c r="R4" s="45">
        <v>15674.5</v>
      </c>
      <c r="S4" s="132" t="s">
        <v>906</v>
      </c>
      <c r="T4" s="133">
        <v>29593.599999999999</v>
      </c>
      <c r="U4" s="344"/>
      <c r="V4" s="270">
        <v>3932559</v>
      </c>
      <c r="W4" s="148">
        <v>33602.5</v>
      </c>
      <c r="X4" s="167">
        <v>42967</v>
      </c>
    </row>
    <row r="5" spans="1:24" ht="15.75" x14ac:dyDescent="0.25">
      <c r="A5" s="131">
        <v>42951</v>
      </c>
      <c r="B5" s="132" t="s">
        <v>844</v>
      </c>
      <c r="C5" s="133">
        <v>41594.639999999999</v>
      </c>
      <c r="D5" s="128">
        <v>42961</v>
      </c>
      <c r="E5" s="133">
        <v>41594.639999999999</v>
      </c>
      <c r="F5" s="134">
        <f t="shared" si="0"/>
        <v>0</v>
      </c>
      <c r="I5" s="45">
        <v>8046.5</v>
      </c>
      <c r="J5" s="367" t="s">
        <v>842</v>
      </c>
      <c r="K5" s="133">
        <v>8046.72</v>
      </c>
      <c r="L5" s="164"/>
      <c r="M5" s="160">
        <v>3932348</v>
      </c>
      <c r="N5" s="161">
        <v>25000</v>
      </c>
      <c r="O5" s="162">
        <v>42943</v>
      </c>
      <c r="R5" s="45">
        <f>26273.5+4710.5</f>
        <v>30984</v>
      </c>
      <c r="S5" s="132" t="s">
        <v>908</v>
      </c>
      <c r="T5" s="133">
        <v>30984.2</v>
      </c>
      <c r="U5" s="344"/>
      <c r="V5" s="270">
        <v>3932558</v>
      </c>
      <c r="W5" s="148">
        <v>50000</v>
      </c>
      <c r="X5" s="167">
        <v>42967</v>
      </c>
    </row>
    <row r="6" spans="1:24" ht="15.75" x14ac:dyDescent="0.25">
      <c r="A6" s="131">
        <v>42951</v>
      </c>
      <c r="B6" s="132" t="s">
        <v>845</v>
      </c>
      <c r="C6" s="133">
        <v>44797.22</v>
      </c>
      <c r="D6" s="128">
        <v>42961</v>
      </c>
      <c r="E6" s="133">
        <v>44797.22</v>
      </c>
      <c r="F6" s="135">
        <f t="shared" si="0"/>
        <v>0</v>
      </c>
      <c r="I6" s="45">
        <v>2340</v>
      </c>
      <c r="J6" s="367" t="s">
        <v>808</v>
      </c>
      <c r="K6" s="133">
        <v>2340</v>
      </c>
      <c r="L6" s="277"/>
      <c r="M6" s="160">
        <v>3932349</v>
      </c>
      <c r="N6" s="161">
        <v>23380.5</v>
      </c>
      <c r="O6" s="162">
        <v>42943</v>
      </c>
      <c r="R6" s="45">
        <f>9971+8282+22284</f>
        <v>40537</v>
      </c>
      <c r="S6" s="132" t="s">
        <v>914</v>
      </c>
      <c r="T6" s="133">
        <v>40536.94</v>
      </c>
      <c r="U6" s="172"/>
      <c r="V6" s="198">
        <v>3932560</v>
      </c>
      <c r="W6" s="148">
        <v>25000</v>
      </c>
      <c r="X6" s="167">
        <v>42968</v>
      </c>
    </row>
    <row r="7" spans="1:24" ht="15.75" x14ac:dyDescent="0.25">
      <c r="A7" s="131">
        <v>42951</v>
      </c>
      <c r="B7" s="132" t="s">
        <v>846</v>
      </c>
      <c r="C7" s="133">
        <v>34824.400000000001</v>
      </c>
      <c r="D7" s="128">
        <v>42961</v>
      </c>
      <c r="E7" s="133">
        <v>34824.400000000001</v>
      </c>
      <c r="F7" s="135">
        <f t="shared" si="0"/>
        <v>0</v>
      </c>
      <c r="I7" s="45">
        <f>33969+44077.5</f>
        <v>78046.5</v>
      </c>
      <c r="J7" s="367" t="s">
        <v>824</v>
      </c>
      <c r="K7" s="133">
        <v>78046.62</v>
      </c>
      <c r="L7" s="163"/>
      <c r="M7" s="160" t="s">
        <v>154</v>
      </c>
      <c r="N7" s="161">
        <v>3173</v>
      </c>
      <c r="O7" s="162">
        <v>42942</v>
      </c>
      <c r="R7" s="45">
        <f>10517.5+53234.5+2071.5</f>
        <v>65823.5</v>
      </c>
      <c r="S7" s="132" t="s">
        <v>915</v>
      </c>
      <c r="T7" s="133">
        <v>65823.44</v>
      </c>
      <c r="U7" s="172"/>
      <c r="V7" s="198">
        <v>3932561</v>
      </c>
      <c r="W7" s="148">
        <v>16666.5</v>
      </c>
      <c r="X7" s="167">
        <v>42968</v>
      </c>
    </row>
    <row r="8" spans="1:24" ht="15.75" x14ac:dyDescent="0.25">
      <c r="A8" s="131">
        <v>42952</v>
      </c>
      <c r="B8" s="132" t="s">
        <v>847</v>
      </c>
      <c r="C8" s="133">
        <v>34669.040000000001</v>
      </c>
      <c r="D8" s="128">
        <v>42961</v>
      </c>
      <c r="E8" s="133">
        <v>34669.040000000001</v>
      </c>
      <c r="F8" s="135">
        <f t="shared" si="0"/>
        <v>0</v>
      </c>
      <c r="I8" s="45">
        <f>9374.5+28107</f>
        <v>37481.5</v>
      </c>
      <c r="J8" s="367" t="s">
        <v>828</v>
      </c>
      <c r="K8" s="133">
        <v>37481.32</v>
      </c>
      <c r="L8" s="165"/>
      <c r="M8" s="160">
        <v>3932347</v>
      </c>
      <c r="N8" s="166">
        <v>25000</v>
      </c>
      <c r="O8" s="167">
        <v>42944</v>
      </c>
      <c r="R8" s="153">
        <f>31553.5+6329</f>
        <v>37882.5</v>
      </c>
      <c r="S8" s="366" t="s">
        <v>916</v>
      </c>
      <c r="T8" s="339">
        <v>37882.5</v>
      </c>
      <c r="U8" s="198"/>
      <c r="V8" s="274">
        <v>3932562</v>
      </c>
      <c r="W8" s="148">
        <v>14681.5</v>
      </c>
      <c r="X8" s="167">
        <v>42969</v>
      </c>
    </row>
    <row r="9" spans="1:24" ht="15.75" x14ac:dyDescent="0.25">
      <c r="A9" s="131">
        <v>42952</v>
      </c>
      <c r="B9" s="132" t="s">
        <v>848</v>
      </c>
      <c r="C9" s="133">
        <v>33442.449999999997</v>
      </c>
      <c r="D9" s="128">
        <v>42961</v>
      </c>
      <c r="E9" s="133">
        <v>33442.449999999997</v>
      </c>
      <c r="F9" s="135">
        <f t="shared" si="0"/>
        <v>0</v>
      </c>
      <c r="I9" s="45">
        <f>19348.5+17196</f>
        <v>36544.5</v>
      </c>
      <c r="J9" s="367" t="s">
        <v>825</v>
      </c>
      <c r="K9" s="133">
        <v>36544.639999999999</v>
      </c>
      <c r="L9" s="163"/>
      <c r="M9" s="160">
        <v>3932346</v>
      </c>
      <c r="N9" s="148">
        <v>27927</v>
      </c>
      <c r="O9" s="167">
        <v>42944</v>
      </c>
      <c r="R9" s="153">
        <v>50725</v>
      </c>
      <c r="S9" s="132" t="s">
        <v>917</v>
      </c>
      <c r="T9" s="133">
        <v>69455.34</v>
      </c>
      <c r="U9" s="480" t="s">
        <v>941</v>
      </c>
      <c r="V9" s="210" t="s">
        <v>154</v>
      </c>
      <c r="W9" s="148">
        <v>8282</v>
      </c>
      <c r="X9" s="167">
        <v>42968</v>
      </c>
    </row>
    <row r="10" spans="1:24" ht="15.75" x14ac:dyDescent="0.25">
      <c r="A10" s="131">
        <v>42954</v>
      </c>
      <c r="B10" s="132" t="s">
        <v>849</v>
      </c>
      <c r="C10" s="133">
        <v>44382.76</v>
      </c>
      <c r="D10" s="128">
        <v>42961</v>
      </c>
      <c r="E10" s="133">
        <v>44382.76</v>
      </c>
      <c r="F10" s="135">
        <f t="shared" si="0"/>
        <v>0</v>
      </c>
      <c r="I10" s="45">
        <v>4338</v>
      </c>
      <c r="J10" s="126" t="s">
        <v>829</v>
      </c>
      <c r="K10" s="127">
        <v>4337.8</v>
      </c>
      <c r="L10" s="168"/>
      <c r="M10" s="160">
        <v>39323644</v>
      </c>
      <c r="N10" s="161">
        <v>35000</v>
      </c>
      <c r="O10" s="162">
        <v>42945</v>
      </c>
      <c r="R10" s="45"/>
      <c r="S10" s="393"/>
      <c r="T10" s="133"/>
      <c r="U10" s="480"/>
      <c r="V10" s="210">
        <v>3932563</v>
      </c>
      <c r="W10" s="148">
        <v>32801.5</v>
      </c>
      <c r="X10" s="167">
        <v>42970</v>
      </c>
    </row>
    <row r="11" spans="1:24" ht="15.75" x14ac:dyDescent="0.25">
      <c r="A11" s="131">
        <v>42954</v>
      </c>
      <c r="B11" s="132" t="s">
        <v>850</v>
      </c>
      <c r="C11" s="133">
        <v>450</v>
      </c>
      <c r="D11" s="128">
        <v>42961</v>
      </c>
      <c r="E11" s="133">
        <v>450</v>
      </c>
      <c r="F11" s="135">
        <f t="shared" si="0"/>
        <v>0</v>
      </c>
      <c r="I11" s="45">
        <f>4391.5+1785+20298+10138.5</f>
        <v>36613</v>
      </c>
      <c r="J11" s="132" t="s">
        <v>843</v>
      </c>
      <c r="K11" s="133">
        <v>36612.92</v>
      </c>
      <c r="L11" s="168"/>
      <c r="M11" s="160">
        <v>3932343</v>
      </c>
      <c r="N11" s="161">
        <v>18452</v>
      </c>
      <c r="O11" s="162">
        <v>42945</v>
      </c>
      <c r="R11" s="45"/>
      <c r="S11" s="290"/>
      <c r="T11" s="133"/>
      <c r="U11" s="480"/>
      <c r="V11" s="210">
        <v>3932564</v>
      </c>
      <c r="W11" s="148">
        <v>40000</v>
      </c>
      <c r="X11" s="167">
        <v>42971</v>
      </c>
    </row>
    <row r="12" spans="1:24" ht="15.75" x14ac:dyDescent="0.25">
      <c r="A12" s="131">
        <v>42956</v>
      </c>
      <c r="B12" s="132" t="s">
        <v>851</v>
      </c>
      <c r="C12" s="133">
        <v>37687.97</v>
      </c>
      <c r="D12" s="128">
        <v>42961</v>
      </c>
      <c r="E12" s="133">
        <v>37687.97</v>
      </c>
      <c r="F12" s="135">
        <f t="shared" si="0"/>
        <v>0</v>
      </c>
      <c r="I12" s="45">
        <f>13723+27871</f>
        <v>41594</v>
      </c>
      <c r="J12" s="132" t="s">
        <v>844</v>
      </c>
      <c r="K12" s="133">
        <v>41594.639999999999</v>
      </c>
      <c r="L12" s="168"/>
      <c r="M12" s="160">
        <v>3932342</v>
      </c>
      <c r="N12" s="161">
        <v>35000</v>
      </c>
      <c r="O12" s="162">
        <v>42946</v>
      </c>
      <c r="R12" s="45"/>
      <c r="S12" s="132"/>
      <c r="T12" s="133"/>
      <c r="U12" s="209"/>
      <c r="V12" s="210">
        <v>3932565</v>
      </c>
      <c r="W12" s="148">
        <v>13234.5</v>
      </c>
      <c r="X12" s="167">
        <v>42971</v>
      </c>
    </row>
    <row r="13" spans="1:24" ht="15.75" x14ac:dyDescent="0.25">
      <c r="A13" s="131">
        <v>42957</v>
      </c>
      <c r="B13" s="132" t="s">
        <v>876</v>
      </c>
      <c r="C13" s="133">
        <v>62861.65</v>
      </c>
      <c r="D13" s="128">
        <v>42970</v>
      </c>
      <c r="E13" s="133">
        <v>62861.65</v>
      </c>
      <c r="F13" s="135">
        <f>C13-E13</f>
        <v>0</v>
      </c>
      <c r="I13" s="45">
        <f>7265.5+37531.5</f>
        <v>44797</v>
      </c>
      <c r="J13" s="132" t="s">
        <v>845</v>
      </c>
      <c r="K13" s="133">
        <v>44797.22</v>
      </c>
      <c r="L13" s="168"/>
      <c r="M13" s="160">
        <v>3932341</v>
      </c>
      <c r="N13" s="161">
        <v>12455.5</v>
      </c>
      <c r="O13" s="162">
        <v>42946</v>
      </c>
      <c r="Q13">
        <v>24141</v>
      </c>
      <c r="R13" s="45">
        <v>9678.5</v>
      </c>
      <c r="S13" s="132"/>
      <c r="T13" s="133"/>
      <c r="U13" s="133"/>
      <c r="V13" s="210">
        <v>3932566</v>
      </c>
      <c r="W13" s="148">
        <v>25000</v>
      </c>
      <c r="X13" s="167">
        <v>42972</v>
      </c>
    </row>
    <row r="14" spans="1:24" ht="15.75" x14ac:dyDescent="0.25">
      <c r="A14" s="131">
        <v>42958</v>
      </c>
      <c r="B14" s="132" t="s">
        <v>852</v>
      </c>
      <c r="C14" s="133">
        <v>36099.199999999997</v>
      </c>
      <c r="D14" s="128" t="s">
        <v>913</v>
      </c>
      <c r="E14" s="133">
        <f>6072.78+30026.42</f>
        <v>36099.199999999997</v>
      </c>
      <c r="F14" s="135">
        <f>C14-E14</f>
        <v>0</v>
      </c>
      <c r="I14" s="45">
        <f>27252+7572.5</f>
        <v>34824.5</v>
      </c>
      <c r="J14" s="132" t="s">
        <v>846</v>
      </c>
      <c r="K14" s="133">
        <v>34824.400000000001</v>
      </c>
      <c r="L14" s="168"/>
      <c r="M14" s="160">
        <v>3932340</v>
      </c>
      <c r="N14" s="161">
        <v>20000</v>
      </c>
      <c r="O14" s="162">
        <v>42947</v>
      </c>
      <c r="R14" s="45">
        <v>13919</v>
      </c>
      <c r="S14" s="132"/>
      <c r="T14" s="133"/>
      <c r="U14" s="209"/>
      <c r="V14" s="210">
        <v>3932567</v>
      </c>
      <c r="W14" s="148">
        <v>8625</v>
      </c>
      <c r="X14" s="167">
        <v>42972</v>
      </c>
    </row>
    <row r="15" spans="1:24" ht="15.75" x14ac:dyDescent="0.25">
      <c r="A15" s="131">
        <v>42958</v>
      </c>
      <c r="B15" s="132" t="s">
        <v>877</v>
      </c>
      <c r="C15" s="133">
        <v>39050.22</v>
      </c>
      <c r="D15" s="128">
        <v>42970</v>
      </c>
      <c r="E15" s="133">
        <v>39050.22</v>
      </c>
      <c r="F15" s="135">
        <f>C15-E15</f>
        <v>0</v>
      </c>
      <c r="I15" s="45">
        <v>34669</v>
      </c>
      <c r="J15" s="132" t="s">
        <v>847</v>
      </c>
      <c r="K15" s="133">
        <v>34669.040000000001</v>
      </c>
      <c r="L15" s="168"/>
      <c r="M15" s="160">
        <v>3932339</v>
      </c>
      <c r="N15" s="161">
        <v>13972</v>
      </c>
      <c r="O15" s="162">
        <v>42947</v>
      </c>
      <c r="R15" s="45"/>
      <c r="S15" s="132"/>
      <c r="T15" s="133"/>
      <c r="U15" s="209"/>
      <c r="V15" s="270">
        <v>3932569</v>
      </c>
      <c r="W15" s="148">
        <v>12054</v>
      </c>
      <c r="X15" s="167">
        <v>42973</v>
      </c>
    </row>
    <row r="16" spans="1:24" ht="15.75" x14ac:dyDescent="0.25">
      <c r="A16" s="131">
        <v>42958</v>
      </c>
      <c r="B16" s="132" t="s">
        <v>880</v>
      </c>
      <c r="C16" s="133">
        <v>2419.1999999999998</v>
      </c>
      <c r="D16" s="128">
        <v>42970</v>
      </c>
      <c r="E16" s="133">
        <v>2419.1999999999998</v>
      </c>
      <c r="F16" s="135">
        <f>C16-E16</f>
        <v>0</v>
      </c>
      <c r="I16" s="45">
        <f>13613+19829.5</f>
        <v>33442.5</v>
      </c>
      <c r="J16" s="132" t="s">
        <v>848</v>
      </c>
      <c r="K16" s="133">
        <v>33442.449999999997</v>
      </c>
      <c r="L16" s="197"/>
      <c r="M16" s="160">
        <v>3932338</v>
      </c>
      <c r="N16" s="148">
        <v>20298</v>
      </c>
      <c r="O16" s="167">
        <v>42948</v>
      </c>
      <c r="R16" s="45"/>
      <c r="S16" s="132"/>
      <c r="T16" s="133"/>
      <c r="U16" s="209"/>
      <c r="V16" s="210">
        <v>3932568</v>
      </c>
      <c r="W16" s="148">
        <v>45000</v>
      </c>
      <c r="X16" s="167">
        <v>42973</v>
      </c>
    </row>
    <row r="17" spans="1:24" ht="15.75" x14ac:dyDescent="0.25">
      <c r="A17" s="131">
        <v>42959</v>
      </c>
      <c r="B17" s="132" t="s">
        <v>878</v>
      </c>
      <c r="C17" s="133">
        <v>101045.86</v>
      </c>
      <c r="D17" s="128">
        <v>42970</v>
      </c>
      <c r="E17" s="133">
        <v>101045.86</v>
      </c>
      <c r="F17" s="135">
        <f>C17-E17</f>
        <v>0</v>
      </c>
      <c r="I17" s="45">
        <f>23670.5+20712.5</f>
        <v>44383</v>
      </c>
      <c r="J17" s="132" t="s">
        <v>849</v>
      </c>
      <c r="K17" s="133">
        <v>44382.76</v>
      </c>
      <c r="L17" s="344"/>
      <c r="M17" s="160" t="s">
        <v>154</v>
      </c>
      <c r="N17" s="148">
        <v>1785</v>
      </c>
      <c r="O17" s="167">
        <v>42947</v>
      </c>
      <c r="R17" s="45"/>
      <c r="S17" s="132"/>
      <c r="T17" s="133"/>
      <c r="U17" s="209"/>
      <c r="V17" s="210"/>
      <c r="W17" s="148"/>
      <c r="X17" s="167"/>
    </row>
    <row r="18" spans="1:24" ht="16.5" thickBot="1" x14ac:dyDescent="0.3">
      <c r="A18" s="131">
        <v>42961</v>
      </c>
      <c r="B18" s="132" t="s">
        <v>879</v>
      </c>
      <c r="C18" s="133">
        <v>13948.48</v>
      </c>
      <c r="D18" s="128">
        <v>42970</v>
      </c>
      <c r="E18" s="133">
        <v>13948.48</v>
      </c>
      <c r="F18" s="135">
        <f t="shared" si="0"/>
        <v>0</v>
      </c>
      <c r="I18" s="45">
        <v>450</v>
      </c>
      <c r="J18" s="132" t="s">
        <v>850</v>
      </c>
      <c r="K18" s="133">
        <v>450</v>
      </c>
      <c r="L18" s="344"/>
      <c r="M18" s="160">
        <v>3932337</v>
      </c>
      <c r="N18" s="148">
        <v>23861.5</v>
      </c>
      <c r="O18" s="167">
        <v>42949</v>
      </c>
      <c r="R18" s="179">
        <v>0</v>
      </c>
      <c r="S18" s="209"/>
      <c r="T18" s="196">
        <v>0</v>
      </c>
      <c r="U18" s="209"/>
      <c r="V18" s="210"/>
      <c r="W18" s="148"/>
      <c r="X18" s="167"/>
    </row>
    <row r="19" spans="1:24" ht="16.5" thickBot="1" x14ac:dyDescent="0.3">
      <c r="A19" s="131">
        <v>42958</v>
      </c>
      <c r="B19" s="132" t="s">
        <v>909</v>
      </c>
      <c r="C19" s="133">
        <v>342</v>
      </c>
      <c r="D19" s="128" t="s">
        <v>890</v>
      </c>
      <c r="E19" s="133">
        <v>342</v>
      </c>
      <c r="F19" s="135">
        <f t="shared" si="0"/>
        <v>0</v>
      </c>
      <c r="I19" s="179">
        <f>17473+16228</f>
        <v>33701</v>
      </c>
      <c r="J19" s="132" t="s">
        <v>851</v>
      </c>
      <c r="K19" s="133">
        <v>37687.97</v>
      </c>
      <c r="L19" s="172"/>
      <c r="M19" s="160">
        <v>3932336</v>
      </c>
      <c r="N19" s="148">
        <v>35136.5</v>
      </c>
      <c r="O19" s="167">
        <v>42950</v>
      </c>
      <c r="R19" s="273">
        <f>SUM(R1:R18)</f>
        <v>372293.5</v>
      </c>
      <c r="S19" s="271"/>
      <c r="T19" s="275">
        <f>SUM(T2:T18)</f>
        <v>372294</v>
      </c>
      <c r="U19" s="276"/>
      <c r="V19" s="276"/>
      <c r="W19" s="275">
        <f>SUM(W2:W18)</f>
        <v>372294</v>
      </c>
      <c r="X19" s="272"/>
    </row>
    <row r="20" spans="1:24" ht="15.75" x14ac:dyDescent="0.25">
      <c r="A20" s="131">
        <v>42964</v>
      </c>
      <c r="B20" s="132" t="s">
        <v>896</v>
      </c>
      <c r="C20" s="133">
        <v>34542.89</v>
      </c>
      <c r="D20" s="128">
        <v>42970</v>
      </c>
      <c r="E20" s="133">
        <v>34542.89</v>
      </c>
      <c r="F20" s="135">
        <f t="shared" si="0"/>
        <v>0</v>
      </c>
      <c r="I20" s="179"/>
      <c r="J20" s="132" t="s">
        <v>852</v>
      </c>
      <c r="K20" s="133">
        <v>6072.78</v>
      </c>
      <c r="L20" s="172" t="s">
        <v>159</v>
      </c>
      <c r="M20" s="160" t="s">
        <v>154</v>
      </c>
      <c r="N20" s="148">
        <v>300</v>
      </c>
      <c r="O20" s="167">
        <v>42954</v>
      </c>
    </row>
    <row r="21" spans="1:24" ht="15.75" x14ac:dyDescent="0.25">
      <c r="A21" s="131">
        <v>42965</v>
      </c>
      <c r="B21" s="365" t="s">
        <v>897</v>
      </c>
      <c r="C21" s="364">
        <v>64288.1</v>
      </c>
      <c r="D21" s="128">
        <v>42970</v>
      </c>
      <c r="E21" s="364">
        <v>64288.1</v>
      </c>
      <c r="F21" s="135">
        <f t="shared" si="0"/>
        <v>0</v>
      </c>
      <c r="I21" s="179"/>
      <c r="J21" s="132"/>
      <c r="K21" s="133"/>
      <c r="L21" s="198"/>
      <c r="M21" s="160">
        <v>3932335</v>
      </c>
      <c r="N21" s="148">
        <v>30000</v>
      </c>
      <c r="O21" s="167">
        <v>42951</v>
      </c>
    </row>
    <row r="22" spans="1:24" ht="15.75" x14ac:dyDescent="0.25">
      <c r="A22" s="131">
        <v>42965</v>
      </c>
      <c r="B22" s="132" t="s">
        <v>898</v>
      </c>
      <c r="C22" s="133">
        <v>76346.559999999998</v>
      </c>
      <c r="D22" s="211" t="s">
        <v>942</v>
      </c>
      <c r="E22" s="133">
        <f>9051.68+67294.88</f>
        <v>76346.559999999998</v>
      </c>
      <c r="F22" s="135">
        <f t="shared" si="0"/>
        <v>0</v>
      </c>
      <c r="I22" s="179"/>
      <c r="J22" s="209"/>
      <c r="K22" s="196"/>
      <c r="L22" s="209"/>
      <c r="M22" s="160">
        <v>3932334</v>
      </c>
      <c r="N22" s="148">
        <v>34483.5</v>
      </c>
      <c r="O22" s="167">
        <v>42951</v>
      </c>
    </row>
    <row r="23" spans="1:24" ht="15.75" x14ac:dyDescent="0.25">
      <c r="A23" s="131">
        <v>42965</v>
      </c>
      <c r="B23" s="132">
        <v>304</v>
      </c>
      <c r="C23" s="133">
        <v>340.8</v>
      </c>
      <c r="D23" s="128" t="s">
        <v>890</v>
      </c>
      <c r="E23" s="133">
        <v>340.8</v>
      </c>
      <c r="F23" s="135">
        <f t="shared" si="0"/>
        <v>0</v>
      </c>
      <c r="I23" s="179"/>
      <c r="J23" s="209"/>
      <c r="K23" s="196"/>
      <c r="L23" s="209"/>
      <c r="M23" s="160">
        <v>3932333</v>
      </c>
      <c r="N23" s="148">
        <v>45000</v>
      </c>
      <c r="O23" s="167">
        <v>42952</v>
      </c>
    </row>
    <row r="24" spans="1:24" ht="15.75" x14ac:dyDescent="0.25">
      <c r="A24" s="131">
        <v>42966</v>
      </c>
      <c r="B24" s="132" t="s">
        <v>905</v>
      </c>
      <c r="C24" s="133">
        <v>30723.1</v>
      </c>
      <c r="D24" s="128">
        <v>42978</v>
      </c>
      <c r="E24" s="133">
        <v>30723.1</v>
      </c>
      <c r="F24" s="135">
        <f t="shared" si="0"/>
        <v>0</v>
      </c>
      <c r="I24" s="179"/>
      <c r="J24" s="209"/>
      <c r="K24" s="196"/>
      <c r="L24" s="209"/>
      <c r="M24" s="160">
        <v>3932332</v>
      </c>
      <c r="N24" s="148">
        <v>10854.5</v>
      </c>
      <c r="O24" s="167">
        <v>42952</v>
      </c>
    </row>
    <row r="25" spans="1:24" ht="15.75" x14ac:dyDescent="0.25">
      <c r="A25" s="131">
        <v>42968</v>
      </c>
      <c r="B25" s="132" t="s">
        <v>906</v>
      </c>
      <c r="C25" s="133">
        <v>29593.599999999999</v>
      </c>
      <c r="D25" s="128">
        <v>42978</v>
      </c>
      <c r="E25" s="133">
        <v>29593.599999999999</v>
      </c>
      <c r="F25" s="135">
        <f t="shared" si="0"/>
        <v>0</v>
      </c>
      <c r="I25" s="179"/>
      <c r="J25" s="209"/>
      <c r="K25" s="196"/>
      <c r="L25" s="209"/>
      <c r="M25" s="160">
        <v>3932331</v>
      </c>
      <c r="N25" s="148">
        <v>30000</v>
      </c>
      <c r="O25" s="167">
        <v>42953</v>
      </c>
    </row>
    <row r="26" spans="1:24" ht="15.75" x14ac:dyDescent="0.25">
      <c r="A26" s="131">
        <v>42968</v>
      </c>
      <c r="B26" s="132" t="s">
        <v>908</v>
      </c>
      <c r="C26" s="133">
        <v>30984.2</v>
      </c>
      <c r="D26" s="128">
        <v>42978</v>
      </c>
      <c r="E26" s="133">
        <v>30984.2</v>
      </c>
      <c r="F26" s="135">
        <f t="shared" si="0"/>
        <v>0</v>
      </c>
      <c r="I26" s="179"/>
      <c r="J26" s="209"/>
      <c r="K26" s="196"/>
      <c r="L26" s="209"/>
      <c r="M26" s="160">
        <v>3932330</v>
      </c>
      <c r="N26" s="148">
        <v>13545</v>
      </c>
      <c r="O26" s="167">
        <v>42953</v>
      </c>
    </row>
    <row r="27" spans="1:24" ht="15.75" x14ac:dyDescent="0.25">
      <c r="A27" s="131">
        <v>42969</v>
      </c>
      <c r="B27" s="132" t="s">
        <v>914</v>
      </c>
      <c r="C27" s="133">
        <v>40536.94</v>
      </c>
      <c r="D27" s="128">
        <v>42978</v>
      </c>
      <c r="E27" s="133">
        <v>40536.94</v>
      </c>
      <c r="F27" s="135">
        <f t="shared" si="0"/>
        <v>0</v>
      </c>
      <c r="I27" s="179"/>
      <c r="J27" s="209"/>
      <c r="K27" s="196"/>
      <c r="L27" s="209"/>
      <c r="M27" s="160">
        <v>3932329</v>
      </c>
      <c r="N27" s="148">
        <v>25000</v>
      </c>
      <c r="O27" s="167">
        <v>42954</v>
      </c>
    </row>
    <row r="28" spans="1:24" ht="15.75" x14ac:dyDescent="0.25">
      <c r="A28" s="131">
        <v>42970</v>
      </c>
      <c r="B28" s="132" t="s">
        <v>915</v>
      </c>
      <c r="C28" s="133">
        <v>65823.44</v>
      </c>
      <c r="D28" s="128">
        <v>42978</v>
      </c>
      <c r="E28" s="133">
        <v>65823.44</v>
      </c>
      <c r="F28" s="135">
        <f t="shared" si="0"/>
        <v>0</v>
      </c>
      <c r="I28" s="179"/>
      <c r="J28" s="209"/>
      <c r="K28" s="196"/>
      <c r="L28" s="209"/>
      <c r="M28" s="160">
        <v>3932328</v>
      </c>
      <c r="N28" s="148">
        <v>13635.5</v>
      </c>
      <c r="O28" s="167">
        <v>42954</v>
      </c>
    </row>
    <row r="29" spans="1:24" ht="15.75" x14ac:dyDescent="0.25">
      <c r="A29" s="131">
        <v>42970</v>
      </c>
      <c r="B29" s="366" t="s">
        <v>928</v>
      </c>
      <c r="C29" s="339">
        <v>4484</v>
      </c>
      <c r="D29" s="211" t="s">
        <v>929</v>
      </c>
      <c r="E29" s="339">
        <v>4484</v>
      </c>
      <c r="F29" s="135">
        <f t="shared" si="0"/>
        <v>0</v>
      </c>
      <c r="I29" s="179"/>
      <c r="J29" s="209"/>
      <c r="K29" s="196"/>
      <c r="L29" s="209"/>
      <c r="M29" s="210" t="s">
        <v>154</v>
      </c>
      <c r="N29" s="148">
        <v>1183</v>
      </c>
      <c r="O29" s="167">
        <v>42957</v>
      </c>
    </row>
    <row r="30" spans="1:24" ht="16.5" thickBot="1" x14ac:dyDescent="0.3">
      <c r="A30" s="131">
        <v>42971</v>
      </c>
      <c r="B30" s="366" t="s">
        <v>916</v>
      </c>
      <c r="C30" s="339">
        <v>37882.5</v>
      </c>
      <c r="D30" s="128">
        <v>42978</v>
      </c>
      <c r="E30" s="133">
        <v>37882.5</v>
      </c>
      <c r="F30" s="135">
        <f t="shared" si="0"/>
        <v>0</v>
      </c>
      <c r="I30" s="179">
        <v>0</v>
      </c>
      <c r="J30" s="209"/>
      <c r="K30" s="196">
        <v>0</v>
      </c>
      <c r="L30" s="209"/>
      <c r="M30" s="210">
        <v>3932327</v>
      </c>
      <c r="N30" s="148">
        <v>15000</v>
      </c>
      <c r="O30" s="167">
        <v>42955</v>
      </c>
    </row>
    <row r="31" spans="1:24" ht="16.5" thickBot="1" x14ac:dyDescent="0.3">
      <c r="A31" s="131">
        <v>42972</v>
      </c>
      <c r="B31" s="132" t="s">
        <v>917</v>
      </c>
      <c r="C31" s="133">
        <v>80391.08</v>
      </c>
      <c r="D31" s="128">
        <v>42978</v>
      </c>
      <c r="E31" s="474">
        <v>69455.34</v>
      </c>
      <c r="F31" s="492">
        <f t="shared" si="0"/>
        <v>10935.740000000005</v>
      </c>
      <c r="I31" s="273">
        <f>SUM(I1:I30)</f>
        <v>595280.5</v>
      </c>
      <c r="J31" s="271"/>
      <c r="K31" s="275">
        <f>SUM(K2:K30)</f>
        <v>595280.5</v>
      </c>
      <c r="L31" s="276"/>
      <c r="M31" s="276"/>
      <c r="N31" s="275">
        <f>SUM(N2:N30)</f>
        <v>595280.5</v>
      </c>
      <c r="O31" s="272"/>
    </row>
    <row r="32" spans="1:24" ht="15.75" x14ac:dyDescent="0.25">
      <c r="A32" s="131">
        <v>42973</v>
      </c>
      <c r="B32" s="393" t="s">
        <v>918</v>
      </c>
      <c r="C32" s="133">
        <v>74369.600000000006</v>
      </c>
      <c r="D32" s="128"/>
      <c r="E32" s="133"/>
      <c r="F32" s="135">
        <f t="shared" si="0"/>
        <v>74369.600000000006</v>
      </c>
      <c r="I32" s="284"/>
      <c r="J32" s="39"/>
      <c r="K32" s="483"/>
      <c r="L32" s="484"/>
      <c r="M32" s="484"/>
      <c r="N32" s="483"/>
      <c r="O32" s="39"/>
    </row>
    <row r="33" spans="1:15" ht="15.75" x14ac:dyDescent="0.25">
      <c r="A33" s="287">
        <v>42975</v>
      </c>
      <c r="B33" s="290" t="s">
        <v>919</v>
      </c>
      <c r="C33" s="133">
        <v>77338.5</v>
      </c>
      <c r="D33" s="128"/>
      <c r="E33" s="133"/>
      <c r="F33" s="135">
        <f t="shared" si="0"/>
        <v>77338.5</v>
      </c>
      <c r="I33" s="284"/>
      <c r="J33" s="39"/>
      <c r="K33" s="483"/>
      <c r="L33" s="484"/>
      <c r="M33" s="484"/>
      <c r="N33" s="483"/>
      <c r="O33" s="39"/>
    </row>
    <row r="34" spans="1:15" ht="16.5" thickBot="1" x14ac:dyDescent="0.3">
      <c r="A34" s="287">
        <v>42976</v>
      </c>
      <c r="B34" s="290" t="s">
        <v>948</v>
      </c>
      <c r="C34" s="133">
        <v>2427</v>
      </c>
      <c r="D34" s="128"/>
      <c r="E34" s="133"/>
      <c r="F34" s="135">
        <f t="shared" si="0"/>
        <v>2427</v>
      </c>
      <c r="I34" s="45"/>
      <c r="J34" s="154"/>
      <c r="K34" s="390">
        <v>42970</v>
      </c>
      <c r="L34" s="216"/>
      <c r="M34" s="217" t="s">
        <v>141</v>
      </c>
      <c r="N34" s="111"/>
      <c r="O34" s="158"/>
    </row>
    <row r="35" spans="1:15" ht="16.5" thickTop="1" x14ac:dyDescent="0.25">
      <c r="A35" s="287">
        <v>42978</v>
      </c>
      <c r="B35" s="290" t="s">
        <v>949</v>
      </c>
      <c r="C35" s="133">
        <v>32799.199999999997</v>
      </c>
      <c r="D35" s="128"/>
      <c r="E35" s="133"/>
      <c r="F35" s="135">
        <f t="shared" si="0"/>
        <v>32799.199999999997</v>
      </c>
      <c r="I35" s="45">
        <f>2178+27245.5+25087.5+10528.5</f>
        <v>65039.5</v>
      </c>
      <c r="J35" s="132" t="s">
        <v>876</v>
      </c>
      <c r="K35" s="133">
        <v>62861.65</v>
      </c>
      <c r="L35" s="214"/>
      <c r="M35" s="160">
        <v>3932326</v>
      </c>
      <c r="N35" s="161">
        <v>29423.5</v>
      </c>
      <c r="O35" s="162">
        <v>42956</v>
      </c>
    </row>
    <row r="36" spans="1:15" ht="15.75" x14ac:dyDescent="0.25">
      <c r="A36" s="287">
        <v>42978</v>
      </c>
      <c r="B36" s="290" t="s">
        <v>950</v>
      </c>
      <c r="C36" s="133">
        <v>44833.63</v>
      </c>
      <c r="D36" s="128"/>
      <c r="E36" s="133"/>
      <c r="F36" s="135">
        <f t="shared" si="0"/>
        <v>44833.63</v>
      </c>
      <c r="I36" s="45">
        <v>36099</v>
      </c>
      <c r="J36" s="132" t="s">
        <v>852</v>
      </c>
      <c r="K36" s="133">
        <v>30026.42</v>
      </c>
      <c r="L36" s="197" t="s">
        <v>143</v>
      </c>
      <c r="M36" s="198">
        <v>3932325</v>
      </c>
      <c r="N36" s="148">
        <v>20000</v>
      </c>
      <c r="O36" s="167">
        <v>42957</v>
      </c>
    </row>
    <row r="37" spans="1:15" ht="15.75" x14ac:dyDescent="0.25">
      <c r="A37" s="287">
        <v>42978</v>
      </c>
      <c r="B37" s="290" t="s">
        <v>951</v>
      </c>
      <c r="C37" s="133">
        <v>722.4</v>
      </c>
      <c r="D37" s="128"/>
      <c r="E37" s="133"/>
      <c r="F37" s="135">
        <f t="shared" si="0"/>
        <v>722.4</v>
      </c>
      <c r="I37" s="45">
        <f>12287.5+26762.5</f>
        <v>39050</v>
      </c>
      <c r="J37" s="132" t="s">
        <v>877</v>
      </c>
      <c r="K37" s="133">
        <v>39050.22</v>
      </c>
      <c r="L37" s="344"/>
      <c r="M37" s="270" t="s">
        <v>154</v>
      </c>
      <c r="N37" s="148">
        <v>5087.5</v>
      </c>
      <c r="O37" s="167">
        <v>42959</v>
      </c>
    </row>
    <row r="38" spans="1:15" ht="15.75" x14ac:dyDescent="0.25">
      <c r="A38" s="287">
        <v>42978</v>
      </c>
      <c r="B38" s="367" t="s">
        <v>952</v>
      </c>
      <c r="C38" s="133">
        <v>8460</v>
      </c>
      <c r="D38" s="128"/>
      <c r="E38" s="133"/>
      <c r="F38" s="135">
        <f t="shared" si="0"/>
        <v>8460</v>
      </c>
      <c r="I38" s="45">
        <v>2419</v>
      </c>
      <c r="J38" s="132" t="s">
        <v>880</v>
      </c>
      <c r="K38" s="133">
        <v>2419.1999999999998</v>
      </c>
      <c r="L38" s="344"/>
      <c r="M38" s="270">
        <v>3932324</v>
      </c>
      <c r="N38" s="148">
        <v>30000</v>
      </c>
      <c r="O38" s="167">
        <v>42958</v>
      </c>
    </row>
    <row r="39" spans="1:15" ht="15.75" x14ac:dyDescent="0.25">
      <c r="A39" s="287">
        <v>42978</v>
      </c>
      <c r="B39" s="367">
        <v>376</v>
      </c>
      <c r="C39" s="133">
        <v>4420.8</v>
      </c>
      <c r="D39" s="128" t="s">
        <v>957</v>
      </c>
      <c r="E39" s="133">
        <v>4420.8</v>
      </c>
      <c r="F39" s="135">
        <f t="shared" si="0"/>
        <v>0</v>
      </c>
      <c r="I39" s="45">
        <f>30008.5+10284+52921.5+7832</f>
        <v>101046</v>
      </c>
      <c r="J39" s="132" t="s">
        <v>878</v>
      </c>
      <c r="K39" s="133">
        <v>101045.86</v>
      </c>
      <c r="L39" s="172"/>
      <c r="M39" s="198">
        <v>3932323</v>
      </c>
      <c r="N39" s="148">
        <v>28915</v>
      </c>
      <c r="O39" s="167">
        <v>42958</v>
      </c>
    </row>
    <row r="40" spans="1:15" ht="15.75" x14ac:dyDescent="0.25">
      <c r="A40" s="287"/>
      <c r="B40" s="367"/>
      <c r="C40" s="133"/>
      <c r="D40" s="128"/>
      <c r="E40" s="133"/>
      <c r="F40" s="135">
        <f t="shared" si="0"/>
        <v>0</v>
      </c>
      <c r="I40" s="45">
        <v>13648.48</v>
      </c>
      <c r="J40" s="132" t="s">
        <v>879</v>
      </c>
      <c r="K40" s="133">
        <v>13948.48</v>
      </c>
      <c r="L40" s="172"/>
      <c r="M40" s="198">
        <v>3932322</v>
      </c>
      <c r="N40" s="148">
        <v>40000</v>
      </c>
      <c r="O40" s="167">
        <v>42959</v>
      </c>
    </row>
    <row r="41" spans="1:15" ht="15.75" x14ac:dyDescent="0.25">
      <c r="A41" s="287"/>
      <c r="B41" s="290"/>
      <c r="C41" s="133"/>
      <c r="D41" s="128"/>
      <c r="E41" s="133"/>
      <c r="F41" s="289">
        <f t="shared" si="0"/>
        <v>0</v>
      </c>
      <c r="I41" s="45">
        <f>10780.02+1442+22662+10439</f>
        <v>45323.020000000004</v>
      </c>
      <c r="J41" s="132" t="s">
        <v>910</v>
      </c>
      <c r="K41" s="133">
        <v>34542.89</v>
      </c>
      <c r="L41" s="198"/>
      <c r="M41" s="274">
        <v>3932320</v>
      </c>
      <c r="N41" s="148">
        <v>19190</v>
      </c>
      <c r="O41" s="167">
        <v>42959</v>
      </c>
    </row>
    <row r="42" spans="1:15" ht="15.75" x14ac:dyDescent="0.25">
      <c r="A42" s="287"/>
      <c r="B42" s="290"/>
      <c r="C42" s="133"/>
      <c r="D42" s="128"/>
      <c r="E42" s="133"/>
      <c r="F42" s="289">
        <f t="shared" si="0"/>
        <v>0</v>
      </c>
      <c r="I42" s="45">
        <v>54609.5</v>
      </c>
      <c r="J42" s="365" t="s">
        <v>897</v>
      </c>
      <c r="K42" s="364">
        <v>64288.1</v>
      </c>
      <c r="L42" s="209"/>
      <c r="M42" s="210">
        <v>3932319</v>
      </c>
      <c r="N42" s="148">
        <v>35000</v>
      </c>
      <c r="O42" s="167">
        <v>42960</v>
      </c>
    </row>
    <row r="43" spans="1:15" ht="15.75" x14ac:dyDescent="0.25">
      <c r="A43" s="287"/>
      <c r="B43" s="291"/>
      <c r="C43" s="139"/>
      <c r="D43" s="128"/>
      <c r="E43" s="148"/>
      <c r="F43" s="166">
        <f t="shared" si="0"/>
        <v>0</v>
      </c>
      <c r="I43" s="45"/>
      <c r="J43" s="132" t="s">
        <v>898</v>
      </c>
      <c r="K43" s="133">
        <v>9051.68</v>
      </c>
      <c r="L43" s="480" t="s">
        <v>368</v>
      </c>
      <c r="M43" s="210">
        <v>3932318</v>
      </c>
      <c r="N43" s="148">
        <v>13000</v>
      </c>
      <c r="O43" s="167">
        <v>42960</v>
      </c>
    </row>
    <row r="44" spans="1:15" ht="16.5" thickBot="1" x14ac:dyDescent="0.3">
      <c r="A44" s="131"/>
      <c r="B44" s="291"/>
      <c r="C44" s="139"/>
      <c r="D44" s="209"/>
      <c r="E44" s="139"/>
      <c r="F44" s="166">
        <f t="shared" si="0"/>
        <v>0</v>
      </c>
      <c r="I44" s="45"/>
      <c r="J44" s="132"/>
      <c r="K44" s="133"/>
      <c r="L44" s="480"/>
      <c r="M44" s="210" t="s">
        <v>154</v>
      </c>
      <c r="N44" s="148">
        <v>4921.5</v>
      </c>
      <c r="O44" s="167">
        <v>42962</v>
      </c>
    </row>
    <row r="45" spans="1:15" ht="16.5" thickBot="1" x14ac:dyDescent="0.3">
      <c r="A45" s="271"/>
      <c r="B45" s="335"/>
      <c r="C45" s="336">
        <f>SUM(C3:C44)</f>
        <v>1309874.1499999999</v>
      </c>
      <c r="D45" s="335"/>
      <c r="E45" s="275">
        <f>SUM(E3:E44)</f>
        <v>1057988.08</v>
      </c>
      <c r="F45" s="489">
        <f>SUM(F3:F44)</f>
        <v>251886.07000000004</v>
      </c>
      <c r="I45" s="45"/>
      <c r="J45" s="132"/>
      <c r="K45" s="133"/>
      <c r="L45" s="209"/>
      <c r="M45" s="210">
        <v>3932504</v>
      </c>
      <c r="N45" s="148">
        <v>10284</v>
      </c>
      <c r="O45" s="167">
        <v>42959</v>
      </c>
    </row>
    <row r="46" spans="1:15" ht="15.75" x14ac:dyDescent="0.25">
      <c r="I46" s="45"/>
      <c r="J46" s="132"/>
      <c r="K46" s="133"/>
      <c r="L46" s="133"/>
      <c r="M46" s="210">
        <v>3932316</v>
      </c>
      <c r="N46" s="148">
        <v>32260.5</v>
      </c>
      <c r="O46" s="167">
        <v>42961</v>
      </c>
    </row>
    <row r="47" spans="1:15" ht="15.75" x14ac:dyDescent="0.25">
      <c r="I47" s="45"/>
      <c r="J47" s="132"/>
      <c r="K47" s="133"/>
      <c r="L47" s="209"/>
      <c r="M47" s="210">
        <v>3932553</v>
      </c>
      <c r="N47" s="148">
        <v>22662</v>
      </c>
      <c r="O47" s="167">
        <v>42964</v>
      </c>
    </row>
    <row r="48" spans="1:15" ht="15.75" x14ac:dyDescent="0.25">
      <c r="I48" s="45"/>
      <c r="J48" s="132"/>
      <c r="K48" s="133"/>
      <c r="L48" s="209"/>
      <c r="M48" s="270" t="s">
        <v>154</v>
      </c>
      <c r="N48" s="148">
        <v>1442</v>
      </c>
      <c r="O48" s="167">
        <v>42962</v>
      </c>
    </row>
    <row r="49" spans="9:15" ht="15.75" x14ac:dyDescent="0.25">
      <c r="I49" s="45"/>
      <c r="J49" s="132"/>
      <c r="K49" s="133"/>
      <c r="L49" s="209"/>
      <c r="M49" s="210">
        <v>3932554</v>
      </c>
      <c r="N49" s="148">
        <v>40000</v>
      </c>
      <c r="O49" s="167">
        <v>42965</v>
      </c>
    </row>
    <row r="50" spans="9:15" ht="15.75" x14ac:dyDescent="0.25">
      <c r="I50" s="45"/>
      <c r="J50" s="132"/>
      <c r="K50" s="133"/>
      <c r="L50" s="209"/>
      <c r="M50" s="210">
        <v>3932555</v>
      </c>
      <c r="N50" s="148">
        <v>25048.5</v>
      </c>
      <c r="O50" s="167">
        <v>42965</v>
      </c>
    </row>
    <row r="51" spans="9:15" ht="16.5" thickBot="1" x14ac:dyDescent="0.3">
      <c r="I51" s="179">
        <v>0</v>
      </c>
      <c r="J51" s="209"/>
      <c r="K51" s="196">
        <v>0</v>
      </c>
      <c r="L51" s="209"/>
      <c r="M51" s="210"/>
      <c r="N51" s="148"/>
      <c r="O51" s="167"/>
    </row>
    <row r="52" spans="9:15" ht="16.5" thickBot="1" x14ac:dyDescent="0.3">
      <c r="I52" s="273">
        <f>SUM(I34:I51)</f>
        <v>357234.5</v>
      </c>
      <c r="J52" s="271"/>
      <c r="K52" s="275">
        <f>SUM(K35:K51)</f>
        <v>357234.5</v>
      </c>
      <c r="L52" s="276"/>
      <c r="M52" s="276"/>
      <c r="N52" s="275">
        <f>SUM(N35:N51)</f>
        <v>357234.5</v>
      </c>
      <c r="O52" s="272"/>
    </row>
  </sheetData>
  <sortState ref="A15:C18">
    <sortCondition ref="B15:B18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M68"/>
  <sheetViews>
    <sheetView workbookViewId="0">
      <selection activeCell="B5" sqref="B5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</cols>
  <sheetData>
    <row r="1" spans="1:13" ht="23.25" x14ac:dyDescent="0.35">
      <c r="A1" s="1"/>
      <c r="B1" s="525" t="s">
        <v>943</v>
      </c>
      <c r="C1" s="525"/>
      <c r="D1" s="525"/>
      <c r="E1" s="525"/>
      <c r="F1" s="525"/>
      <c r="G1" s="525"/>
      <c r="H1" s="525"/>
      <c r="I1" s="525"/>
      <c r="J1" s="525"/>
      <c r="L1" s="2" t="s">
        <v>1</v>
      </c>
      <c r="M1" s="3"/>
    </row>
    <row r="2" spans="1:13" ht="15.75" thickBot="1" x14ac:dyDescent="0.3">
      <c r="A2" s="1"/>
      <c r="B2" s="5" t="s">
        <v>827</v>
      </c>
      <c r="D2" s="498"/>
      <c r="E2" s="8"/>
      <c r="L2" s="9"/>
      <c r="M2" s="3"/>
    </row>
    <row r="3" spans="1:13" ht="19.5" customHeight="1" thickBot="1" x14ac:dyDescent="0.35">
      <c r="A3" s="512" t="s">
        <v>3</v>
      </c>
      <c r="B3" s="10" t="s">
        <v>4</v>
      </c>
      <c r="C3" s="11"/>
      <c r="D3" s="526" t="s">
        <v>2</v>
      </c>
      <c r="E3" s="526"/>
      <c r="F3" s="526"/>
      <c r="G3" s="527">
        <v>2000</v>
      </c>
      <c r="H3" s="527"/>
      <c r="I3" s="5"/>
      <c r="L3" s="9"/>
      <c r="M3" s="3"/>
    </row>
    <row r="4" spans="1:13" ht="20.25" thickTop="1" thickBot="1" x14ac:dyDescent="0.35">
      <c r="A4" s="513"/>
      <c r="B4" s="13">
        <v>202212.18</v>
      </c>
      <c r="C4" s="14"/>
      <c r="D4" s="530" t="s">
        <v>8</v>
      </c>
      <c r="E4" s="531"/>
      <c r="H4" s="532" t="s">
        <v>9</v>
      </c>
      <c r="I4" s="533"/>
      <c r="J4" s="533"/>
      <c r="K4" s="533"/>
      <c r="L4" s="15" t="s">
        <v>10</v>
      </c>
      <c r="M4" s="16" t="s">
        <v>11</v>
      </c>
    </row>
    <row r="5" spans="1:13" ht="16.5" thickTop="1" thickBot="1" x14ac:dyDescent="0.3">
      <c r="A5" s="412"/>
      <c r="B5" s="413"/>
      <c r="C5" s="20"/>
      <c r="D5" s="433"/>
      <c r="E5" s="434"/>
      <c r="F5" s="23"/>
      <c r="G5" s="24"/>
      <c r="H5" s="439"/>
      <c r="I5" s="26"/>
      <c r="J5" s="451"/>
      <c r="K5" s="451"/>
      <c r="L5" s="493"/>
      <c r="M5" s="29"/>
    </row>
    <row r="6" spans="1:13" ht="15.75" thickBot="1" x14ac:dyDescent="0.3">
      <c r="A6" s="414"/>
      <c r="B6" s="415"/>
      <c r="C6" s="20"/>
      <c r="D6" s="435"/>
      <c r="E6" s="436"/>
      <c r="F6" s="36"/>
      <c r="G6" s="24"/>
      <c r="H6" s="440"/>
      <c r="I6" s="38"/>
      <c r="J6" s="106" t="s">
        <v>15</v>
      </c>
      <c r="K6" s="452">
        <v>0</v>
      </c>
      <c r="L6" s="445"/>
      <c r="M6" s="29"/>
    </row>
    <row r="7" spans="1:13" ht="15.75" thickBot="1" x14ac:dyDescent="0.3">
      <c r="A7" s="414"/>
      <c r="B7" s="415"/>
      <c r="C7" s="20"/>
      <c r="D7" s="435"/>
      <c r="E7" s="436"/>
      <c r="F7" s="23"/>
      <c r="G7" s="24"/>
      <c r="H7" s="440"/>
      <c r="I7" s="38"/>
      <c r="J7" s="459" t="s">
        <v>18</v>
      </c>
      <c r="K7" s="453">
        <v>0</v>
      </c>
      <c r="L7" s="445"/>
      <c r="M7" s="29"/>
    </row>
    <row r="8" spans="1:13" ht="15.75" thickBot="1" x14ac:dyDescent="0.3">
      <c r="A8" s="414"/>
      <c r="B8" s="415"/>
      <c r="C8" s="48"/>
      <c r="D8" s="435"/>
      <c r="E8" s="436"/>
      <c r="F8" s="23"/>
      <c r="G8" s="24"/>
      <c r="H8" s="440"/>
      <c r="I8" s="38"/>
      <c r="J8" s="106" t="s">
        <v>22</v>
      </c>
      <c r="K8" s="490">
        <f>7187.5+7187.5+7187.5+7187.5</f>
        <v>28750</v>
      </c>
      <c r="L8" s="445"/>
      <c r="M8" s="29"/>
    </row>
    <row r="9" spans="1:13" ht="15.75" thickBot="1" x14ac:dyDescent="0.3">
      <c r="A9" s="414"/>
      <c r="B9" s="415"/>
      <c r="C9" s="50"/>
      <c r="D9" s="435"/>
      <c r="E9" s="436"/>
      <c r="F9" s="23"/>
      <c r="G9" s="24"/>
      <c r="H9" s="440"/>
      <c r="I9" s="38"/>
      <c r="J9" s="106" t="s">
        <v>944</v>
      </c>
      <c r="K9" s="191">
        <v>0</v>
      </c>
      <c r="L9" s="445"/>
      <c r="M9" s="29"/>
    </row>
    <row r="10" spans="1:13" ht="15.75" thickBot="1" x14ac:dyDescent="0.3">
      <c r="A10" s="414"/>
      <c r="B10" s="415"/>
      <c r="C10" s="48"/>
      <c r="D10" s="435"/>
      <c r="E10" s="436"/>
      <c r="F10" s="23"/>
      <c r="G10" s="24"/>
      <c r="H10" s="440"/>
      <c r="I10" s="51"/>
      <c r="J10" s="106" t="s">
        <v>945</v>
      </c>
      <c r="K10" s="191">
        <v>0</v>
      </c>
      <c r="L10" s="445"/>
      <c r="M10" s="29"/>
    </row>
    <row r="11" spans="1:13" ht="15.75" thickBot="1" x14ac:dyDescent="0.3">
      <c r="A11" s="414"/>
      <c r="B11" s="415"/>
      <c r="C11" s="48"/>
      <c r="D11" s="435"/>
      <c r="E11" s="436"/>
      <c r="F11" s="23"/>
      <c r="G11" s="24"/>
      <c r="H11" s="440"/>
      <c r="I11" s="51"/>
      <c r="J11" s="106" t="s">
        <v>946</v>
      </c>
      <c r="K11" s="191">
        <v>0</v>
      </c>
      <c r="L11" s="445"/>
      <c r="M11" s="29"/>
    </row>
    <row r="12" spans="1:13" ht="15.75" thickBot="1" x14ac:dyDescent="0.3">
      <c r="A12" s="414"/>
      <c r="B12" s="415"/>
      <c r="C12" s="48"/>
      <c r="D12" s="435"/>
      <c r="E12" s="436"/>
      <c r="F12" s="23"/>
      <c r="G12" s="24"/>
      <c r="H12" s="440"/>
      <c r="I12" s="38"/>
      <c r="J12" s="106" t="s">
        <v>947</v>
      </c>
      <c r="K12" s="191">
        <v>0</v>
      </c>
      <c r="L12" s="445"/>
      <c r="M12" s="29"/>
    </row>
    <row r="13" spans="1:13" ht="15.75" thickBot="1" x14ac:dyDescent="0.3">
      <c r="A13" s="414"/>
      <c r="B13" s="415"/>
      <c r="C13" s="48"/>
      <c r="D13" s="435"/>
      <c r="E13" s="436"/>
      <c r="F13" s="23"/>
      <c r="G13" s="24"/>
      <c r="H13" s="440"/>
      <c r="I13" s="38"/>
      <c r="J13" s="368"/>
      <c r="K13" s="452">
        <v>0</v>
      </c>
      <c r="L13" s="445"/>
      <c r="M13" s="29"/>
    </row>
    <row r="14" spans="1:13" ht="15.75" thickBot="1" x14ac:dyDescent="0.3">
      <c r="A14" s="414"/>
      <c r="B14" s="415"/>
      <c r="C14" s="50"/>
      <c r="D14" s="435"/>
      <c r="E14" s="436"/>
      <c r="F14" s="23"/>
      <c r="G14" s="24"/>
      <c r="H14" s="440"/>
      <c r="I14" s="38"/>
      <c r="J14" s="460"/>
      <c r="K14" s="452">
        <v>0</v>
      </c>
      <c r="L14" s="445"/>
      <c r="M14" s="29"/>
    </row>
    <row r="15" spans="1:13" ht="15.75" thickBot="1" x14ac:dyDescent="0.3">
      <c r="A15" s="414"/>
      <c r="B15" s="415"/>
      <c r="C15" s="50"/>
      <c r="D15" s="435"/>
      <c r="E15" s="436"/>
      <c r="F15" s="23"/>
      <c r="G15" s="24"/>
      <c r="H15" s="440"/>
      <c r="I15" s="38"/>
      <c r="J15" s="482" t="s">
        <v>44</v>
      </c>
      <c r="K15" s="452">
        <v>0</v>
      </c>
      <c r="L15" s="445"/>
      <c r="M15" s="456"/>
    </row>
    <row r="16" spans="1:13" ht="15.75" thickBot="1" x14ac:dyDescent="0.3">
      <c r="A16" s="414"/>
      <c r="B16" s="415"/>
      <c r="C16" s="50"/>
      <c r="D16" s="435"/>
      <c r="E16" s="436"/>
      <c r="F16" s="23"/>
      <c r="G16" s="24"/>
      <c r="H16" s="440"/>
      <c r="I16" s="38"/>
      <c r="J16" s="54"/>
      <c r="K16" s="455">
        <v>0</v>
      </c>
      <c r="L16" s="494"/>
      <c r="M16" s="29"/>
    </row>
    <row r="17" spans="1:13" ht="15.75" customHeight="1" thickBot="1" x14ac:dyDescent="0.3">
      <c r="A17" s="414"/>
      <c r="B17" s="415"/>
      <c r="C17" s="50"/>
      <c r="D17" s="435"/>
      <c r="E17" s="436"/>
      <c r="F17" s="23"/>
      <c r="G17" s="24"/>
      <c r="H17" s="440"/>
      <c r="I17" s="38"/>
      <c r="J17" s="522" t="s">
        <v>49</v>
      </c>
      <c r="K17" s="455">
        <v>0</v>
      </c>
      <c r="L17" s="445"/>
      <c r="M17" s="29"/>
    </row>
    <row r="18" spans="1:13" ht="15.75" thickBot="1" x14ac:dyDescent="0.3">
      <c r="A18" s="414"/>
      <c r="B18" s="415"/>
      <c r="C18" s="48"/>
      <c r="D18" s="435"/>
      <c r="E18" s="436"/>
      <c r="F18" s="23"/>
      <c r="G18" s="24"/>
      <c r="H18" s="440"/>
      <c r="I18" s="56"/>
      <c r="J18" s="522"/>
      <c r="K18" s="456">
        <v>0</v>
      </c>
      <c r="L18" s="445"/>
      <c r="M18" s="29"/>
    </row>
    <row r="19" spans="1:13" ht="16.5" thickBot="1" x14ac:dyDescent="0.3">
      <c r="A19" s="414"/>
      <c r="B19" s="415"/>
      <c r="C19" s="50"/>
      <c r="D19" s="435"/>
      <c r="E19" s="436"/>
      <c r="F19" s="23"/>
      <c r="G19" s="24"/>
      <c r="H19" s="440"/>
      <c r="I19" s="38"/>
      <c r="J19" s="368" t="s">
        <v>54</v>
      </c>
      <c r="K19" s="456">
        <v>0</v>
      </c>
      <c r="L19" s="445"/>
      <c r="M19" s="497"/>
    </row>
    <row r="20" spans="1:13" ht="16.5" thickBot="1" x14ac:dyDescent="0.3">
      <c r="A20" s="414"/>
      <c r="B20" s="415"/>
      <c r="C20" s="57"/>
      <c r="D20" s="435"/>
      <c r="E20" s="436"/>
      <c r="F20" s="23"/>
      <c r="G20" s="24"/>
      <c r="H20" s="440"/>
      <c r="I20" s="58"/>
      <c r="J20" s="59" t="s">
        <v>57</v>
      </c>
      <c r="K20" s="109">
        <v>0</v>
      </c>
      <c r="L20" s="445"/>
      <c r="M20" s="497"/>
    </row>
    <row r="21" spans="1:13" ht="15.75" thickBot="1" x14ac:dyDescent="0.3">
      <c r="A21" s="414"/>
      <c r="B21" s="415"/>
      <c r="C21" s="57"/>
      <c r="D21" s="435"/>
      <c r="E21" s="436"/>
      <c r="F21" s="23"/>
      <c r="G21" s="24"/>
      <c r="H21" s="440"/>
      <c r="I21" s="450" t="s">
        <v>638</v>
      </c>
      <c r="J21" s="63"/>
      <c r="K21" s="109"/>
      <c r="L21" s="445"/>
      <c r="M21" s="29"/>
    </row>
    <row r="22" spans="1:13" ht="15.75" thickBot="1" x14ac:dyDescent="0.3">
      <c r="A22" s="414"/>
      <c r="B22" s="415"/>
      <c r="C22" s="50"/>
      <c r="D22" s="435"/>
      <c r="E22" s="436"/>
      <c r="F22" s="23"/>
      <c r="G22" s="24"/>
      <c r="H22" s="440"/>
      <c r="I22" s="58"/>
      <c r="J22" s="449"/>
      <c r="K22" s="109">
        <v>0</v>
      </c>
      <c r="L22" s="445"/>
      <c r="M22" s="29"/>
    </row>
    <row r="23" spans="1:13" ht="15.75" thickBot="1" x14ac:dyDescent="0.3">
      <c r="A23" s="414"/>
      <c r="B23" s="415"/>
      <c r="C23" s="50"/>
      <c r="D23" s="435"/>
      <c r="E23" s="436"/>
      <c r="F23" s="23"/>
      <c r="G23" s="24"/>
      <c r="H23" s="440"/>
      <c r="I23" s="38"/>
      <c r="J23" s="63"/>
      <c r="K23" s="109">
        <v>0</v>
      </c>
      <c r="L23" s="445"/>
      <c r="M23" s="29"/>
    </row>
    <row r="24" spans="1:13" ht="15.75" thickBot="1" x14ac:dyDescent="0.3">
      <c r="A24" s="414"/>
      <c r="B24" s="415"/>
      <c r="C24" s="50"/>
      <c r="D24" s="435"/>
      <c r="E24" s="436"/>
      <c r="F24" s="23"/>
      <c r="G24" s="24"/>
      <c r="H24" s="440"/>
      <c r="I24" s="38"/>
      <c r="J24" s="359" t="s">
        <v>66</v>
      </c>
      <c r="K24" s="109">
        <v>0</v>
      </c>
      <c r="L24" s="445"/>
      <c r="M24" s="29"/>
    </row>
    <row r="25" spans="1:13" ht="15.75" thickBot="1" x14ac:dyDescent="0.3">
      <c r="A25" s="414"/>
      <c r="B25" s="415"/>
      <c r="C25" s="57"/>
      <c r="D25" s="435"/>
      <c r="E25" s="436"/>
      <c r="F25" s="23"/>
      <c r="G25" s="24"/>
      <c r="H25" s="440"/>
      <c r="I25" s="38"/>
      <c r="J25" s="68"/>
      <c r="K25" s="109">
        <v>0</v>
      </c>
      <c r="L25" s="445"/>
      <c r="M25" s="29"/>
    </row>
    <row r="26" spans="1:13" ht="15.75" thickBot="1" x14ac:dyDescent="0.3">
      <c r="A26" s="414"/>
      <c r="B26" s="415"/>
      <c r="C26" s="50"/>
      <c r="D26" s="435"/>
      <c r="E26" s="436"/>
      <c r="F26" s="23"/>
      <c r="G26" s="24"/>
      <c r="H26" s="440"/>
      <c r="I26" s="38"/>
      <c r="J26" s="360" t="s">
        <v>73</v>
      </c>
      <c r="K26" s="109">
        <v>0</v>
      </c>
      <c r="L26" s="443"/>
      <c r="M26" s="29"/>
    </row>
    <row r="27" spans="1:13" ht="15.75" thickBot="1" x14ac:dyDescent="0.3">
      <c r="A27" s="414"/>
      <c r="B27" s="415"/>
      <c r="C27" s="50"/>
      <c r="D27" s="435"/>
      <c r="E27" s="436"/>
      <c r="F27" s="23"/>
      <c r="G27" s="24"/>
      <c r="H27" s="440"/>
      <c r="I27" s="38"/>
      <c r="J27" s="68"/>
      <c r="K27" s="109">
        <v>0</v>
      </c>
      <c r="L27" s="443"/>
      <c r="M27" s="29"/>
    </row>
    <row r="28" spans="1:13" ht="15.75" thickBot="1" x14ac:dyDescent="0.3">
      <c r="A28" s="414"/>
      <c r="B28" s="415"/>
      <c r="C28" s="50"/>
      <c r="D28" s="435"/>
      <c r="E28" s="436"/>
      <c r="F28" s="23"/>
      <c r="G28" s="24"/>
      <c r="H28" s="440"/>
      <c r="I28" s="38"/>
      <c r="J28" s="358" t="s">
        <v>442</v>
      </c>
      <c r="K28" s="109">
        <v>0</v>
      </c>
      <c r="L28" s="446"/>
      <c r="M28" s="29"/>
    </row>
    <row r="29" spans="1:13" ht="15.75" thickBot="1" x14ac:dyDescent="0.3">
      <c r="A29" s="414"/>
      <c r="B29" s="415"/>
      <c r="C29" s="50"/>
      <c r="D29" s="435"/>
      <c r="E29" s="436"/>
      <c r="F29" s="23"/>
      <c r="G29" s="24"/>
      <c r="H29" s="440"/>
      <c r="I29" s="38"/>
      <c r="J29" s="68"/>
      <c r="K29" s="109">
        <v>0</v>
      </c>
      <c r="L29" s="443"/>
      <c r="M29" s="29"/>
    </row>
    <row r="30" spans="1:13" ht="15.75" thickBot="1" x14ac:dyDescent="0.3">
      <c r="A30" s="414"/>
      <c r="B30" s="415"/>
      <c r="C30" s="57"/>
      <c r="D30" s="435"/>
      <c r="E30" s="436"/>
      <c r="F30" s="23"/>
      <c r="G30" s="24"/>
      <c r="H30" s="440"/>
      <c r="I30" s="38"/>
      <c r="J30" s="461" t="s">
        <v>82</v>
      </c>
      <c r="K30" s="109">
        <v>0</v>
      </c>
      <c r="L30" s="446"/>
      <c r="M30" s="29"/>
    </row>
    <row r="31" spans="1:13" ht="15.75" thickBot="1" x14ac:dyDescent="0.3">
      <c r="A31" s="414"/>
      <c r="B31" s="415"/>
      <c r="C31" s="57"/>
      <c r="D31" s="435"/>
      <c r="E31" s="436"/>
      <c r="F31" s="23"/>
      <c r="G31" s="24"/>
      <c r="H31" s="440"/>
      <c r="I31" s="38"/>
      <c r="J31" s="68"/>
      <c r="K31" s="109">
        <v>0</v>
      </c>
      <c r="L31" s="446"/>
      <c r="M31" s="29"/>
    </row>
    <row r="32" spans="1:13" ht="15.75" thickBot="1" x14ac:dyDescent="0.3">
      <c r="A32" s="414"/>
      <c r="B32" s="415"/>
      <c r="C32" s="48"/>
      <c r="D32" s="435"/>
      <c r="E32" s="436"/>
      <c r="F32" s="23"/>
      <c r="G32" s="24"/>
      <c r="H32" s="440"/>
      <c r="I32" s="38"/>
      <c r="J32" s="461"/>
      <c r="K32" s="452"/>
      <c r="L32" s="443"/>
      <c r="M32" s="29"/>
    </row>
    <row r="33" spans="1:13" ht="15.75" thickBot="1" x14ac:dyDescent="0.3">
      <c r="A33" s="414"/>
      <c r="B33" s="415"/>
      <c r="C33" s="48"/>
      <c r="D33" s="435"/>
      <c r="E33" s="436"/>
      <c r="F33" s="23"/>
      <c r="G33" s="24"/>
      <c r="H33" s="440"/>
      <c r="I33" s="38"/>
      <c r="J33" s="190"/>
      <c r="K33" s="191"/>
      <c r="L33" s="443"/>
      <c r="M33" s="29"/>
    </row>
    <row r="34" spans="1:13" ht="15.75" thickBot="1" x14ac:dyDescent="0.3">
      <c r="A34" s="414"/>
      <c r="B34" s="415"/>
      <c r="C34" s="57"/>
      <c r="D34" s="435"/>
      <c r="E34" s="436"/>
      <c r="F34" s="23"/>
      <c r="G34" s="24"/>
      <c r="H34" s="440"/>
      <c r="I34" s="38"/>
      <c r="J34" s="190"/>
      <c r="K34" s="191"/>
      <c r="L34" s="447"/>
      <c r="M34" s="29"/>
    </row>
    <row r="35" spans="1:13" ht="15.75" thickBot="1" x14ac:dyDescent="0.3">
      <c r="A35" s="414"/>
      <c r="B35" s="418"/>
      <c r="C35" s="20"/>
      <c r="D35" s="435"/>
      <c r="E35" s="436"/>
      <c r="F35" s="23"/>
      <c r="G35" s="491"/>
      <c r="H35" s="440"/>
      <c r="I35" s="38"/>
      <c r="J35" s="461"/>
      <c r="K35" s="452"/>
      <c r="L35" s="448"/>
      <c r="M35" s="29"/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0</v>
      </c>
      <c r="D38" s="100" t="s">
        <v>85</v>
      </c>
      <c r="E38" s="101">
        <f>SUM(E5:E37)</f>
        <v>0</v>
      </c>
      <c r="G38" s="498" t="s">
        <v>85</v>
      </c>
      <c r="H38" s="4">
        <f>SUM(H5:H37)</f>
        <v>0</v>
      </c>
      <c r="I38" s="4"/>
      <c r="J38" s="102" t="s">
        <v>85</v>
      </c>
      <c r="K38" s="103">
        <f t="shared" ref="K38" si="0">SUM(K5:K37)</f>
        <v>28750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518" t="s">
        <v>86</v>
      </c>
      <c r="H40" s="519"/>
      <c r="I40" s="499"/>
      <c r="J40" s="520">
        <f>H38+K38</f>
        <v>28750</v>
      </c>
      <c r="K40" s="521"/>
      <c r="L40" s="108"/>
      <c r="M40" s="108"/>
    </row>
    <row r="41" spans="1:13" ht="15.75" customHeight="1" x14ac:dyDescent="0.25">
      <c r="A41" s="1"/>
      <c r="B41" s="5"/>
      <c r="C41" s="540" t="s">
        <v>87</v>
      </c>
      <c r="D41" s="540"/>
      <c r="E41" s="109">
        <f>E38-J40</f>
        <v>-28750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539"/>
      <c r="I43" s="539"/>
      <c r="J43" s="539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-28750</v>
      </c>
      <c r="H44" s="541" t="s">
        <v>91</v>
      </c>
      <c r="I44" s="541"/>
      <c r="J44" s="542">
        <f>E46</f>
        <v>-28750</v>
      </c>
      <c r="K44" s="54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544" t="s">
        <v>3</v>
      </c>
      <c r="I45" s="544"/>
      <c r="J45" s="529">
        <v>-125687.1</v>
      </c>
      <c r="K45" s="52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-28750</v>
      </c>
      <c r="I46" s="116"/>
      <c r="J46" s="534">
        <v>0</v>
      </c>
      <c r="K46" s="534"/>
      <c r="L46" s="108"/>
      <c r="M46" s="108"/>
    </row>
    <row r="47" spans="1:13" ht="19.5" thickBot="1" x14ac:dyDescent="0.3">
      <c r="A47" s="1"/>
      <c r="B47" s="5"/>
      <c r="E47" s="109"/>
      <c r="H47" s="535" t="s">
        <v>270</v>
      </c>
      <c r="I47" s="536"/>
      <c r="J47" s="537">
        <f>SUM(J44:K46)</f>
        <v>-154437.1</v>
      </c>
      <c r="K47" s="538"/>
      <c r="L47" s="108"/>
      <c r="M47" s="108"/>
    </row>
    <row r="48" spans="1:13" x14ac:dyDescent="0.25">
      <c r="A48" s="1"/>
      <c r="B48" s="5"/>
      <c r="C48" s="539"/>
      <c r="D48" s="53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H47:I47"/>
    <mergeCell ref="J47:K47"/>
    <mergeCell ref="C48:D48"/>
    <mergeCell ref="H45:I45"/>
    <mergeCell ref="J45:K45"/>
    <mergeCell ref="J46:K46"/>
    <mergeCell ref="C41:D41"/>
    <mergeCell ref="H43:J43"/>
    <mergeCell ref="H44:I44"/>
    <mergeCell ref="J44:K44"/>
    <mergeCell ref="J17:J18"/>
    <mergeCell ref="G40:H40"/>
    <mergeCell ref="J40:K40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FF"/>
  </sheetPr>
  <dimension ref="A1:P45"/>
  <sheetViews>
    <sheetView tabSelected="1" workbookViewId="0">
      <selection activeCell="J7" sqref="J7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10" max="10" width="14.5703125" customWidth="1"/>
    <col min="12" max="12" width="14.28515625" customWidth="1"/>
    <col min="15" max="15" width="14.42578125" customWidth="1"/>
  </cols>
  <sheetData>
    <row r="1" spans="1:16" ht="19.5" thickBot="1" x14ac:dyDescent="0.35">
      <c r="A1" s="1"/>
      <c r="B1" s="118"/>
      <c r="C1" s="545" t="s">
        <v>95</v>
      </c>
      <c r="D1" s="546"/>
      <c r="E1" s="547"/>
      <c r="F1" s="119"/>
      <c r="J1" s="45"/>
      <c r="K1" s="154"/>
      <c r="L1" s="343">
        <v>42987</v>
      </c>
      <c r="M1" s="216"/>
      <c r="N1" s="217" t="s">
        <v>141</v>
      </c>
      <c r="O1" s="111"/>
      <c r="P1" s="158"/>
    </row>
    <row r="2" spans="1:16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45">
        <f>16366.5+13299.5</f>
        <v>29666</v>
      </c>
      <c r="K2" s="132" t="s">
        <v>917</v>
      </c>
      <c r="L2" s="133">
        <v>10935.74</v>
      </c>
      <c r="M2" s="214" t="s">
        <v>143</v>
      </c>
      <c r="N2" s="160">
        <v>3932570</v>
      </c>
      <c r="O2" s="161">
        <v>40000</v>
      </c>
      <c r="P2" s="162">
        <v>42974</v>
      </c>
    </row>
    <row r="3" spans="1:16" ht="15.75" x14ac:dyDescent="0.25">
      <c r="A3" s="125">
        <v>42980</v>
      </c>
      <c r="B3" s="126" t="s">
        <v>959</v>
      </c>
      <c r="C3" s="127">
        <v>101491.67</v>
      </c>
      <c r="D3" s="128"/>
      <c r="E3" s="127"/>
      <c r="F3" s="129">
        <f t="shared" ref="F3:F44" si="0">C3-E3</f>
        <v>101491.67</v>
      </c>
      <c r="J3" s="45">
        <f>31093+7144+36132.5+10786.5</f>
        <v>85156</v>
      </c>
      <c r="K3" s="393" t="s">
        <v>918</v>
      </c>
      <c r="L3" s="133">
        <v>74369.600000000006</v>
      </c>
      <c r="M3" s="159"/>
      <c r="N3" s="160">
        <v>3932571</v>
      </c>
      <c r="O3" s="161">
        <v>20759</v>
      </c>
      <c r="P3" s="162">
        <v>42974</v>
      </c>
    </row>
    <row r="4" spans="1:16" ht="15.75" x14ac:dyDescent="0.25">
      <c r="A4" s="131">
        <v>42982</v>
      </c>
      <c r="B4" s="132" t="s">
        <v>960</v>
      </c>
      <c r="C4" s="133">
        <v>36015.64</v>
      </c>
      <c r="D4" s="128"/>
      <c r="E4" s="133"/>
      <c r="F4" s="134">
        <f t="shared" si="0"/>
        <v>36015.64</v>
      </c>
      <c r="J4" s="45">
        <f>6812+29734.5+1256+28749.5</f>
        <v>66552</v>
      </c>
      <c r="K4" s="290" t="s">
        <v>919</v>
      </c>
      <c r="L4" s="133">
        <v>77338.5</v>
      </c>
      <c r="M4" s="163"/>
      <c r="N4" s="160">
        <v>3932572</v>
      </c>
      <c r="O4" s="161">
        <v>35000</v>
      </c>
      <c r="P4" s="162">
        <v>42975</v>
      </c>
    </row>
    <row r="5" spans="1:16" ht="15.75" x14ac:dyDescent="0.25">
      <c r="A5" s="131">
        <v>42983</v>
      </c>
      <c r="B5" s="132" t="s">
        <v>961</v>
      </c>
      <c r="C5" s="133">
        <v>34494.449999999997</v>
      </c>
      <c r="D5" s="128"/>
      <c r="E5" s="133"/>
      <c r="F5" s="134">
        <f t="shared" si="0"/>
        <v>34494.449999999997</v>
      </c>
      <c r="J5" s="45">
        <v>2427</v>
      </c>
      <c r="K5" s="290" t="s">
        <v>948</v>
      </c>
      <c r="L5" s="133">
        <v>2427</v>
      </c>
      <c r="M5" s="164"/>
      <c r="N5" s="160">
        <v>3932573</v>
      </c>
      <c r="O5" s="161">
        <v>11919</v>
      </c>
      <c r="P5" s="162">
        <v>42975</v>
      </c>
    </row>
    <row r="6" spans="1:16" ht="15.75" x14ac:dyDescent="0.25">
      <c r="A6" s="131">
        <v>42983</v>
      </c>
      <c r="B6" s="132" t="s">
        <v>962</v>
      </c>
      <c r="C6" s="133">
        <v>6025</v>
      </c>
      <c r="D6" s="128"/>
      <c r="E6" s="133"/>
      <c r="F6" s="135">
        <f t="shared" si="0"/>
        <v>6025</v>
      </c>
      <c r="J6" s="45">
        <v>5676</v>
      </c>
      <c r="K6" s="290" t="s">
        <v>949</v>
      </c>
      <c r="L6" s="133">
        <v>32799.199999999997</v>
      </c>
      <c r="M6" s="277"/>
      <c r="N6" s="160" t="s">
        <v>154</v>
      </c>
      <c r="O6" s="161">
        <v>4429</v>
      </c>
      <c r="P6" s="162">
        <v>42971</v>
      </c>
    </row>
    <row r="7" spans="1:16" ht="15.75" x14ac:dyDescent="0.25">
      <c r="A7" s="131">
        <v>42984</v>
      </c>
      <c r="B7" s="132" t="s">
        <v>963</v>
      </c>
      <c r="C7" s="133">
        <v>32340</v>
      </c>
      <c r="D7" s="128"/>
      <c r="E7" s="133"/>
      <c r="F7" s="135">
        <f t="shared" si="0"/>
        <v>32340</v>
      </c>
      <c r="J7" s="45"/>
      <c r="K7" s="290" t="s">
        <v>950</v>
      </c>
      <c r="L7" s="133">
        <v>44833.63</v>
      </c>
      <c r="M7" s="163"/>
      <c r="N7" s="160" t="s">
        <v>154</v>
      </c>
      <c r="O7" s="161">
        <v>2715</v>
      </c>
      <c r="P7" s="162">
        <v>42970</v>
      </c>
    </row>
    <row r="8" spans="1:16" ht="15.75" x14ac:dyDescent="0.25">
      <c r="A8" s="131">
        <v>42985</v>
      </c>
      <c r="B8" s="132" t="s">
        <v>964</v>
      </c>
      <c r="C8" s="133">
        <v>101320.35</v>
      </c>
      <c r="D8" s="128"/>
      <c r="E8" s="133"/>
      <c r="F8" s="135">
        <f t="shared" si="0"/>
        <v>101320.35</v>
      </c>
      <c r="J8" s="45"/>
      <c r="K8" s="290" t="s">
        <v>951</v>
      </c>
      <c r="L8" s="133">
        <v>722.4</v>
      </c>
      <c r="M8" s="165"/>
      <c r="N8" s="160">
        <v>3932574</v>
      </c>
      <c r="O8" s="166">
        <v>20000</v>
      </c>
      <c r="P8" s="167">
        <v>42976</v>
      </c>
    </row>
    <row r="9" spans="1:16" ht="15.75" x14ac:dyDescent="0.25">
      <c r="A9" s="131"/>
      <c r="B9" s="132"/>
      <c r="C9" s="133"/>
      <c r="D9" s="128"/>
      <c r="E9" s="133"/>
      <c r="F9" s="135">
        <f t="shared" si="0"/>
        <v>0</v>
      </c>
      <c r="J9" s="45"/>
      <c r="K9" s="367" t="s">
        <v>952</v>
      </c>
      <c r="L9" s="133">
        <v>8460</v>
      </c>
      <c r="M9" s="163"/>
      <c r="N9" s="160">
        <v>3932576</v>
      </c>
      <c r="O9" s="148">
        <v>9734.5</v>
      </c>
      <c r="P9" s="167">
        <v>42976</v>
      </c>
    </row>
    <row r="10" spans="1:16" ht="15.75" x14ac:dyDescent="0.25">
      <c r="A10" s="131"/>
      <c r="B10" s="132"/>
      <c r="C10" s="133"/>
      <c r="D10" s="128"/>
      <c r="E10" s="133"/>
      <c r="F10" s="135">
        <f t="shared" si="0"/>
        <v>0</v>
      </c>
      <c r="J10" s="45"/>
      <c r="K10" s="126" t="s">
        <v>959</v>
      </c>
      <c r="L10" s="127">
        <v>101491.67</v>
      </c>
      <c r="M10" s="168"/>
      <c r="N10" s="160" t="s">
        <v>154</v>
      </c>
      <c r="O10" s="161">
        <v>6812</v>
      </c>
      <c r="P10" s="162">
        <v>42975</v>
      </c>
    </row>
    <row r="11" spans="1:16" ht="15.75" x14ac:dyDescent="0.25">
      <c r="A11" s="131"/>
      <c r="B11" s="132"/>
      <c r="C11" s="133"/>
      <c r="D11" s="128"/>
      <c r="E11" s="133"/>
      <c r="F11" s="135">
        <f t="shared" si="0"/>
        <v>0</v>
      </c>
      <c r="J11" s="45"/>
      <c r="K11" s="132" t="s">
        <v>960</v>
      </c>
      <c r="L11" s="133">
        <v>36015.64</v>
      </c>
      <c r="M11" s="168"/>
      <c r="N11" s="160">
        <v>3932577</v>
      </c>
      <c r="O11" s="161">
        <v>20000</v>
      </c>
      <c r="P11" s="162">
        <v>42977</v>
      </c>
    </row>
    <row r="12" spans="1:16" ht="15.75" x14ac:dyDescent="0.25">
      <c r="A12" s="131"/>
      <c r="B12" s="132"/>
      <c r="C12" s="133"/>
      <c r="D12" s="128"/>
      <c r="E12" s="133"/>
      <c r="F12" s="135">
        <f t="shared" si="0"/>
        <v>0</v>
      </c>
      <c r="J12" s="45"/>
      <c r="K12" s="132" t="s">
        <v>961</v>
      </c>
      <c r="L12" s="133">
        <v>34494.449999999997</v>
      </c>
      <c r="M12" s="168"/>
      <c r="N12" s="160">
        <v>3932580</v>
      </c>
      <c r="O12" s="161">
        <v>16852.5</v>
      </c>
      <c r="P12" s="162">
        <v>42977</v>
      </c>
    </row>
    <row r="13" spans="1:16" ht="15.75" x14ac:dyDescent="0.25">
      <c r="A13" s="131"/>
      <c r="B13" s="132"/>
      <c r="C13" s="133"/>
      <c r="D13" s="128"/>
      <c r="E13" s="133"/>
      <c r="F13" s="135">
        <f>C13-E13</f>
        <v>0</v>
      </c>
      <c r="J13" s="45"/>
      <c r="K13" s="132" t="s">
        <v>962</v>
      </c>
      <c r="L13" s="133">
        <v>6025</v>
      </c>
      <c r="M13" s="168"/>
      <c r="N13" s="160" t="s">
        <v>154</v>
      </c>
      <c r="O13" s="161">
        <v>1256</v>
      </c>
      <c r="P13" s="162">
        <v>42975</v>
      </c>
    </row>
    <row r="14" spans="1:16" ht="15.75" x14ac:dyDescent="0.25">
      <c r="A14" s="131"/>
      <c r="B14" s="132"/>
      <c r="C14" s="133"/>
      <c r="D14" s="128"/>
      <c r="E14" s="133"/>
      <c r="F14" s="135">
        <f>C14-E14</f>
        <v>0</v>
      </c>
      <c r="J14" s="45"/>
      <c r="K14" s="132" t="s">
        <v>963</v>
      </c>
      <c r="L14" s="133">
        <v>32340</v>
      </c>
      <c r="M14" s="168"/>
      <c r="N14" s="160"/>
      <c r="O14" s="161"/>
      <c r="P14" s="162"/>
    </row>
    <row r="15" spans="1:16" ht="15.75" x14ac:dyDescent="0.25">
      <c r="A15" s="131"/>
      <c r="B15" s="132"/>
      <c r="C15" s="133"/>
      <c r="D15" s="128"/>
      <c r="E15" s="133"/>
      <c r="F15" s="135">
        <f>C15-E15</f>
        <v>0</v>
      </c>
      <c r="J15" s="45"/>
      <c r="K15" s="132" t="s">
        <v>964</v>
      </c>
      <c r="L15" s="133">
        <v>101320.35</v>
      </c>
      <c r="M15" s="168"/>
      <c r="N15" s="160"/>
      <c r="O15" s="161"/>
      <c r="P15" s="162"/>
    </row>
    <row r="16" spans="1:16" ht="15.75" x14ac:dyDescent="0.25">
      <c r="A16" s="131"/>
      <c r="B16" s="132"/>
      <c r="C16" s="133"/>
      <c r="D16" s="128"/>
      <c r="E16" s="133"/>
      <c r="F16" s="135">
        <f>C16-E16</f>
        <v>0</v>
      </c>
      <c r="J16" s="45"/>
      <c r="K16" s="132"/>
      <c r="L16" s="133"/>
      <c r="M16" s="197"/>
      <c r="N16" s="160"/>
      <c r="O16" s="148"/>
      <c r="P16" s="167"/>
    </row>
    <row r="17" spans="1:16" ht="15.75" x14ac:dyDescent="0.25">
      <c r="A17" s="131"/>
      <c r="B17" s="132"/>
      <c r="C17" s="133"/>
      <c r="D17" s="128"/>
      <c r="E17" s="133"/>
      <c r="F17" s="135">
        <f>C17-E17</f>
        <v>0</v>
      </c>
      <c r="J17" s="45"/>
      <c r="K17" s="132"/>
      <c r="L17" s="133"/>
      <c r="M17" s="344"/>
      <c r="N17" s="160"/>
      <c r="O17" s="148"/>
      <c r="P17" s="167"/>
    </row>
    <row r="18" spans="1:16" ht="15.75" x14ac:dyDescent="0.25">
      <c r="A18" s="131"/>
      <c r="B18" s="132"/>
      <c r="C18" s="133"/>
      <c r="D18" s="128"/>
      <c r="E18" s="133"/>
      <c r="F18" s="135">
        <f t="shared" si="0"/>
        <v>0</v>
      </c>
      <c r="J18" s="45"/>
      <c r="K18" s="132"/>
      <c r="L18" s="133"/>
      <c r="M18" s="344"/>
      <c r="N18" s="160"/>
      <c r="O18" s="148"/>
      <c r="P18" s="167"/>
    </row>
    <row r="19" spans="1:16" ht="15.75" x14ac:dyDescent="0.25">
      <c r="A19" s="131"/>
      <c r="B19" s="132"/>
      <c r="C19" s="133"/>
      <c r="D19" s="128"/>
      <c r="E19" s="133"/>
      <c r="F19" s="135">
        <f t="shared" si="0"/>
        <v>0</v>
      </c>
      <c r="J19" s="179"/>
      <c r="K19" s="132"/>
      <c r="L19" s="133"/>
      <c r="M19" s="172"/>
      <c r="N19" s="160"/>
      <c r="O19" s="148"/>
      <c r="P19" s="167"/>
    </row>
    <row r="20" spans="1:16" ht="15.75" x14ac:dyDescent="0.25">
      <c r="A20" s="131"/>
      <c r="B20" s="132"/>
      <c r="C20" s="133"/>
      <c r="D20" s="128"/>
      <c r="E20" s="133"/>
      <c r="F20" s="135">
        <f t="shared" si="0"/>
        <v>0</v>
      </c>
      <c r="J20" s="179"/>
      <c r="K20" s="132"/>
      <c r="L20" s="133"/>
      <c r="M20" s="172"/>
      <c r="N20" s="160"/>
      <c r="O20" s="148"/>
      <c r="P20" s="167"/>
    </row>
    <row r="21" spans="1:16" ht="15.75" x14ac:dyDescent="0.25">
      <c r="A21" s="131"/>
      <c r="B21" s="365"/>
      <c r="C21" s="364"/>
      <c r="D21" s="128"/>
      <c r="E21" s="364"/>
      <c r="F21" s="135">
        <f t="shared" si="0"/>
        <v>0</v>
      </c>
      <c r="J21" s="179"/>
      <c r="K21" s="132"/>
      <c r="L21" s="133"/>
      <c r="M21" s="198"/>
      <c r="N21" s="160"/>
      <c r="O21" s="148"/>
      <c r="P21" s="167"/>
    </row>
    <row r="22" spans="1:16" ht="15.75" x14ac:dyDescent="0.25">
      <c r="A22" s="131"/>
      <c r="B22" s="132"/>
      <c r="C22" s="133"/>
      <c r="D22" s="211"/>
      <c r="E22" s="133"/>
      <c r="F22" s="135">
        <f t="shared" si="0"/>
        <v>0</v>
      </c>
      <c r="J22" s="179"/>
      <c r="K22" s="209"/>
      <c r="L22" s="196"/>
      <c r="M22" s="209"/>
      <c r="N22" s="160"/>
      <c r="O22" s="148"/>
      <c r="P22" s="167"/>
    </row>
    <row r="23" spans="1:16" ht="15.75" x14ac:dyDescent="0.25">
      <c r="A23" s="131"/>
      <c r="B23" s="132"/>
      <c r="C23" s="133"/>
      <c r="D23" s="128"/>
      <c r="E23" s="133"/>
      <c r="F23" s="135">
        <f t="shared" si="0"/>
        <v>0</v>
      </c>
      <c r="J23" s="179"/>
      <c r="K23" s="209"/>
      <c r="L23" s="196"/>
      <c r="M23" s="209"/>
      <c r="N23" s="160"/>
      <c r="O23" s="148"/>
      <c r="P23" s="167"/>
    </row>
    <row r="24" spans="1:16" ht="15.75" x14ac:dyDescent="0.25">
      <c r="A24" s="131"/>
      <c r="B24" s="132"/>
      <c r="C24" s="133"/>
      <c r="D24" s="128"/>
      <c r="E24" s="133"/>
      <c r="F24" s="135">
        <f t="shared" si="0"/>
        <v>0</v>
      </c>
      <c r="J24" s="179"/>
      <c r="K24" s="209"/>
      <c r="L24" s="196"/>
      <c r="M24" s="209"/>
      <c r="N24" s="160"/>
      <c r="O24" s="148"/>
      <c r="P24" s="167"/>
    </row>
    <row r="25" spans="1:16" ht="15.75" x14ac:dyDescent="0.25">
      <c r="A25" s="131"/>
      <c r="B25" s="132"/>
      <c r="C25" s="133"/>
      <c r="D25" s="128"/>
      <c r="E25" s="133"/>
      <c r="F25" s="135">
        <f t="shared" si="0"/>
        <v>0</v>
      </c>
      <c r="J25" s="179"/>
      <c r="K25" s="209"/>
      <c r="L25" s="196"/>
      <c r="M25" s="209"/>
      <c r="N25" s="160"/>
      <c r="O25" s="148"/>
      <c r="P25" s="167"/>
    </row>
    <row r="26" spans="1:16" ht="15.75" x14ac:dyDescent="0.25">
      <c r="A26" s="131"/>
      <c r="B26" s="132"/>
      <c r="C26" s="133"/>
      <c r="D26" s="128"/>
      <c r="E26" s="133"/>
      <c r="F26" s="135">
        <f t="shared" si="0"/>
        <v>0</v>
      </c>
      <c r="J26" s="179"/>
      <c r="K26" s="209"/>
      <c r="L26" s="196"/>
      <c r="M26" s="209"/>
      <c r="N26" s="160"/>
      <c r="O26" s="148"/>
      <c r="P26" s="167"/>
    </row>
    <row r="27" spans="1:16" ht="15.75" x14ac:dyDescent="0.25">
      <c r="A27" s="131"/>
      <c r="B27" s="132"/>
      <c r="C27" s="133"/>
      <c r="D27" s="128"/>
      <c r="E27" s="133"/>
      <c r="F27" s="135">
        <f t="shared" si="0"/>
        <v>0</v>
      </c>
      <c r="J27" s="179"/>
      <c r="K27" s="209"/>
      <c r="L27" s="196"/>
      <c r="M27" s="209"/>
      <c r="N27" s="160"/>
      <c r="O27" s="148"/>
      <c r="P27" s="167"/>
    </row>
    <row r="28" spans="1:16" ht="15.75" x14ac:dyDescent="0.25">
      <c r="A28" s="131"/>
      <c r="B28" s="132"/>
      <c r="C28" s="133"/>
      <c r="D28" s="128"/>
      <c r="E28" s="133"/>
      <c r="F28" s="135">
        <f t="shared" si="0"/>
        <v>0</v>
      </c>
      <c r="J28" s="179"/>
      <c r="K28" s="209"/>
      <c r="L28" s="196"/>
      <c r="M28" s="209"/>
      <c r="N28" s="160"/>
      <c r="O28" s="148"/>
      <c r="P28" s="167"/>
    </row>
    <row r="29" spans="1:16" ht="15.75" x14ac:dyDescent="0.25">
      <c r="A29" s="131"/>
      <c r="B29" s="366"/>
      <c r="C29" s="339"/>
      <c r="D29" s="211"/>
      <c r="E29" s="339"/>
      <c r="F29" s="135">
        <f t="shared" si="0"/>
        <v>0</v>
      </c>
      <c r="J29" s="179"/>
      <c r="K29" s="209"/>
      <c r="L29" s="196"/>
      <c r="M29" s="209"/>
      <c r="N29" s="210"/>
      <c r="O29" s="148"/>
      <c r="P29" s="167"/>
    </row>
    <row r="30" spans="1:16" ht="16.5" thickBot="1" x14ac:dyDescent="0.3">
      <c r="A30" s="131"/>
      <c r="B30" s="366"/>
      <c r="C30" s="339"/>
      <c r="D30" s="128"/>
      <c r="E30" s="133"/>
      <c r="F30" s="135">
        <f t="shared" si="0"/>
        <v>0</v>
      </c>
      <c r="J30" s="179">
        <v>0</v>
      </c>
      <c r="K30" s="209"/>
      <c r="L30" s="196">
        <v>0</v>
      </c>
      <c r="M30" s="209"/>
      <c r="N30" s="210"/>
      <c r="O30" s="148"/>
      <c r="P30" s="167"/>
    </row>
    <row r="31" spans="1:16" ht="16.5" thickBot="1" x14ac:dyDescent="0.3">
      <c r="A31" s="131"/>
      <c r="B31" s="132"/>
      <c r="C31" s="133"/>
      <c r="D31" s="128"/>
      <c r="E31" s="133"/>
      <c r="F31" s="135">
        <f t="shared" si="0"/>
        <v>0</v>
      </c>
      <c r="J31" s="273">
        <f>SUM(J1:J30)</f>
        <v>189477</v>
      </c>
      <c r="K31" s="271"/>
      <c r="L31" s="275">
        <f>SUM(L2:L30)</f>
        <v>563573.18000000005</v>
      </c>
      <c r="M31" s="276"/>
      <c r="N31" s="276"/>
      <c r="O31" s="275">
        <f>SUM(O2:O30)</f>
        <v>189477</v>
      </c>
      <c r="P31" s="272"/>
    </row>
    <row r="32" spans="1:16" x14ac:dyDescent="0.25">
      <c r="A32" s="131"/>
      <c r="B32" s="393"/>
      <c r="C32" s="133"/>
      <c r="D32" s="128"/>
      <c r="E32" s="133"/>
      <c r="F32" s="135">
        <f t="shared" si="0"/>
        <v>0</v>
      </c>
    </row>
    <row r="33" spans="1:6" x14ac:dyDescent="0.25">
      <c r="A33" s="287"/>
      <c r="B33" s="290"/>
      <c r="C33" s="133"/>
      <c r="D33" s="128"/>
      <c r="E33" s="133"/>
      <c r="F33" s="135">
        <f t="shared" si="0"/>
        <v>0</v>
      </c>
    </row>
    <row r="34" spans="1:6" x14ac:dyDescent="0.25">
      <c r="A34" s="287"/>
      <c r="B34" s="290"/>
      <c r="C34" s="133"/>
      <c r="D34" s="128"/>
      <c r="E34" s="133"/>
      <c r="F34" s="135">
        <f t="shared" si="0"/>
        <v>0</v>
      </c>
    </row>
    <row r="35" spans="1:6" x14ac:dyDescent="0.25">
      <c r="A35" s="287"/>
      <c r="B35" s="290"/>
      <c r="C35" s="133"/>
      <c r="D35" s="128"/>
      <c r="E35" s="133"/>
      <c r="F35" s="135">
        <f t="shared" si="0"/>
        <v>0</v>
      </c>
    </row>
    <row r="36" spans="1:6" x14ac:dyDescent="0.25">
      <c r="A36" s="287"/>
      <c r="B36" s="290"/>
      <c r="C36" s="133"/>
      <c r="D36" s="128"/>
      <c r="E36" s="133"/>
      <c r="F36" s="135">
        <f t="shared" si="0"/>
        <v>0</v>
      </c>
    </row>
    <row r="37" spans="1:6" x14ac:dyDescent="0.25">
      <c r="A37" s="287"/>
      <c r="B37" s="290"/>
      <c r="C37" s="133"/>
      <c r="D37" s="128"/>
      <c r="E37" s="133"/>
      <c r="F37" s="135">
        <f t="shared" si="0"/>
        <v>0</v>
      </c>
    </row>
    <row r="38" spans="1:6" x14ac:dyDescent="0.25">
      <c r="A38" s="287"/>
      <c r="B38" s="367"/>
      <c r="C38" s="133"/>
      <c r="D38" s="128"/>
      <c r="E38" s="133"/>
      <c r="F38" s="135">
        <f t="shared" si="0"/>
        <v>0</v>
      </c>
    </row>
    <row r="39" spans="1:6" x14ac:dyDescent="0.25">
      <c r="A39" s="287"/>
      <c r="B39" s="367"/>
      <c r="C39" s="133"/>
      <c r="D39" s="128"/>
      <c r="E39" s="133"/>
      <c r="F39" s="135">
        <f t="shared" si="0"/>
        <v>0</v>
      </c>
    </row>
    <row r="40" spans="1:6" x14ac:dyDescent="0.25">
      <c r="A40" s="287"/>
      <c r="B40" s="367"/>
      <c r="C40" s="133"/>
      <c r="D40" s="128"/>
      <c r="E40" s="133"/>
      <c r="F40" s="135">
        <f t="shared" si="0"/>
        <v>0</v>
      </c>
    </row>
    <row r="41" spans="1:6" x14ac:dyDescent="0.25">
      <c r="A41" s="287"/>
      <c r="B41" s="290"/>
      <c r="C41" s="133"/>
      <c r="D41" s="128"/>
      <c r="E41" s="133"/>
      <c r="F41" s="289">
        <f t="shared" si="0"/>
        <v>0</v>
      </c>
    </row>
    <row r="42" spans="1:6" x14ac:dyDescent="0.25">
      <c r="A42" s="287"/>
      <c r="B42" s="290"/>
      <c r="C42" s="133"/>
      <c r="D42" s="128"/>
      <c r="E42" s="133"/>
      <c r="F42" s="289">
        <f t="shared" si="0"/>
        <v>0</v>
      </c>
    </row>
    <row r="43" spans="1:6" x14ac:dyDescent="0.25">
      <c r="A43" s="287"/>
      <c r="B43" s="291"/>
      <c r="C43" s="139"/>
      <c r="D43" s="128"/>
      <c r="E43" s="148"/>
      <c r="F43" s="166">
        <f t="shared" si="0"/>
        <v>0</v>
      </c>
    </row>
    <row r="44" spans="1:6" ht="15.75" thickBot="1" x14ac:dyDescent="0.3">
      <c r="A44" s="131"/>
      <c r="B44" s="291"/>
      <c r="C44" s="139"/>
      <c r="D44" s="209"/>
      <c r="E44" s="139"/>
      <c r="F44" s="166">
        <f t="shared" si="0"/>
        <v>0</v>
      </c>
    </row>
    <row r="45" spans="1:6" ht="16.5" thickBot="1" x14ac:dyDescent="0.3">
      <c r="A45" s="271"/>
      <c r="B45" s="335"/>
      <c r="C45" s="336">
        <f>SUM(C3:C44)</f>
        <v>311687.11</v>
      </c>
      <c r="D45" s="335"/>
      <c r="E45" s="275">
        <f>SUM(E3:E44)</f>
        <v>0</v>
      </c>
      <c r="F45" s="489">
        <f>SUM(F3:F44)</f>
        <v>311687.11</v>
      </c>
    </row>
  </sheetData>
  <mergeCells count="1">
    <mergeCell ref="C1:E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545" t="s">
        <v>95</v>
      </c>
      <c r="D1" s="546"/>
      <c r="E1" s="547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25" t="s">
        <v>172</v>
      </c>
      <c r="C1" s="525"/>
      <c r="D1" s="525"/>
      <c r="E1" s="525"/>
      <c r="F1" s="525"/>
      <c r="G1" s="525"/>
      <c r="H1" s="525"/>
      <c r="I1" s="525"/>
      <c r="J1" s="525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526" t="s">
        <v>2</v>
      </c>
      <c r="H2" s="526"/>
      <c r="I2" s="526"/>
      <c r="J2" s="527">
        <v>2000</v>
      </c>
      <c r="K2" s="527"/>
      <c r="L2" s="9"/>
      <c r="M2" s="3"/>
    </row>
    <row r="3" spans="1:14" ht="15.75" thickBot="1" x14ac:dyDescent="0.3">
      <c r="A3" s="51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13"/>
      <c r="B4" s="13">
        <v>203155.73</v>
      </c>
      <c r="C4" s="14"/>
      <c r="D4" s="530" t="s">
        <v>8</v>
      </c>
      <c r="E4" s="531"/>
      <c r="H4" s="532" t="s">
        <v>9</v>
      </c>
      <c r="I4" s="533"/>
      <c r="J4" s="533"/>
      <c r="K4" s="533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522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522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8" t="s">
        <v>86</v>
      </c>
      <c r="H40" s="519"/>
      <c r="I40" s="189"/>
      <c r="J40" s="520">
        <f>H38+K38</f>
        <v>66570.400000000009</v>
      </c>
      <c r="K40" s="521"/>
      <c r="L40" s="108"/>
      <c r="M40" s="108"/>
    </row>
    <row r="41" spans="1:13" ht="15.75" x14ac:dyDescent="0.25">
      <c r="A41" s="1"/>
      <c r="B41" s="5"/>
      <c r="C41" s="540" t="s">
        <v>87</v>
      </c>
      <c r="D41" s="540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539"/>
      <c r="I43" s="539"/>
      <c r="J43" s="53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541" t="s">
        <v>91</v>
      </c>
      <c r="I44" s="541"/>
      <c r="J44" s="542">
        <f>E46</f>
        <v>217328.10000000021</v>
      </c>
      <c r="K44" s="54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544" t="s">
        <v>3</v>
      </c>
      <c r="I45" s="544"/>
      <c r="J45" s="529">
        <v>-203155.73</v>
      </c>
      <c r="K45" s="52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534">
        <v>0</v>
      </c>
      <c r="K46" s="534"/>
      <c r="L46" s="108"/>
      <c r="M46" s="108"/>
    </row>
    <row r="47" spans="1:13" ht="19.5" thickBot="1" x14ac:dyDescent="0.3">
      <c r="A47" s="1"/>
      <c r="B47" s="5"/>
      <c r="E47" s="109"/>
      <c r="H47" s="535" t="s">
        <v>94</v>
      </c>
      <c r="I47" s="536"/>
      <c r="J47" s="537">
        <f>SUM(J44:K46)</f>
        <v>14172.370000000199</v>
      </c>
      <c r="K47" s="538"/>
      <c r="L47" s="108"/>
      <c r="M47" s="108"/>
    </row>
    <row r="48" spans="1:13" x14ac:dyDescent="0.25">
      <c r="A48" s="1"/>
      <c r="B48" s="5"/>
      <c r="C48" s="539"/>
      <c r="D48" s="53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545" t="s">
        <v>95</v>
      </c>
      <c r="D1" s="546"/>
      <c r="E1" s="547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25" workbookViewId="0">
      <selection activeCell="K7" sqref="K7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25" t="s">
        <v>660</v>
      </c>
      <c r="C1" s="525"/>
      <c r="D1" s="525"/>
      <c r="E1" s="525"/>
      <c r="F1" s="525"/>
      <c r="G1" s="525"/>
      <c r="H1" s="525"/>
      <c r="I1" s="525"/>
      <c r="J1" s="525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526" t="s">
        <v>2</v>
      </c>
      <c r="H2" s="526"/>
      <c r="I2" s="526"/>
      <c r="J2" s="527">
        <v>2000</v>
      </c>
      <c r="K2" s="527"/>
      <c r="L2" s="9"/>
      <c r="M2" s="3"/>
    </row>
    <row r="3" spans="1:14" ht="15.75" thickBot="1" x14ac:dyDescent="0.3">
      <c r="A3" s="51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13"/>
      <c r="B4" s="13">
        <v>114950.38</v>
      </c>
      <c r="C4" s="14"/>
      <c r="D4" s="530" t="s">
        <v>8</v>
      </c>
      <c r="E4" s="531"/>
      <c r="H4" s="532" t="s">
        <v>9</v>
      </c>
      <c r="I4" s="533"/>
      <c r="J4" s="533"/>
      <c r="K4" s="533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549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15253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 t="s">
        <v>408</v>
      </c>
      <c r="J12" s="39" t="s">
        <v>331</v>
      </c>
      <c r="K12" s="36">
        <v>7933.4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 t="s">
        <v>409</v>
      </c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522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522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>
        <v>0</v>
      </c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>
        <v>41206</v>
      </c>
      <c r="C26" s="50" t="s">
        <v>390</v>
      </c>
      <c r="D26" s="21">
        <v>42816</v>
      </c>
      <c r="E26" s="35">
        <v>30216</v>
      </c>
      <c r="F26" s="23"/>
      <c r="G26" s="24">
        <v>42816</v>
      </c>
      <c r="H26" s="37">
        <v>33</v>
      </c>
      <c r="I26" s="38"/>
      <c r="J26" s="70" t="s">
        <v>73</v>
      </c>
      <c r="K26" s="60">
        <v>0</v>
      </c>
      <c r="L26" s="28" t="s">
        <v>389</v>
      </c>
      <c r="M26" s="29">
        <v>0</v>
      </c>
      <c r="N26" s="45"/>
    </row>
    <row r="27" spans="1:14" ht="15.75" thickBot="1" x14ac:dyDescent="0.3">
      <c r="A27" s="18">
        <v>42817</v>
      </c>
      <c r="B27" s="34">
        <v>63765.5</v>
      </c>
      <c r="C27" s="50" t="s">
        <v>391</v>
      </c>
      <c r="D27" s="21">
        <v>42817</v>
      </c>
      <c r="E27" s="35">
        <v>68193.5</v>
      </c>
      <c r="F27" s="23"/>
      <c r="G27" s="24">
        <v>42817</v>
      </c>
      <c r="H27" s="37">
        <v>0</v>
      </c>
      <c r="I27" s="38"/>
      <c r="J27" s="73"/>
      <c r="K27" s="60">
        <v>0</v>
      </c>
      <c r="L27" s="28" t="s">
        <v>392</v>
      </c>
      <c r="M27" s="29">
        <v>0</v>
      </c>
    </row>
    <row r="28" spans="1:14" ht="15.75" thickBot="1" x14ac:dyDescent="0.3">
      <c r="A28" s="18">
        <v>42818</v>
      </c>
      <c r="B28" s="34">
        <v>51483</v>
      </c>
      <c r="C28" s="50" t="s">
        <v>394</v>
      </c>
      <c r="D28" s="21">
        <v>42818</v>
      </c>
      <c r="E28" s="35">
        <v>54443.1</v>
      </c>
      <c r="F28" s="23"/>
      <c r="G28" s="24">
        <v>42818</v>
      </c>
      <c r="H28" s="37">
        <v>0</v>
      </c>
      <c r="I28" s="38"/>
      <c r="J28" s="70" t="s">
        <v>80</v>
      </c>
      <c r="K28" s="60">
        <v>0</v>
      </c>
      <c r="L28" s="75" t="s">
        <v>393</v>
      </c>
      <c r="M28" s="29">
        <v>0</v>
      </c>
    </row>
    <row r="29" spans="1:14" ht="15.75" thickBot="1" x14ac:dyDescent="0.3">
      <c r="A29" s="18">
        <v>42819</v>
      </c>
      <c r="B29" s="34">
        <v>71807</v>
      </c>
      <c r="C29" s="50" t="s">
        <v>396</v>
      </c>
      <c r="D29" s="21">
        <v>42819</v>
      </c>
      <c r="E29" s="35">
        <v>77613.5</v>
      </c>
      <c r="F29" s="23"/>
      <c r="G29" s="24">
        <v>42819</v>
      </c>
      <c r="H29" s="37">
        <v>0</v>
      </c>
      <c r="I29" s="38"/>
      <c r="J29" s="68"/>
      <c r="K29" s="60">
        <v>0</v>
      </c>
      <c r="L29" s="28" t="s">
        <v>395</v>
      </c>
      <c r="M29" s="29">
        <v>0</v>
      </c>
    </row>
    <row r="30" spans="1:14" ht="15.75" thickBot="1" x14ac:dyDescent="0.3">
      <c r="A30" s="18">
        <v>42820</v>
      </c>
      <c r="B30" s="34">
        <v>64357.5</v>
      </c>
      <c r="C30" s="57" t="s">
        <v>398</v>
      </c>
      <c r="D30" s="21">
        <v>42820</v>
      </c>
      <c r="E30" s="35">
        <v>64357.5</v>
      </c>
      <c r="F30" s="23"/>
      <c r="G30" s="24">
        <v>42820</v>
      </c>
      <c r="H30" s="37">
        <v>0</v>
      </c>
      <c r="I30" s="38"/>
      <c r="J30" s="76" t="s">
        <v>82</v>
      </c>
      <c r="K30" s="60">
        <v>0</v>
      </c>
      <c r="L30" s="75" t="s">
        <v>397</v>
      </c>
      <c r="M30" s="29">
        <v>0</v>
      </c>
    </row>
    <row r="31" spans="1:14" ht="15.75" thickBot="1" x14ac:dyDescent="0.3">
      <c r="A31" s="18">
        <v>42821</v>
      </c>
      <c r="B31" s="34">
        <v>45634</v>
      </c>
      <c r="C31" s="20" t="s">
        <v>400</v>
      </c>
      <c r="D31" s="21">
        <v>42821</v>
      </c>
      <c r="E31" s="35">
        <v>45634</v>
      </c>
      <c r="F31" s="23"/>
      <c r="G31" s="24">
        <v>42821</v>
      </c>
      <c r="H31" s="37">
        <v>0</v>
      </c>
      <c r="I31" s="38"/>
      <c r="J31" s="77"/>
      <c r="K31" s="60">
        <v>0</v>
      </c>
      <c r="L31" s="75" t="s">
        <v>399</v>
      </c>
      <c r="M31" s="29">
        <v>0</v>
      </c>
    </row>
    <row r="32" spans="1:14" ht="15.75" thickBot="1" x14ac:dyDescent="0.3">
      <c r="A32" s="18">
        <v>42822</v>
      </c>
      <c r="B32" s="34">
        <v>20606.5</v>
      </c>
      <c r="C32" s="20" t="s">
        <v>402</v>
      </c>
      <c r="D32" s="21">
        <v>42822</v>
      </c>
      <c r="E32" s="35">
        <v>17925.5</v>
      </c>
      <c r="F32" s="23"/>
      <c r="G32" s="24">
        <v>42822</v>
      </c>
      <c r="H32" s="37">
        <v>0</v>
      </c>
      <c r="I32" s="38"/>
      <c r="J32" s="76"/>
      <c r="K32" s="40"/>
      <c r="L32" s="28" t="s">
        <v>401</v>
      </c>
      <c r="M32" s="29">
        <v>0</v>
      </c>
    </row>
    <row r="33" spans="1:13" ht="15.75" thickBot="1" x14ac:dyDescent="0.3">
      <c r="A33" s="18">
        <v>42823</v>
      </c>
      <c r="B33" s="34">
        <v>41607.5</v>
      </c>
      <c r="C33" s="48" t="s">
        <v>404</v>
      </c>
      <c r="D33" s="21">
        <v>42823</v>
      </c>
      <c r="E33" s="35">
        <v>45641</v>
      </c>
      <c r="F33" s="23"/>
      <c r="G33" s="24">
        <v>42823</v>
      </c>
      <c r="H33" s="37">
        <v>0</v>
      </c>
      <c r="I33" s="38"/>
      <c r="J33" s="190"/>
      <c r="K33" s="191"/>
      <c r="L33" s="28" t="s">
        <v>403</v>
      </c>
      <c r="M33" s="29">
        <v>0</v>
      </c>
    </row>
    <row r="34" spans="1:13" ht="15.75" thickBot="1" x14ac:dyDescent="0.3">
      <c r="A34" s="18">
        <v>42824</v>
      </c>
      <c r="B34" s="34">
        <v>28986</v>
      </c>
      <c r="C34" s="57" t="s">
        <v>405</v>
      </c>
      <c r="D34" s="21">
        <v>42824</v>
      </c>
      <c r="E34" s="35">
        <v>28986</v>
      </c>
      <c r="F34" s="23"/>
      <c r="G34" s="24">
        <v>42824</v>
      </c>
      <c r="H34" s="37">
        <v>0</v>
      </c>
      <c r="I34" s="38"/>
      <c r="J34" s="190"/>
      <c r="K34" s="191"/>
      <c r="L34" s="80" t="s">
        <v>407</v>
      </c>
      <c r="M34" s="29">
        <v>0</v>
      </c>
    </row>
    <row r="35" spans="1:13" ht="15.75" thickBot="1" x14ac:dyDescent="0.3">
      <c r="A35" s="18">
        <v>42825</v>
      </c>
      <c r="B35" s="34">
        <v>38650.5</v>
      </c>
      <c r="C35" s="20" t="s">
        <v>406</v>
      </c>
      <c r="D35" s="21">
        <v>42825</v>
      </c>
      <c r="E35" s="35">
        <v>42190.5</v>
      </c>
      <c r="F35" s="23"/>
      <c r="G35" s="24">
        <v>42825</v>
      </c>
      <c r="H35" s="37">
        <v>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1536086</v>
      </c>
      <c r="D38" s="100" t="s">
        <v>85</v>
      </c>
      <c r="E38" s="101">
        <f>SUM(E5:E37)</f>
        <v>1554619.1800000002</v>
      </c>
      <c r="G38" s="212" t="s">
        <v>85</v>
      </c>
      <c r="H38" s="4">
        <f>SUM(H5:H37)</f>
        <v>86</v>
      </c>
      <c r="I38" s="4"/>
      <c r="J38" s="102" t="s">
        <v>85</v>
      </c>
      <c r="K38" s="103">
        <f t="shared" ref="K38" si="0">SUM(K5:K37)</f>
        <v>74269.89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8" t="s">
        <v>86</v>
      </c>
      <c r="H40" s="519"/>
      <c r="I40" s="213"/>
      <c r="J40" s="520">
        <f>H38+K38</f>
        <v>74355.89</v>
      </c>
      <c r="K40" s="521"/>
      <c r="L40" s="108"/>
      <c r="M40" s="108"/>
    </row>
    <row r="41" spans="1:13" ht="15.75" x14ac:dyDescent="0.25">
      <c r="A41" s="1"/>
      <c r="B41" s="5"/>
      <c r="C41" s="540" t="s">
        <v>87</v>
      </c>
      <c r="D41" s="540"/>
      <c r="E41" s="109">
        <f>E38-J40</f>
        <v>1480263.2900000003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-1566617.15</v>
      </c>
      <c r="H43" s="539"/>
      <c r="I43" s="539"/>
      <c r="J43" s="53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-86353.859999999637</v>
      </c>
      <c r="H44" s="541" t="s">
        <v>91</v>
      </c>
      <c r="I44" s="541"/>
      <c r="J44" s="542">
        <f>E46</f>
        <v>116424.11000000036</v>
      </c>
      <c r="K44" s="54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202777.97</v>
      </c>
      <c r="H45" s="544" t="s">
        <v>3</v>
      </c>
      <c r="I45" s="544"/>
      <c r="J45" s="529">
        <v>-114950.38</v>
      </c>
      <c r="K45" s="52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116424.11000000036</v>
      </c>
      <c r="I46" s="116"/>
      <c r="J46" s="534">
        <v>0</v>
      </c>
      <c r="K46" s="534"/>
      <c r="L46" s="108"/>
      <c r="M46" s="108"/>
    </row>
    <row r="47" spans="1:13" ht="19.5" thickBot="1" x14ac:dyDescent="0.3">
      <c r="A47" s="1"/>
      <c r="B47" s="5"/>
      <c r="E47" s="109"/>
      <c r="H47" s="535" t="s">
        <v>94</v>
      </c>
      <c r="I47" s="536"/>
      <c r="J47" s="537">
        <f>SUM(J44:K46)</f>
        <v>1473.7300000003597</v>
      </c>
      <c r="K47" s="538"/>
      <c r="L47" s="108"/>
      <c r="M47" s="108"/>
    </row>
    <row r="48" spans="1:13" x14ac:dyDescent="0.25">
      <c r="A48" s="1"/>
      <c r="B48" s="5"/>
      <c r="C48" s="539"/>
      <c r="D48" s="53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opLeftCell="A31" workbookViewId="0">
      <selection activeCell="B49" sqref="B4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545" t="s">
        <v>95</v>
      </c>
      <c r="D1" s="546"/>
      <c r="E1" s="547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346" t="s">
        <v>388</v>
      </c>
      <c r="E40" s="148">
        <f>34041.56+2573.52</f>
        <v>36615.079999999994</v>
      </c>
      <c r="F40" s="166">
        <f t="shared" si="0"/>
        <v>0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137">
        <v>42838</v>
      </c>
      <c r="E41" s="347">
        <v>35468.9</v>
      </c>
      <c r="F41" s="166">
        <f t="shared" si="0"/>
        <v>0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137">
        <v>42838</v>
      </c>
      <c r="E42" s="347">
        <v>35771.11</v>
      </c>
      <c r="F42" s="166">
        <f t="shared" si="0"/>
        <v>0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32">
        <v>42825</v>
      </c>
      <c r="B43" s="210" t="s">
        <v>373</v>
      </c>
      <c r="C43" s="334">
        <v>31914.3</v>
      </c>
      <c r="D43" s="137">
        <v>42838</v>
      </c>
      <c r="E43" s="348">
        <v>31914.3</v>
      </c>
      <c r="F43" s="333">
        <f t="shared" si="0"/>
        <v>0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32">
        <v>42825</v>
      </c>
      <c r="B44" s="338" t="s">
        <v>374</v>
      </c>
      <c r="C44" s="314">
        <v>34285.699999999997</v>
      </c>
      <c r="D44" s="137">
        <v>42838</v>
      </c>
      <c r="E44" s="349">
        <v>34285.699999999997</v>
      </c>
      <c r="F44" s="314">
        <f t="shared" si="0"/>
        <v>0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35"/>
      <c r="C45" s="336">
        <f>SUM(C3:C44)</f>
        <v>1566617.1500000004</v>
      </c>
      <c r="D45" s="335"/>
      <c r="E45" s="275">
        <f>SUM(E3:E44)</f>
        <v>1566617.1500000004</v>
      </c>
      <c r="F45" s="337">
        <f>SUM(F3:F44)</f>
        <v>0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8"/>
  <sheetViews>
    <sheetView topLeftCell="A25" workbookViewId="0">
      <selection activeCell="E45" sqref="E45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25" t="s">
        <v>375</v>
      </c>
      <c r="C1" s="525"/>
      <c r="D1" s="525"/>
      <c r="E1" s="525"/>
      <c r="F1" s="525"/>
      <c r="G1" s="525"/>
      <c r="H1" s="525"/>
      <c r="I1" s="525"/>
      <c r="J1" s="525"/>
      <c r="L1" s="2" t="s">
        <v>1</v>
      </c>
      <c r="M1" s="3"/>
    </row>
    <row r="2" spans="1:14" ht="3.75" customHeight="1" thickBot="1" x14ac:dyDescent="0.3">
      <c r="A2" s="1"/>
      <c r="B2" s="5"/>
      <c r="D2" s="330"/>
      <c r="E2" s="8"/>
      <c r="L2" s="9"/>
      <c r="M2" s="3"/>
    </row>
    <row r="3" spans="1:14" ht="19.5" thickBot="1" x14ac:dyDescent="0.35">
      <c r="A3" s="512" t="s">
        <v>3</v>
      </c>
      <c r="B3" s="10" t="s">
        <v>4</v>
      </c>
      <c r="C3" s="526" t="s">
        <v>2</v>
      </c>
      <c r="D3" s="526"/>
      <c r="E3" s="526"/>
      <c r="F3" s="527">
        <v>2000</v>
      </c>
      <c r="G3" s="527"/>
      <c r="I3" s="5"/>
      <c r="L3" s="9"/>
      <c r="M3" s="3"/>
    </row>
    <row r="4" spans="1:14" ht="20.25" thickTop="1" thickBot="1" x14ac:dyDescent="0.35">
      <c r="A4" s="513"/>
      <c r="B4" s="13">
        <v>202777.97</v>
      </c>
      <c r="C4" s="14"/>
      <c r="D4" s="530" t="s">
        <v>8</v>
      </c>
      <c r="E4" s="531"/>
      <c r="H4" s="532" t="s">
        <v>9</v>
      </c>
      <c r="I4" s="533"/>
      <c r="J4" s="533"/>
      <c r="K4" s="533"/>
      <c r="L4" s="15" t="s">
        <v>10</v>
      </c>
      <c r="M4" s="16" t="s">
        <v>11</v>
      </c>
    </row>
    <row r="5" spans="1:14" ht="16.5" thickTop="1" thickBot="1" x14ac:dyDescent="0.3">
      <c r="A5" s="412">
        <v>42826</v>
      </c>
      <c r="B5" s="413">
        <v>89466.5</v>
      </c>
      <c r="C5" s="20" t="s">
        <v>414</v>
      </c>
      <c r="D5" s="398">
        <v>42826</v>
      </c>
      <c r="E5" s="399">
        <v>71357</v>
      </c>
      <c r="F5" s="23"/>
      <c r="G5" s="24">
        <v>42826</v>
      </c>
      <c r="H5" s="407">
        <v>0</v>
      </c>
      <c r="I5" s="26"/>
      <c r="J5" s="27"/>
      <c r="K5" s="27"/>
      <c r="L5" s="28" t="s">
        <v>415</v>
      </c>
      <c r="M5" s="29">
        <v>0</v>
      </c>
      <c r="N5" s="30"/>
    </row>
    <row r="6" spans="1:14" ht="15.75" thickBot="1" x14ac:dyDescent="0.3">
      <c r="A6" s="414">
        <v>42827</v>
      </c>
      <c r="B6" s="415">
        <v>62934.5</v>
      </c>
      <c r="C6" s="20" t="s">
        <v>417</v>
      </c>
      <c r="D6" s="400">
        <v>42827</v>
      </c>
      <c r="E6" s="401">
        <v>71466.5</v>
      </c>
      <c r="F6" s="36"/>
      <c r="G6" s="24">
        <v>42827</v>
      </c>
      <c r="H6" s="408">
        <v>22</v>
      </c>
      <c r="I6" s="38"/>
      <c r="J6" s="427" t="s">
        <v>15</v>
      </c>
      <c r="K6" s="428">
        <v>549</v>
      </c>
      <c r="L6" s="28" t="s">
        <v>416</v>
      </c>
      <c r="M6" s="29">
        <v>0</v>
      </c>
      <c r="N6" s="30"/>
    </row>
    <row r="7" spans="1:14" ht="15.75" thickBot="1" x14ac:dyDescent="0.3">
      <c r="A7" s="414">
        <v>42828</v>
      </c>
      <c r="B7" s="415">
        <v>41457.5</v>
      </c>
      <c r="C7" s="20" t="s">
        <v>419</v>
      </c>
      <c r="D7" s="400">
        <v>42828</v>
      </c>
      <c r="E7" s="401">
        <v>39864.5</v>
      </c>
      <c r="F7" s="23"/>
      <c r="G7" s="24">
        <v>42828</v>
      </c>
      <c r="H7" s="408">
        <v>33</v>
      </c>
      <c r="I7" s="38"/>
      <c r="J7" s="429" t="s">
        <v>18</v>
      </c>
      <c r="K7" s="430">
        <v>0</v>
      </c>
      <c r="L7" s="28" t="s">
        <v>418</v>
      </c>
      <c r="M7" s="29">
        <v>0</v>
      </c>
      <c r="N7" s="45"/>
    </row>
    <row r="8" spans="1:14" ht="15.75" thickBot="1" x14ac:dyDescent="0.3">
      <c r="A8" s="414">
        <v>42829</v>
      </c>
      <c r="B8" s="415">
        <v>29748</v>
      </c>
      <c r="C8" s="48" t="s">
        <v>421</v>
      </c>
      <c r="D8" s="400">
        <v>42829</v>
      </c>
      <c r="E8" s="401">
        <v>22864</v>
      </c>
      <c r="F8" s="23"/>
      <c r="G8" s="24">
        <v>42829</v>
      </c>
      <c r="H8" s="408">
        <v>0</v>
      </c>
      <c r="I8" s="38"/>
      <c r="J8" s="431" t="s">
        <v>22</v>
      </c>
      <c r="K8" s="432">
        <f>7187.5+7187.5+7187.5+7187.5</f>
        <v>28750</v>
      </c>
      <c r="L8" s="49" t="s">
        <v>420</v>
      </c>
      <c r="M8" s="29">
        <v>0</v>
      </c>
      <c r="N8" s="45"/>
    </row>
    <row r="9" spans="1:14" ht="15.75" thickBot="1" x14ac:dyDescent="0.3">
      <c r="A9" s="414">
        <v>42830</v>
      </c>
      <c r="B9" s="415">
        <v>32218</v>
      </c>
      <c r="C9" s="50" t="s">
        <v>422</v>
      </c>
      <c r="D9" s="400">
        <v>42830</v>
      </c>
      <c r="E9" s="401">
        <v>33708</v>
      </c>
      <c r="F9" s="23"/>
      <c r="G9" s="24">
        <v>42830</v>
      </c>
      <c r="H9" s="408">
        <v>0</v>
      </c>
      <c r="I9" s="419" t="s">
        <v>430</v>
      </c>
      <c r="J9" s="420" t="s">
        <v>410</v>
      </c>
      <c r="K9" s="421">
        <v>8905.58</v>
      </c>
      <c r="L9" s="49" t="s">
        <v>423</v>
      </c>
      <c r="M9" s="29">
        <v>0</v>
      </c>
      <c r="N9" s="30"/>
    </row>
    <row r="10" spans="1:14" ht="15.75" thickBot="1" x14ac:dyDescent="0.3">
      <c r="A10" s="414">
        <v>42831</v>
      </c>
      <c r="B10" s="415">
        <v>34641.35</v>
      </c>
      <c r="C10" s="48" t="s">
        <v>425</v>
      </c>
      <c r="D10" s="400">
        <v>42831</v>
      </c>
      <c r="E10" s="401">
        <v>34641.5</v>
      </c>
      <c r="F10" s="23"/>
      <c r="G10" s="24">
        <v>42831</v>
      </c>
      <c r="H10" s="408">
        <v>0</v>
      </c>
      <c r="I10" s="422" t="s">
        <v>431</v>
      </c>
      <c r="J10" s="209" t="s">
        <v>411</v>
      </c>
      <c r="K10" s="423">
        <v>8905.58</v>
      </c>
      <c r="L10" s="28" t="s">
        <v>424</v>
      </c>
      <c r="M10" s="29">
        <v>0</v>
      </c>
      <c r="N10" s="45"/>
    </row>
    <row r="11" spans="1:14" ht="15.75" thickBot="1" x14ac:dyDescent="0.3">
      <c r="A11" s="414">
        <v>42832</v>
      </c>
      <c r="B11" s="415">
        <v>53025.5</v>
      </c>
      <c r="C11" s="48" t="s">
        <v>427</v>
      </c>
      <c r="D11" s="400">
        <v>42832</v>
      </c>
      <c r="E11" s="401">
        <v>53025.5</v>
      </c>
      <c r="F11" s="23"/>
      <c r="G11" s="24">
        <v>42832</v>
      </c>
      <c r="H11" s="408">
        <v>0</v>
      </c>
      <c r="I11" s="422" t="s">
        <v>462</v>
      </c>
      <c r="J11" s="209" t="s">
        <v>412</v>
      </c>
      <c r="K11" s="423">
        <v>8462.7199999999993</v>
      </c>
      <c r="L11" s="28" t="s">
        <v>426</v>
      </c>
      <c r="M11" s="29">
        <v>0</v>
      </c>
      <c r="N11" s="30"/>
    </row>
    <row r="12" spans="1:14" ht="15.75" thickBot="1" x14ac:dyDescent="0.3">
      <c r="A12" s="414">
        <v>42833</v>
      </c>
      <c r="B12" s="415">
        <v>65809</v>
      </c>
      <c r="C12" s="48" t="s">
        <v>429</v>
      </c>
      <c r="D12" s="400">
        <v>42833</v>
      </c>
      <c r="E12" s="401">
        <v>65809</v>
      </c>
      <c r="F12" s="23"/>
      <c r="G12" s="24">
        <v>42833</v>
      </c>
      <c r="H12" s="408">
        <v>0</v>
      </c>
      <c r="I12" s="424" t="s">
        <v>487</v>
      </c>
      <c r="J12" s="209" t="s">
        <v>413</v>
      </c>
      <c r="K12" s="423">
        <v>8257.9699999999993</v>
      </c>
      <c r="L12" s="28" t="s">
        <v>428</v>
      </c>
      <c r="M12" s="29">
        <v>0</v>
      </c>
      <c r="N12" s="30"/>
    </row>
    <row r="13" spans="1:14" ht="15.75" thickBot="1" x14ac:dyDescent="0.3">
      <c r="A13" s="414">
        <v>42834</v>
      </c>
      <c r="B13" s="415">
        <v>72595.5</v>
      </c>
      <c r="C13" s="48" t="s">
        <v>433</v>
      </c>
      <c r="D13" s="400">
        <v>42834</v>
      </c>
      <c r="E13" s="401">
        <v>75792.5</v>
      </c>
      <c r="F13" s="23"/>
      <c r="G13" s="24">
        <v>42834</v>
      </c>
      <c r="H13" s="408">
        <v>0</v>
      </c>
      <c r="I13" s="425" t="s">
        <v>525</v>
      </c>
      <c r="J13" s="318" t="s">
        <v>499</v>
      </c>
      <c r="K13" s="426">
        <v>8250.8700000000008</v>
      </c>
      <c r="L13" s="28" t="s">
        <v>432</v>
      </c>
      <c r="M13" s="29">
        <v>0</v>
      </c>
      <c r="N13" s="45"/>
    </row>
    <row r="14" spans="1:14" ht="15.75" thickBot="1" x14ac:dyDescent="0.3">
      <c r="A14" s="414">
        <v>42835</v>
      </c>
      <c r="B14" s="415">
        <v>57925.5</v>
      </c>
      <c r="C14" s="50" t="s">
        <v>443</v>
      </c>
      <c r="D14" s="400">
        <v>42835</v>
      </c>
      <c r="E14" s="401">
        <v>61510.5</v>
      </c>
      <c r="F14" s="23"/>
      <c r="G14" s="24">
        <v>42835</v>
      </c>
      <c r="H14" s="408">
        <v>0</v>
      </c>
      <c r="I14" s="38"/>
      <c r="J14" s="53"/>
      <c r="K14" s="40">
        <v>0</v>
      </c>
      <c r="L14" s="28" t="s">
        <v>444</v>
      </c>
      <c r="M14" s="29">
        <v>0</v>
      </c>
      <c r="N14" s="45"/>
    </row>
    <row r="15" spans="1:14" ht="15.75" thickBot="1" x14ac:dyDescent="0.3">
      <c r="A15" s="414">
        <v>42836</v>
      </c>
      <c r="B15" s="415">
        <v>24251.5</v>
      </c>
      <c r="C15" s="50" t="s">
        <v>446</v>
      </c>
      <c r="D15" s="400">
        <v>42836</v>
      </c>
      <c r="E15" s="401">
        <v>24251.5</v>
      </c>
      <c r="F15" s="23"/>
      <c r="G15" s="24">
        <v>42836</v>
      </c>
      <c r="H15" s="408">
        <v>0</v>
      </c>
      <c r="I15" s="38"/>
      <c r="J15" s="52" t="s">
        <v>44</v>
      </c>
      <c r="K15" s="40">
        <v>0</v>
      </c>
      <c r="L15" s="28" t="s">
        <v>445</v>
      </c>
      <c r="M15" s="29">
        <v>0</v>
      </c>
      <c r="N15" s="45"/>
    </row>
    <row r="16" spans="1:14" ht="15.75" thickBot="1" x14ac:dyDescent="0.3">
      <c r="A16" s="414">
        <v>42837</v>
      </c>
      <c r="B16" s="415">
        <v>30506.5</v>
      </c>
      <c r="C16" s="50" t="s">
        <v>457</v>
      </c>
      <c r="D16" s="400">
        <v>42837</v>
      </c>
      <c r="E16" s="401">
        <v>30539.5</v>
      </c>
      <c r="F16" s="23"/>
      <c r="G16" s="24">
        <v>42837</v>
      </c>
      <c r="H16" s="408">
        <v>33</v>
      </c>
      <c r="I16" s="38"/>
      <c r="J16" s="54"/>
      <c r="K16" s="55">
        <v>0</v>
      </c>
      <c r="L16" s="28" t="s">
        <v>456</v>
      </c>
      <c r="M16" s="29">
        <v>0</v>
      </c>
      <c r="N16" s="45"/>
    </row>
    <row r="17" spans="1:14" ht="15.75" thickBot="1" x14ac:dyDescent="0.3">
      <c r="A17" s="414">
        <v>42838</v>
      </c>
      <c r="B17" s="415">
        <v>34467</v>
      </c>
      <c r="C17" s="50" t="s">
        <v>459</v>
      </c>
      <c r="D17" s="400">
        <v>42838</v>
      </c>
      <c r="E17" s="401">
        <v>43814.5</v>
      </c>
      <c r="F17" s="23"/>
      <c r="G17" s="24">
        <v>42838</v>
      </c>
      <c r="H17" s="408">
        <v>17</v>
      </c>
      <c r="I17" s="38"/>
      <c r="J17" s="522" t="s">
        <v>49</v>
      </c>
      <c r="K17" s="55">
        <v>0</v>
      </c>
      <c r="L17" s="28" t="s">
        <v>458</v>
      </c>
      <c r="M17" s="29">
        <v>0</v>
      </c>
      <c r="N17" s="45"/>
    </row>
    <row r="18" spans="1:14" ht="15.75" thickBot="1" x14ac:dyDescent="0.3">
      <c r="A18" s="414">
        <v>42839</v>
      </c>
      <c r="B18" s="416">
        <v>0</v>
      </c>
      <c r="C18" s="362" t="s">
        <v>464</v>
      </c>
      <c r="D18" s="400">
        <v>42839</v>
      </c>
      <c r="E18" s="402">
        <v>0</v>
      </c>
      <c r="F18" s="23"/>
      <c r="G18" s="24">
        <v>42839</v>
      </c>
      <c r="H18" s="409">
        <v>0</v>
      </c>
      <c r="I18" s="56"/>
      <c r="J18" s="522"/>
      <c r="K18" s="29">
        <v>0</v>
      </c>
      <c r="L18" s="363" t="s">
        <v>463</v>
      </c>
      <c r="M18" s="29">
        <v>0</v>
      </c>
      <c r="N18" s="45"/>
    </row>
    <row r="19" spans="1:14" ht="15.75" thickBot="1" x14ac:dyDescent="0.3">
      <c r="A19" s="414">
        <v>42840</v>
      </c>
      <c r="B19" s="415">
        <v>77923.5</v>
      </c>
      <c r="C19" s="50" t="s">
        <v>461</v>
      </c>
      <c r="D19" s="400">
        <v>42840</v>
      </c>
      <c r="E19" s="401">
        <v>80791.5</v>
      </c>
      <c r="F19" s="23"/>
      <c r="G19" s="24">
        <v>42840</v>
      </c>
      <c r="H19" s="408">
        <v>0</v>
      </c>
      <c r="I19" s="38"/>
      <c r="J19" s="52" t="s">
        <v>54</v>
      </c>
      <c r="K19" s="29">
        <v>0</v>
      </c>
      <c r="L19" s="28" t="s">
        <v>460</v>
      </c>
      <c r="M19" s="29">
        <v>0</v>
      </c>
      <c r="N19" s="45"/>
    </row>
    <row r="20" spans="1:14" ht="15.75" thickBot="1" x14ac:dyDescent="0.3">
      <c r="A20" s="414">
        <v>42841</v>
      </c>
      <c r="B20" s="415">
        <v>72250.5</v>
      </c>
      <c r="C20" s="57" t="s">
        <v>466</v>
      </c>
      <c r="D20" s="400">
        <v>42841</v>
      </c>
      <c r="E20" s="401">
        <v>76524</v>
      </c>
      <c r="F20" s="23"/>
      <c r="G20" s="24">
        <v>42841</v>
      </c>
      <c r="H20" s="408">
        <v>0</v>
      </c>
      <c r="I20" s="58"/>
      <c r="J20" s="59" t="s">
        <v>57</v>
      </c>
      <c r="K20" s="60">
        <v>0</v>
      </c>
      <c r="L20" s="28" t="s">
        <v>465</v>
      </c>
      <c r="M20" s="29">
        <v>0</v>
      </c>
      <c r="N20" s="45"/>
    </row>
    <row r="21" spans="1:14" ht="15.75" thickBot="1" x14ac:dyDescent="0.3">
      <c r="A21" s="414">
        <v>42842</v>
      </c>
      <c r="B21" s="415">
        <v>48721</v>
      </c>
      <c r="C21" s="57" t="s">
        <v>468</v>
      </c>
      <c r="D21" s="400">
        <v>42842</v>
      </c>
      <c r="E21" s="401">
        <v>38679</v>
      </c>
      <c r="F21" s="23"/>
      <c r="G21" s="24">
        <v>42842</v>
      </c>
      <c r="H21" s="408">
        <v>0</v>
      </c>
      <c r="I21" s="38"/>
      <c r="J21" s="61"/>
      <c r="K21" s="60">
        <v>0</v>
      </c>
      <c r="L21" s="28" t="s">
        <v>467</v>
      </c>
      <c r="M21" s="29">
        <v>0</v>
      </c>
      <c r="N21" s="45"/>
    </row>
    <row r="22" spans="1:14" ht="15.75" thickBot="1" x14ac:dyDescent="0.3">
      <c r="A22" s="414">
        <v>42843</v>
      </c>
      <c r="B22" s="415">
        <v>35278</v>
      </c>
      <c r="C22" s="50" t="s">
        <v>470</v>
      </c>
      <c r="D22" s="400">
        <v>42843</v>
      </c>
      <c r="E22" s="401">
        <v>55778</v>
      </c>
      <c r="F22" s="23"/>
      <c r="G22" s="24">
        <v>42843</v>
      </c>
      <c r="H22" s="408">
        <v>0</v>
      </c>
      <c r="I22" s="58"/>
      <c r="J22" s="62"/>
      <c r="K22" s="60">
        <v>0</v>
      </c>
      <c r="L22" s="28" t="s">
        <v>469</v>
      </c>
      <c r="M22" s="29">
        <v>0</v>
      </c>
      <c r="N22" s="45"/>
    </row>
    <row r="23" spans="1:14" ht="15.75" thickBot="1" x14ac:dyDescent="0.3">
      <c r="A23" s="414">
        <v>42844</v>
      </c>
      <c r="B23" s="415">
        <v>72962.5</v>
      </c>
      <c r="C23" s="50" t="s">
        <v>479</v>
      </c>
      <c r="D23" s="400">
        <v>42844</v>
      </c>
      <c r="E23" s="401">
        <v>56806.5</v>
      </c>
      <c r="F23" s="23"/>
      <c r="G23" s="24">
        <v>42844</v>
      </c>
      <c r="H23" s="408">
        <v>0</v>
      </c>
      <c r="I23" s="38"/>
      <c r="J23" s="63"/>
      <c r="K23" s="60">
        <v>0</v>
      </c>
      <c r="L23" s="28" t="s">
        <v>478</v>
      </c>
      <c r="M23" s="29">
        <v>0</v>
      </c>
      <c r="N23" s="45"/>
    </row>
    <row r="24" spans="1:14" ht="15.75" thickBot="1" x14ac:dyDescent="0.3">
      <c r="A24" s="414">
        <v>42845</v>
      </c>
      <c r="B24" s="415">
        <v>47648.5</v>
      </c>
      <c r="C24" s="50" t="s">
        <v>483</v>
      </c>
      <c r="D24" s="400">
        <v>42845</v>
      </c>
      <c r="E24" s="401">
        <v>48548.5</v>
      </c>
      <c r="F24" s="23"/>
      <c r="G24" s="24">
        <v>42845</v>
      </c>
      <c r="H24" s="408">
        <v>0</v>
      </c>
      <c r="I24" s="38"/>
      <c r="J24" s="359" t="s">
        <v>66</v>
      </c>
      <c r="K24" s="60">
        <v>870</v>
      </c>
      <c r="L24" s="28" t="s">
        <v>482</v>
      </c>
      <c r="M24" s="29">
        <v>0</v>
      </c>
      <c r="N24" s="45"/>
    </row>
    <row r="25" spans="1:14" ht="15.75" thickBot="1" x14ac:dyDescent="0.3">
      <c r="A25" s="414">
        <v>42846</v>
      </c>
      <c r="B25" s="415">
        <v>58849.5</v>
      </c>
      <c r="C25" s="57" t="s">
        <v>485</v>
      </c>
      <c r="D25" s="400">
        <v>42846</v>
      </c>
      <c r="E25" s="401">
        <v>64173</v>
      </c>
      <c r="F25" s="23"/>
      <c r="G25" s="24">
        <v>42846</v>
      </c>
      <c r="H25" s="408">
        <v>0</v>
      </c>
      <c r="I25" s="38"/>
      <c r="J25" s="68">
        <v>42830</v>
      </c>
      <c r="K25" s="60">
        <v>0</v>
      </c>
      <c r="L25" s="28" t="s">
        <v>484</v>
      </c>
      <c r="M25" s="29">
        <v>0</v>
      </c>
      <c r="N25" s="45"/>
    </row>
    <row r="26" spans="1:14" ht="15.75" thickBot="1" x14ac:dyDescent="0.3">
      <c r="A26" s="414">
        <v>42847</v>
      </c>
      <c r="B26" s="415">
        <v>0</v>
      </c>
      <c r="C26" s="50"/>
      <c r="D26" s="400">
        <v>42847</v>
      </c>
      <c r="E26" s="401">
        <v>85890.5</v>
      </c>
      <c r="F26" s="23"/>
      <c r="G26" s="24">
        <v>42847</v>
      </c>
      <c r="H26" s="408">
        <v>0</v>
      </c>
      <c r="I26" s="38"/>
      <c r="J26" s="360" t="s">
        <v>73</v>
      </c>
      <c r="K26" s="60">
        <v>900</v>
      </c>
      <c r="L26" s="28" t="s">
        <v>486</v>
      </c>
      <c r="M26" s="29">
        <v>0</v>
      </c>
      <c r="N26" s="45"/>
    </row>
    <row r="27" spans="1:14" ht="15.75" thickBot="1" x14ac:dyDescent="0.3">
      <c r="A27" s="414">
        <v>42848</v>
      </c>
      <c r="B27" s="415">
        <v>0</v>
      </c>
      <c r="C27" s="50"/>
      <c r="D27" s="400">
        <v>42848</v>
      </c>
      <c r="E27" s="401">
        <v>88010.5</v>
      </c>
      <c r="F27" s="23"/>
      <c r="G27" s="24">
        <v>42848</v>
      </c>
      <c r="H27" s="408">
        <v>0</v>
      </c>
      <c r="I27" s="38"/>
      <c r="J27" s="73">
        <v>42859</v>
      </c>
      <c r="K27" s="60">
        <v>0</v>
      </c>
      <c r="L27" s="28" t="s">
        <v>488</v>
      </c>
      <c r="M27" s="29">
        <v>0</v>
      </c>
    </row>
    <row r="28" spans="1:14" ht="15.75" thickBot="1" x14ac:dyDescent="0.3">
      <c r="A28" s="414">
        <v>42849</v>
      </c>
      <c r="B28" s="415">
        <v>0</v>
      </c>
      <c r="C28" s="50"/>
      <c r="D28" s="400">
        <v>42849</v>
      </c>
      <c r="E28" s="401">
        <v>68795</v>
      </c>
      <c r="F28" s="23"/>
      <c r="G28" s="24">
        <v>42849</v>
      </c>
      <c r="H28" s="408">
        <v>0</v>
      </c>
      <c r="I28" s="38"/>
      <c r="J28" s="358"/>
      <c r="K28" s="60">
        <v>0</v>
      </c>
      <c r="L28" s="75" t="s">
        <v>489</v>
      </c>
      <c r="M28" s="29">
        <v>0</v>
      </c>
    </row>
    <row r="29" spans="1:14" ht="15.75" thickBot="1" x14ac:dyDescent="0.3">
      <c r="A29" s="414">
        <v>42850</v>
      </c>
      <c r="B29" s="415">
        <v>23965</v>
      </c>
      <c r="C29" s="50" t="s">
        <v>491</v>
      </c>
      <c r="D29" s="400">
        <v>42850</v>
      </c>
      <c r="E29" s="401">
        <v>21653</v>
      </c>
      <c r="F29" s="23"/>
      <c r="G29" s="24">
        <v>42850</v>
      </c>
      <c r="H29" s="408">
        <v>0</v>
      </c>
      <c r="I29" s="38"/>
      <c r="J29" s="68"/>
      <c r="K29" s="60">
        <v>0</v>
      </c>
      <c r="L29" s="28" t="s">
        <v>490</v>
      </c>
      <c r="M29" s="29">
        <v>0</v>
      </c>
    </row>
    <row r="30" spans="1:14" ht="15.75" thickBot="1" x14ac:dyDescent="0.3">
      <c r="A30" s="414">
        <v>42851</v>
      </c>
      <c r="B30" s="415">
        <v>55511.5</v>
      </c>
      <c r="C30" s="20" t="s">
        <v>493</v>
      </c>
      <c r="D30" s="400">
        <v>42851</v>
      </c>
      <c r="E30" s="401">
        <v>38695.5</v>
      </c>
      <c r="F30" s="23"/>
      <c r="G30" s="24">
        <v>42851</v>
      </c>
      <c r="H30" s="408">
        <v>0</v>
      </c>
      <c r="I30" s="38"/>
      <c r="J30" s="76" t="s">
        <v>82</v>
      </c>
      <c r="K30" s="60">
        <v>0</v>
      </c>
      <c r="L30" s="75" t="s">
        <v>492</v>
      </c>
      <c r="M30" s="29">
        <v>0</v>
      </c>
    </row>
    <row r="31" spans="1:14" ht="15.75" thickBot="1" x14ac:dyDescent="0.3">
      <c r="A31" s="414">
        <v>42852</v>
      </c>
      <c r="B31" s="415">
        <v>52557.5</v>
      </c>
      <c r="C31" s="20" t="s">
        <v>520</v>
      </c>
      <c r="D31" s="400">
        <v>42852</v>
      </c>
      <c r="E31" s="401">
        <v>48499.5</v>
      </c>
      <c r="F31" s="23"/>
      <c r="G31" s="24">
        <v>42852</v>
      </c>
      <c r="H31" s="408">
        <v>33</v>
      </c>
      <c r="I31" s="38"/>
      <c r="J31" s="77"/>
      <c r="K31" s="60">
        <v>0</v>
      </c>
      <c r="L31" s="75" t="s">
        <v>519</v>
      </c>
      <c r="M31" s="29">
        <v>0</v>
      </c>
    </row>
    <row r="32" spans="1:14" ht="15.75" thickBot="1" x14ac:dyDescent="0.3">
      <c r="A32" s="414">
        <v>42853</v>
      </c>
      <c r="B32" s="415">
        <v>55688</v>
      </c>
      <c r="C32" s="20" t="s">
        <v>522</v>
      </c>
      <c r="D32" s="400">
        <v>42853</v>
      </c>
      <c r="E32" s="401">
        <v>55688</v>
      </c>
      <c r="F32" s="23"/>
      <c r="G32" s="24">
        <v>42853</v>
      </c>
      <c r="H32" s="408">
        <v>0</v>
      </c>
      <c r="I32" s="38"/>
      <c r="J32" s="76"/>
      <c r="K32" s="40"/>
      <c r="L32" s="28" t="s">
        <v>521</v>
      </c>
      <c r="M32" s="29">
        <v>0</v>
      </c>
    </row>
    <row r="33" spans="1:13" ht="15.75" thickBot="1" x14ac:dyDescent="0.3">
      <c r="A33" s="414">
        <v>42854</v>
      </c>
      <c r="B33" s="415">
        <v>83218</v>
      </c>
      <c r="C33" s="48" t="s">
        <v>524</v>
      </c>
      <c r="D33" s="400">
        <v>42854</v>
      </c>
      <c r="E33" s="401">
        <v>83218</v>
      </c>
      <c r="F33" s="23"/>
      <c r="G33" s="24">
        <v>42854</v>
      </c>
      <c r="H33" s="408">
        <v>0</v>
      </c>
      <c r="I33" s="38"/>
      <c r="J33" s="190"/>
      <c r="K33" s="191"/>
      <c r="L33" s="28" t="s">
        <v>523</v>
      </c>
      <c r="M33" s="29">
        <v>0</v>
      </c>
    </row>
    <row r="34" spans="1:13" ht="15.75" thickBot="1" x14ac:dyDescent="0.3">
      <c r="A34" s="417">
        <v>42855</v>
      </c>
      <c r="B34" s="418">
        <v>56266.5</v>
      </c>
      <c r="C34" s="57" t="s">
        <v>527</v>
      </c>
      <c r="D34" s="400">
        <v>42855</v>
      </c>
      <c r="E34" s="401">
        <v>54058</v>
      </c>
      <c r="F34" s="23"/>
      <c r="G34" s="24">
        <v>42855</v>
      </c>
      <c r="H34" s="408">
        <v>0</v>
      </c>
      <c r="I34" s="38"/>
      <c r="J34" s="190"/>
      <c r="K34" s="191"/>
      <c r="L34" s="80" t="s">
        <v>526</v>
      </c>
      <c r="M34" s="29">
        <v>0</v>
      </c>
    </row>
    <row r="35" spans="1:13" ht="15.75" thickBot="1" x14ac:dyDescent="0.3">
      <c r="A35" s="18"/>
      <c r="B35" s="34"/>
      <c r="C35" s="20"/>
      <c r="D35" s="400"/>
      <c r="E35" s="401"/>
      <c r="F35" s="23"/>
      <c r="G35" s="24"/>
      <c r="H35" s="408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403"/>
      <c r="E36" s="404">
        <v>0</v>
      </c>
      <c r="G36" s="86"/>
      <c r="H36" s="410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405"/>
      <c r="E37" s="406">
        <v>0</v>
      </c>
      <c r="G37" s="93"/>
      <c r="H37" s="411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1369886.35</v>
      </c>
      <c r="D38" s="100" t="s">
        <v>85</v>
      </c>
      <c r="E38" s="101">
        <f>SUM(E5:E37)</f>
        <v>1594453</v>
      </c>
      <c r="G38" s="330" t="s">
        <v>85</v>
      </c>
      <c r="H38" s="4">
        <f>SUM(H5:H37)</f>
        <v>138</v>
      </c>
      <c r="I38" s="4"/>
      <c r="J38" s="102" t="s">
        <v>85</v>
      </c>
      <c r="K38" s="103">
        <f t="shared" ref="K38" si="0">SUM(K5:K37)</f>
        <v>73851.72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8" t="s">
        <v>86</v>
      </c>
      <c r="H40" s="519"/>
      <c r="I40" s="331"/>
      <c r="J40" s="520">
        <f>H38+K38</f>
        <v>73989.72</v>
      </c>
      <c r="K40" s="521"/>
      <c r="L40" s="108"/>
      <c r="M40" s="108"/>
    </row>
    <row r="41" spans="1:13" ht="15.75" x14ac:dyDescent="0.25">
      <c r="A41" s="1"/>
      <c r="B41" s="5"/>
      <c r="C41" s="540" t="s">
        <v>87</v>
      </c>
      <c r="D41" s="540"/>
      <c r="E41" s="109">
        <f>E38-J40</f>
        <v>1520463.28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-1433692.55</v>
      </c>
      <c r="H43" s="539"/>
      <c r="I43" s="539"/>
      <c r="J43" s="53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86770.729999999981</v>
      </c>
      <c r="H44" s="541" t="s">
        <v>91</v>
      </c>
      <c r="I44" s="541"/>
      <c r="J44" s="542">
        <f>E46</f>
        <v>212163.83</v>
      </c>
      <c r="K44" s="54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125393.1</v>
      </c>
      <c r="H45" s="544" t="s">
        <v>3</v>
      </c>
      <c r="I45" s="544"/>
      <c r="J45" s="529">
        <v>-202777.97</v>
      </c>
      <c r="K45" s="52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212163.83</v>
      </c>
      <c r="I46" s="116"/>
      <c r="J46" s="534">
        <v>0</v>
      </c>
      <c r="K46" s="534"/>
      <c r="L46" s="108"/>
      <c r="M46" s="108"/>
    </row>
    <row r="47" spans="1:13" ht="19.5" thickBot="1" x14ac:dyDescent="0.3">
      <c r="A47" s="1"/>
      <c r="B47" s="5"/>
      <c r="E47" s="109"/>
      <c r="H47" s="535" t="s">
        <v>94</v>
      </c>
      <c r="I47" s="536"/>
      <c r="J47" s="537">
        <f>SUM(J44:K46)</f>
        <v>9385.859999999986</v>
      </c>
      <c r="K47" s="538"/>
      <c r="L47" s="108"/>
      <c r="M47" s="108"/>
    </row>
    <row r="48" spans="1:13" x14ac:dyDescent="0.25">
      <c r="A48" s="1"/>
      <c r="B48" s="5"/>
      <c r="C48" s="539"/>
      <c r="D48" s="53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C3:E3"/>
    <mergeCell ref="F3:G3"/>
    <mergeCell ref="A3:A4"/>
    <mergeCell ref="D4:E4"/>
    <mergeCell ref="H4:K4"/>
  </mergeCells>
  <pageMargins left="0.70866141732283472" right="0.70866141732283472" top="0.35433070866141736" bottom="0" header="0.31496062992125984" footer="0.31496062992125984"/>
  <pageSetup scale="78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70"/>
  <sheetViews>
    <sheetView topLeftCell="L19" workbookViewId="0">
      <selection activeCell="X22" sqref="X2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10" max="10" width="16.28515625" bestFit="1" customWidth="1"/>
    <col min="12" max="12" width="14.7109375" customWidth="1"/>
    <col min="14" max="14" width="12.42578125" customWidth="1"/>
    <col min="15" max="15" width="13.85546875" bestFit="1" customWidth="1"/>
    <col min="16" max="16" width="12.5703125" customWidth="1"/>
    <col min="19" max="19" width="14.28515625" customWidth="1"/>
    <col min="21" max="21" width="13.85546875" bestFit="1" customWidth="1"/>
    <col min="24" max="24" width="14.140625" customWidth="1"/>
  </cols>
  <sheetData>
    <row r="1" spans="1:25" ht="19.5" thickBot="1" x14ac:dyDescent="0.35">
      <c r="A1" s="1"/>
      <c r="B1" s="118"/>
      <c r="C1" s="545" t="s">
        <v>95</v>
      </c>
      <c r="D1" s="546"/>
      <c r="E1" s="547"/>
      <c r="F1" s="119"/>
      <c r="J1" s="45"/>
      <c r="K1" s="154"/>
      <c r="L1" s="343">
        <v>42838</v>
      </c>
      <c r="M1" s="216"/>
      <c r="N1" s="217" t="s">
        <v>141</v>
      </c>
      <c r="O1" s="111"/>
      <c r="P1" s="158"/>
      <c r="R1" s="12" t="s">
        <v>439</v>
      </c>
      <c r="S1" s="45">
        <f>6251.5+27831.35</f>
        <v>34082.85</v>
      </c>
      <c r="T1" s="154"/>
      <c r="U1" s="361">
        <v>42847</v>
      </c>
      <c r="V1" s="216"/>
      <c r="W1" s="217" t="s">
        <v>141</v>
      </c>
      <c r="X1" s="111"/>
      <c r="Y1" s="158"/>
    </row>
    <row r="2" spans="1:25" ht="20.25" thickTop="1" thickBot="1" x14ac:dyDescent="0.35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388"/>
      <c r="J2" s="45">
        <v>34046.5</v>
      </c>
      <c r="K2" s="376" t="s">
        <v>367</v>
      </c>
      <c r="L2" s="148">
        <v>2573.52</v>
      </c>
      <c r="M2" s="214" t="s">
        <v>143</v>
      </c>
      <c r="N2" s="160">
        <v>3797131</v>
      </c>
      <c r="O2" s="161">
        <v>11807</v>
      </c>
      <c r="P2" s="162">
        <v>42819</v>
      </c>
      <c r="S2" s="45">
        <f>2675+28401</f>
        <v>31076</v>
      </c>
      <c r="T2" s="365" t="s">
        <v>452</v>
      </c>
      <c r="U2" s="364">
        <v>31076.1</v>
      </c>
      <c r="V2" s="165"/>
      <c r="W2" s="160">
        <v>3797659</v>
      </c>
      <c r="X2" s="161">
        <v>6251.5</v>
      </c>
      <c r="Y2" s="162">
        <v>42836</v>
      </c>
    </row>
    <row r="3" spans="1:25" ht="15.75" x14ac:dyDescent="0.25">
      <c r="A3" s="125">
        <v>42826</v>
      </c>
      <c r="B3" s="126" t="s">
        <v>376</v>
      </c>
      <c r="C3" s="127">
        <v>64613.45</v>
      </c>
      <c r="D3" s="128">
        <v>42838</v>
      </c>
      <c r="E3" s="127">
        <v>64613.45</v>
      </c>
      <c r="F3" s="129">
        <f t="shared" ref="F3:F45" si="0">C3-E3</f>
        <v>0</v>
      </c>
      <c r="J3" s="45">
        <f>30311+5158</f>
        <v>35469</v>
      </c>
      <c r="K3" s="291" t="s">
        <v>371</v>
      </c>
      <c r="L3" s="139">
        <v>35468.9</v>
      </c>
      <c r="M3" s="159"/>
      <c r="N3" s="160">
        <v>3797132</v>
      </c>
      <c r="O3" s="161">
        <v>55000</v>
      </c>
      <c r="P3" s="162">
        <v>42820</v>
      </c>
      <c r="S3" s="45">
        <f>10066+1273.5+19644</f>
        <v>30983.5</v>
      </c>
      <c r="T3" s="132" t="s">
        <v>440</v>
      </c>
      <c r="U3" s="133">
        <v>21785.18</v>
      </c>
      <c r="V3" s="159" t="s">
        <v>143</v>
      </c>
      <c r="W3" s="160">
        <v>3797660</v>
      </c>
      <c r="X3" s="161">
        <v>20000</v>
      </c>
      <c r="Y3" s="162">
        <v>42837</v>
      </c>
    </row>
    <row r="4" spans="1:25" ht="15.75" x14ac:dyDescent="0.25">
      <c r="A4" s="131">
        <v>42828</v>
      </c>
      <c r="B4" s="132" t="s">
        <v>377</v>
      </c>
      <c r="C4" s="133">
        <v>33986.1</v>
      </c>
      <c r="D4" s="128">
        <v>42838</v>
      </c>
      <c r="E4" s="133">
        <v>33986.1</v>
      </c>
      <c r="F4" s="134">
        <f t="shared" si="0"/>
        <v>0</v>
      </c>
      <c r="J4" s="45">
        <v>35771</v>
      </c>
      <c r="K4" s="291" t="s">
        <v>372</v>
      </c>
      <c r="L4" s="139">
        <v>35771.11</v>
      </c>
      <c r="M4" s="163"/>
      <c r="N4" s="160">
        <v>3797133</v>
      </c>
      <c r="O4" s="161">
        <v>9357.5</v>
      </c>
      <c r="P4" s="162">
        <v>42820</v>
      </c>
      <c r="S4" s="45">
        <v>5952</v>
      </c>
      <c r="T4" s="132" t="s">
        <v>447</v>
      </c>
      <c r="U4" s="133">
        <v>5952.1</v>
      </c>
      <c r="V4" s="214"/>
      <c r="W4" s="160">
        <v>3797661</v>
      </c>
      <c r="X4" s="161">
        <v>10506.5</v>
      </c>
      <c r="Y4" s="162">
        <v>42837</v>
      </c>
    </row>
    <row r="5" spans="1:25" ht="15.75" x14ac:dyDescent="0.25">
      <c r="A5" s="131">
        <v>42829</v>
      </c>
      <c r="B5" s="132" t="s">
        <v>378</v>
      </c>
      <c r="C5" s="133">
        <v>30972</v>
      </c>
      <c r="D5" s="128">
        <v>42838</v>
      </c>
      <c r="E5" s="133">
        <v>30972</v>
      </c>
      <c r="F5" s="134">
        <f t="shared" si="0"/>
        <v>0</v>
      </c>
      <c r="J5" s="45">
        <f>4705+2681+17925.5+3125.5+3477.5</f>
        <v>31914.5</v>
      </c>
      <c r="K5" s="210" t="s">
        <v>373</v>
      </c>
      <c r="L5" s="334">
        <v>31914.3</v>
      </c>
      <c r="M5" s="164"/>
      <c r="N5" s="160">
        <v>3797134</v>
      </c>
      <c r="O5" s="161">
        <v>44834</v>
      </c>
      <c r="P5" s="162">
        <v>42821</v>
      </c>
      <c r="S5" s="45">
        <f>51054+4141.5+33732.5</f>
        <v>88928</v>
      </c>
      <c r="T5" s="132" t="s">
        <v>448</v>
      </c>
      <c r="U5" s="133">
        <v>88927.74</v>
      </c>
      <c r="V5" s="163"/>
      <c r="W5" s="160">
        <v>3797662</v>
      </c>
      <c r="X5" s="161">
        <v>25000</v>
      </c>
      <c r="Y5" s="162">
        <v>42838</v>
      </c>
    </row>
    <row r="6" spans="1:25" ht="15.75" x14ac:dyDescent="0.25">
      <c r="A6" s="131">
        <v>42830</v>
      </c>
      <c r="B6" s="132" t="s">
        <v>379</v>
      </c>
      <c r="C6" s="133">
        <v>37377.839999999997</v>
      </c>
      <c r="D6" s="128">
        <v>42838</v>
      </c>
      <c r="E6" s="133">
        <v>37377.839999999997</v>
      </c>
      <c r="F6" s="135">
        <f t="shared" si="0"/>
        <v>0</v>
      </c>
      <c r="J6" s="45">
        <v>34285.5</v>
      </c>
      <c r="K6" s="338" t="s">
        <v>374</v>
      </c>
      <c r="L6" s="314">
        <v>34285.699999999997</v>
      </c>
      <c r="M6" s="277"/>
      <c r="N6" s="160" t="s">
        <v>154</v>
      </c>
      <c r="O6" s="161">
        <v>10800</v>
      </c>
      <c r="P6" s="162">
        <v>42822</v>
      </c>
      <c r="S6" s="45">
        <f>34376.5+5642</f>
        <v>40018.5</v>
      </c>
      <c r="T6" s="132" t="s">
        <v>449</v>
      </c>
      <c r="U6" s="133">
        <v>40018.480000000003</v>
      </c>
      <c r="V6" s="164"/>
      <c r="W6" s="160">
        <v>3797663</v>
      </c>
      <c r="X6" s="161">
        <v>13467</v>
      </c>
      <c r="Y6" s="162">
        <v>42838</v>
      </c>
    </row>
    <row r="7" spans="1:25" ht="15.75" x14ac:dyDescent="0.25">
      <c r="A7" s="131">
        <v>42831</v>
      </c>
      <c r="B7" s="132" t="s">
        <v>380</v>
      </c>
      <c r="C7" s="133">
        <v>33143.72</v>
      </c>
      <c r="D7" s="128">
        <v>42838</v>
      </c>
      <c r="E7" s="133">
        <v>33143.72</v>
      </c>
      <c r="F7" s="135">
        <f t="shared" si="0"/>
        <v>0</v>
      </c>
      <c r="J7" s="45">
        <f>719+28986+34908.5</f>
        <v>64613.5</v>
      </c>
      <c r="K7" s="126" t="s">
        <v>376</v>
      </c>
      <c r="L7" s="127">
        <v>64613.45</v>
      </c>
      <c r="M7" s="163"/>
      <c r="N7" s="160">
        <v>3797135</v>
      </c>
      <c r="O7" s="161">
        <v>10606.5</v>
      </c>
      <c r="P7" s="162">
        <v>42822</v>
      </c>
      <c r="S7" s="45">
        <f>10042+21049</f>
        <v>31091</v>
      </c>
      <c r="T7" s="132" t="s">
        <v>450</v>
      </c>
      <c r="U7" s="133">
        <v>31090.880000000001</v>
      </c>
      <c r="V7" s="277"/>
      <c r="W7" s="160">
        <v>3797664</v>
      </c>
      <c r="X7" s="161">
        <v>55000</v>
      </c>
      <c r="Y7" s="162">
        <v>42840</v>
      </c>
    </row>
    <row r="8" spans="1:25" ht="15.75" x14ac:dyDescent="0.25">
      <c r="A8" s="131">
        <v>42831</v>
      </c>
      <c r="B8" s="132" t="s">
        <v>383</v>
      </c>
      <c r="C8" s="133">
        <v>34557.74</v>
      </c>
      <c r="D8" s="128">
        <v>42838</v>
      </c>
      <c r="E8" s="133">
        <v>34557.74</v>
      </c>
      <c r="F8" s="135">
        <f t="shared" si="0"/>
        <v>0</v>
      </c>
      <c r="J8" s="45">
        <f>3742+19009.5+11234.5</f>
        <v>33986</v>
      </c>
      <c r="K8" s="132" t="s">
        <v>377</v>
      </c>
      <c r="L8" s="133">
        <v>33986.1</v>
      </c>
      <c r="M8" s="165"/>
      <c r="N8" s="160">
        <v>3797136</v>
      </c>
      <c r="O8" s="161">
        <v>25000</v>
      </c>
      <c r="P8" s="162">
        <v>42823</v>
      </c>
      <c r="S8" s="45">
        <f>11988+18274.5</f>
        <v>30262.5</v>
      </c>
      <c r="T8" s="366" t="s">
        <v>453</v>
      </c>
      <c r="U8" s="339">
        <v>30262.400000000001</v>
      </c>
      <c r="V8" s="163"/>
      <c r="W8" s="160">
        <v>3797665</v>
      </c>
      <c r="X8" s="161">
        <v>22923.5</v>
      </c>
      <c r="Y8" s="162">
        <v>42840</v>
      </c>
    </row>
    <row r="9" spans="1:25" ht="15.75" x14ac:dyDescent="0.25">
      <c r="A9" s="131">
        <v>42833</v>
      </c>
      <c r="B9" s="132" t="s">
        <v>381</v>
      </c>
      <c r="C9" s="133">
        <v>36670.769999999997</v>
      </c>
      <c r="D9" s="128">
        <v>42838</v>
      </c>
      <c r="E9" s="133">
        <v>36670.769999999997</v>
      </c>
      <c r="F9" s="135">
        <f t="shared" si="0"/>
        <v>0</v>
      </c>
      <c r="J9" s="45">
        <v>30972</v>
      </c>
      <c r="K9" s="132" t="s">
        <v>378</v>
      </c>
      <c r="L9" s="133">
        <v>30972</v>
      </c>
      <c r="M9" s="163"/>
      <c r="N9" s="160">
        <v>3797137</v>
      </c>
      <c r="O9" s="166">
        <v>16607.5</v>
      </c>
      <c r="P9" s="167">
        <v>42823</v>
      </c>
      <c r="S9" s="45">
        <v>17003.5</v>
      </c>
      <c r="T9" s="195" t="s">
        <v>451</v>
      </c>
      <c r="U9" s="133">
        <v>31901.4</v>
      </c>
      <c r="V9" s="163"/>
      <c r="W9" s="160">
        <v>3797666</v>
      </c>
      <c r="X9" s="166">
        <v>45000</v>
      </c>
      <c r="Y9" s="167">
        <v>42841</v>
      </c>
    </row>
    <row r="10" spans="1:25" ht="15.75" x14ac:dyDescent="0.25">
      <c r="A10" s="131">
        <v>42833</v>
      </c>
      <c r="B10" s="132" t="s">
        <v>382</v>
      </c>
      <c r="C10" s="133">
        <v>30020.71</v>
      </c>
      <c r="D10" s="128">
        <v>42838</v>
      </c>
      <c r="E10" s="133">
        <v>30020.71</v>
      </c>
      <c r="F10" s="135">
        <f t="shared" si="0"/>
        <v>0</v>
      </c>
      <c r="J10" s="45">
        <f>28250+9127.5</f>
        <v>37377.5</v>
      </c>
      <c r="K10" s="132" t="s">
        <v>379</v>
      </c>
      <c r="L10" s="133">
        <v>37377.839999999997</v>
      </c>
      <c r="M10" s="168"/>
      <c r="N10" s="160" t="s">
        <v>154</v>
      </c>
      <c r="O10" s="148">
        <v>16000</v>
      </c>
      <c r="P10" s="167">
        <v>42825</v>
      </c>
      <c r="S10" s="45"/>
      <c r="T10" s="366" t="s">
        <v>454</v>
      </c>
      <c r="U10" s="339">
        <v>28383.72</v>
      </c>
      <c r="V10" s="168" t="s">
        <v>471</v>
      </c>
      <c r="W10" s="160">
        <v>3797667</v>
      </c>
      <c r="X10" s="148">
        <v>27250.5</v>
      </c>
      <c r="Y10" s="167">
        <v>42841</v>
      </c>
    </row>
    <row r="11" spans="1:25" ht="15.75" x14ac:dyDescent="0.25">
      <c r="A11" s="131">
        <v>42833</v>
      </c>
      <c r="B11" s="132" t="s">
        <v>384</v>
      </c>
      <c r="C11" s="133">
        <v>29078.62</v>
      </c>
      <c r="D11" s="128">
        <v>42838</v>
      </c>
      <c r="E11" s="133">
        <v>29078.62</v>
      </c>
      <c r="F11" s="135">
        <f t="shared" si="0"/>
        <v>0</v>
      </c>
      <c r="J11" s="45">
        <v>33144</v>
      </c>
      <c r="K11" s="132" t="s">
        <v>380</v>
      </c>
      <c r="L11" s="133">
        <v>33143.72</v>
      </c>
      <c r="M11" s="168"/>
      <c r="N11" s="160">
        <v>3797138</v>
      </c>
      <c r="O11" s="161">
        <v>12986.5</v>
      </c>
      <c r="P11" s="162">
        <v>42824</v>
      </c>
      <c r="S11" s="45"/>
      <c r="T11" s="366"/>
      <c r="U11" s="339">
        <v>0</v>
      </c>
      <c r="V11" s="168"/>
      <c r="W11" s="160">
        <v>3797700</v>
      </c>
      <c r="X11" s="161">
        <v>38679</v>
      </c>
      <c r="Y11" s="162">
        <v>42842</v>
      </c>
    </row>
    <row r="12" spans="1:25" ht="15.75" x14ac:dyDescent="0.25">
      <c r="A12" s="131">
        <v>42834</v>
      </c>
      <c r="B12" s="132" t="s">
        <v>385</v>
      </c>
      <c r="C12" s="133">
        <v>36581.08</v>
      </c>
      <c r="D12" s="128">
        <v>42838</v>
      </c>
      <c r="E12" s="133">
        <v>36581.08</v>
      </c>
      <c r="F12" s="135">
        <f t="shared" si="0"/>
        <v>0</v>
      </c>
      <c r="J12" s="45">
        <f>20663+1626+12269</f>
        <v>34558</v>
      </c>
      <c r="K12" s="132" t="s">
        <v>383</v>
      </c>
      <c r="L12" s="133">
        <v>34557.74</v>
      </c>
      <c r="M12" s="168"/>
      <c r="N12" s="160">
        <v>3797139</v>
      </c>
      <c r="O12" s="161">
        <v>25000</v>
      </c>
      <c r="P12" s="162">
        <v>42825</v>
      </c>
      <c r="S12" s="45"/>
      <c r="T12" s="132"/>
      <c r="U12" s="133">
        <v>0</v>
      </c>
      <c r="V12" s="168"/>
      <c r="W12" s="160" t="s">
        <v>154</v>
      </c>
      <c r="X12" s="161">
        <v>2685</v>
      </c>
      <c r="Y12" s="162">
        <v>42837</v>
      </c>
    </row>
    <row r="13" spans="1:25" ht="15.75" x14ac:dyDescent="0.25">
      <c r="A13" s="131">
        <v>42835</v>
      </c>
      <c r="B13" s="132" t="s">
        <v>387</v>
      </c>
      <c r="C13" s="133">
        <v>61865.22</v>
      </c>
      <c r="D13" s="128">
        <v>42838</v>
      </c>
      <c r="E13" s="133">
        <v>61865.22</v>
      </c>
      <c r="F13" s="135">
        <f t="shared" si="0"/>
        <v>0</v>
      </c>
      <c r="J13" s="45">
        <f>27562.5+6884+2224.5</f>
        <v>36671</v>
      </c>
      <c r="K13" s="132" t="s">
        <v>381</v>
      </c>
      <c r="L13" s="133">
        <v>36670.769999999997</v>
      </c>
      <c r="M13" s="168"/>
      <c r="N13" s="160">
        <v>3797140</v>
      </c>
      <c r="O13" s="161">
        <v>13650.5</v>
      </c>
      <c r="P13" s="162">
        <v>42825</v>
      </c>
      <c r="S13" s="45"/>
      <c r="T13" s="132"/>
      <c r="U13" s="133">
        <v>0</v>
      </c>
      <c r="V13" s="168"/>
      <c r="W13" s="160" t="s">
        <v>154</v>
      </c>
      <c r="X13" s="161">
        <v>4160</v>
      </c>
      <c r="Y13" s="162">
        <v>42835</v>
      </c>
    </row>
    <row r="14" spans="1:25" ht="15.75" x14ac:dyDescent="0.25">
      <c r="A14" s="131">
        <v>42837</v>
      </c>
      <c r="B14" s="132" t="s">
        <v>386</v>
      </c>
      <c r="C14" s="133">
        <v>31544.43</v>
      </c>
      <c r="D14" s="211" t="s">
        <v>437</v>
      </c>
      <c r="E14" s="133">
        <f>28829.74+2714.69</f>
        <v>31544.43</v>
      </c>
      <c r="F14" s="135">
        <f t="shared" si="0"/>
        <v>0</v>
      </c>
      <c r="J14" s="45">
        <f>20639.5+3540+5841</f>
        <v>30020.5</v>
      </c>
      <c r="K14" s="132" t="s">
        <v>382</v>
      </c>
      <c r="L14" s="133">
        <v>30020.71</v>
      </c>
      <c r="M14" s="168"/>
      <c r="N14" s="160">
        <v>3797141</v>
      </c>
      <c r="O14" s="161">
        <v>50000</v>
      </c>
      <c r="P14" s="162">
        <v>42826</v>
      </c>
      <c r="S14" s="45"/>
      <c r="T14" s="132"/>
      <c r="U14" s="133">
        <v>0</v>
      </c>
      <c r="V14" s="168"/>
      <c r="W14" s="160" t="s">
        <v>154</v>
      </c>
      <c r="X14" s="161">
        <v>3197</v>
      </c>
      <c r="Y14" s="162">
        <v>42835</v>
      </c>
    </row>
    <row r="15" spans="1:25" ht="15.75" x14ac:dyDescent="0.25">
      <c r="A15" s="131">
        <v>42837</v>
      </c>
      <c r="B15" s="132" t="s">
        <v>441</v>
      </c>
      <c r="C15" s="133">
        <v>28304</v>
      </c>
      <c r="D15" s="128">
        <v>42842</v>
      </c>
      <c r="E15" s="133">
        <v>28304</v>
      </c>
      <c r="F15" s="135">
        <f t="shared" si="0"/>
        <v>0</v>
      </c>
      <c r="J15" s="45">
        <f>22837+6241.5</f>
        <v>29078.5</v>
      </c>
      <c r="K15" s="132" t="s">
        <v>384</v>
      </c>
      <c r="L15" s="133">
        <v>29078.62</v>
      </c>
      <c r="M15" s="168"/>
      <c r="N15" s="160">
        <v>3797142</v>
      </c>
      <c r="O15" s="161">
        <v>20457</v>
      </c>
      <c r="P15" s="162">
        <v>42826</v>
      </c>
      <c r="S15" s="45"/>
      <c r="T15" s="132"/>
      <c r="U15" s="133">
        <v>0</v>
      </c>
      <c r="V15" s="168"/>
      <c r="W15" s="160">
        <v>3797668</v>
      </c>
      <c r="X15" s="161">
        <v>35278</v>
      </c>
      <c r="Y15" s="162">
        <v>42843</v>
      </c>
    </row>
    <row r="16" spans="1:25" ht="16.5" thickBot="1" x14ac:dyDescent="0.3">
      <c r="A16" s="131">
        <v>42838</v>
      </c>
      <c r="B16" s="132" t="s">
        <v>434</v>
      </c>
      <c r="C16" s="133">
        <v>66903</v>
      </c>
      <c r="D16" s="128">
        <v>42842</v>
      </c>
      <c r="E16" s="133">
        <v>66903</v>
      </c>
      <c r="F16" s="135">
        <f t="shared" si="0"/>
        <v>0</v>
      </c>
      <c r="J16" s="45">
        <f>28400+8181</f>
        <v>36581</v>
      </c>
      <c r="K16" s="132" t="s">
        <v>385</v>
      </c>
      <c r="L16" s="133">
        <v>36581.08</v>
      </c>
      <c r="M16" s="197"/>
      <c r="N16" s="198" t="s">
        <v>154</v>
      </c>
      <c r="O16" s="148">
        <v>8890</v>
      </c>
      <c r="P16" s="167">
        <v>42817</v>
      </c>
      <c r="S16" s="45"/>
      <c r="T16" s="367"/>
      <c r="U16" s="288">
        <v>0</v>
      </c>
      <c r="V16" s="325"/>
      <c r="W16" s="295"/>
      <c r="X16" s="296">
        <v>0</v>
      </c>
      <c r="Y16" s="297"/>
    </row>
    <row r="17" spans="1:25" ht="16.5" thickBot="1" x14ac:dyDescent="0.3">
      <c r="A17" s="131">
        <v>42840</v>
      </c>
      <c r="B17" s="132" t="s">
        <v>438</v>
      </c>
      <c r="C17" s="133">
        <v>44282.9</v>
      </c>
      <c r="D17" s="128">
        <v>42842</v>
      </c>
      <c r="E17" s="133">
        <v>44282.9</v>
      </c>
      <c r="F17" s="135">
        <f t="shared" si="0"/>
        <v>0</v>
      </c>
      <c r="J17" s="45">
        <v>44844.5</v>
      </c>
      <c r="K17" s="132" t="s">
        <v>387</v>
      </c>
      <c r="L17" s="219">
        <v>61869.22</v>
      </c>
      <c r="M17" s="345" t="s">
        <v>216</v>
      </c>
      <c r="N17" s="270" t="s">
        <v>154</v>
      </c>
      <c r="O17" s="148">
        <v>2960.5</v>
      </c>
      <c r="P17" s="167">
        <v>42821</v>
      </c>
      <c r="S17" s="371">
        <f>SUM(S1:S16)</f>
        <v>309397.84999999998</v>
      </c>
      <c r="T17" s="371"/>
      <c r="U17" s="371">
        <f>SUM(U2:U16)</f>
        <v>309398</v>
      </c>
      <c r="V17" s="372"/>
      <c r="W17" s="373"/>
      <c r="X17" s="370">
        <f>SUM(X2:X16)</f>
        <v>309398</v>
      </c>
      <c r="Y17" s="323"/>
    </row>
    <row r="18" spans="1:25" ht="15.75" x14ac:dyDescent="0.25">
      <c r="A18" s="131">
        <v>42840</v>
      </c>
      <c r="B18" s="132" t="s">
        <v>439</v>
      </c>
      <c r="C18" s="133">
        <v>60353.37</v>
      </c>
      <c r="D18" s="128">
        <v>42842</v>
      </c>
      <c r="E18" s="341">
        <v>60353.37</v>
      </c>
      <c r="F18" s="135">
        <f t="shared" si="0"/>
        <v>0</v>
      </c>
      <c r="J18" s="45">
        <v>0</v>
      </c>
      <c r="K18" s="132" t="s">
        <v>386</v>
      </c>
      <c r="L18" s="133">
        <v>28829.74</v>
      </c>
      <c r="M18" s="344" t="s">
        <v>368</v>
      </c>
      <c r="N18" s="270" t="s">
        <v>154</v>
      </c>
      <c r="O18" s="148">
        <v>7159</v>
      </c>
      <c r="P18" s="167">
        <v>42824</v>
      </c>
      <c r="S18" s="38"/>
      <c r="T18" s="256"/>
      <c r="U18" s="108"/>
      <c r="V18" s="368"/>
      <c r="W18" s="369"/>
      <c r="X18" s="38"/>
      <c r="Y18" s="128"/>
    </row>
    <row r="19" spans="1:25" ht="15.75" x14ac:dyDescent="0.25">
      <c r="A19" s="131">
        <v>42842</v>
      </c>
      <c r="B19" s="365" t="s">
        <v>452</v>
      </c>
      <c r="C19" s="364">
        <v>31076.1</v>
      </c>
      <c r="D19" s="128">
        <v>42847</v>
      </c>
      <c r="E19" s="374">
        <v>31076.1</v>
      </c>
      <c r="F19" s="135">
        <f t="shared" si="0"/>
        <v>0</v>
      </c>
      <c r="J19" s="179">
        <v>0</v>
      </c>
      <c r="K19" s="132"/>
      <c r="L19" s="133">
        <v>0</v>
      </c>
      <c r="M19" s="172"/>
      <c r="N19" s="198">
        <v>3797143</v>
      </c>
      <c r="O19" s="148">
        <v>45000</v>
      </c>
      <c r="P19" s="167">
        <v>42827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42842</v>
      </c>
      <c r="B20" s="132" t="s">
        <v>440</v>
      </c>
      <c r="C20" s="133">
        <v>30983.7</v>
      </c>
      <c r="D20" s="211" t="s">
        <v>472</v>
      </c>
      <c r="E20" s="342">
        <f>9198.52+21785.18</f>
        <v>30983.7</v>
      </c>
      <c r="F20" s="135">
        <f t="shared" si="0"/>
        <v>0</v>
      </c>
      <c r="J20" s="179">
        <v>0</v>
      </c>
      <c r="K20" s="132"/>
      <c r="L20" s="133">
        <v>0</v>
      </c>
      <c r="M20" s="172"/>
      <c r="N20" s="198">
        <v>3797144</v>
      </c>
      <c r="O20" s="148">
        <v>17934.5</v>
      </c>
      <c r="P20" s="167">
        <v>42827</v>
      </c>
      <c r="S20" s="284"/>
      <c r="T20" s="256"/>
      <c r="U20" s="108"/>
      <c r="V20" s="186"/>
      <c r="W20" s="187"/>
      <c r="X20" s="38"/>
      <c r="Y20" s="128"/>
    </row>
    <row r="21" spans="1:25" ht="16.5" thickBot="1" x14ac:dyDescent="0.3">
      <c r="A21" s="131">
        <v>42843</v>
      </c>
      <c r="B21" s="132" t="s">
        <v>447</v>
      </c>
      <c r="C21" s="133">
        <v>5952.1</v>
      </c>
      <c r="D21" s="128">
        <v>42847</v>
      </c>
      <c r="E21" s="342">
        <v>5952.1</v>
      </c>
      <c r="F21" s="135">
        <f t="shared" si="0"/>
        <v>0</v>
      </c>
      <c r="J21" s="179">
        <v>0</v>
      </c>
      <c r="K21" s="196"/>
      <c r="L21" s="133">
        <v>0</v>
      </c>
      <c r="M21" s="198"/>
      <c r="N21" s="274">
        <v>3797145</v>
      </c>
      <c r="O21" s="148">
        <v>35000</v>
      </c>
      <c r="P21" s="167">
        <v>42828</v>
      </c>
      <c r="R21" t="s">
        <v>481</v>
      </c>
      <c r="S21" s="45">
        <v>14898</v>
      </c>
      <c r="T21" s="154"/>
      <c r="U21" s="343">
        <v>42854</v>
      </c>
      <c r="V21" s="216"/>
      <c r="W21" s="217" t="s">
        <v>141</v>
      </c>
      <c r="X21" s="111"/>
      <c r="Y21" s="158"/>
    </row>
    <row r="22" spans="1:25" ht="16.5" thickTop="1" x14ac:dyDescent="0.25">
      <c r="A22" s="131">
        <v>42843</v>
      </c>
      <c r="B22" s="132" t="s">
        <v>448</v>
      </c>
      <c r="C22" s="133">
        <v>88927.74</v>
      </c>
      <c r="D22" s="128">
        <v>42847</v>
      </c>
      <c r="E22" s="342">
        <v>88927.74</v>
      </c>
      <c r="F22" s="135">
        <f t="shared" si="0"/>
        <v>0</v>
      </c>
      <c r="J22" s="179">
        <v>0</v>
      </c>
      <c r="K22" s="209"/>
      <c r="L22" s="196">
        <v>0</v>
      </c>
      <c r="M22" s="209"/>
      <c r="N22" s="210">
        <v>3797146</v>
      </c>
      <c r="O22" s="148">
        <v>6457.5</v>
      </c>
      <c r="P22" s="167">
        <v>42828</v>
      </c>
      <c r="S22" s="45">
        <f>20500+19865.5</f>
        <v>40365.5</v>
      </c>
      <c r="T22" s="366" t="s">
        <v>454</v>
      </c>
      <c r="U22" s="339">
        <v>11981.94</v>
      </c>
      <c r="V22" s="204" t="s">
        <v>143</v>
      </c>
      <c r="W22" s="160">
        <v>3797669</v>
      </c>
      <c r="X22" s="161">
        <v>30000</v>
      </c>
      <c r="Y22" s="162">
        <v>42844</v>
      </c>
    </row>
    <row r="23" spans="1:25" ht="15.75" x14ac:dyDescent="0.25">
      <c r="A23" s="131">
        <v>42845</v>
      </c>
      <c r="B23" s="132" t="s">
        <v>449</v>
      </c>
      <c r="C23" s="133">
        <v>40018.480000000003</v>
      </c>
      <c r="D23" s="128">
        <v>42847</v>
      </c>
      <c r="E23" s="342">
        <v>40018.480000000003</v>
      </c>
      <c r="F23" s="135">
        <f t="shared" si="0"/>
        <v>0</v>
      </c>
      <c r="J23" s="179">
        <v>0</v>
      </c>
      <c r="K23" s="209"/>
      <c r="L23" s="196">
        <v>0</v>
      </c>
      <c r="M23" s="209"/>
      <c r="N23" s="210">
        <v>3797150</v>
      </c>
      <c r="O23" s="148">
        <v>23000</v>
      </c>
      <c r="P23" s="167">
        <v>42829</v>
      </c>
      <c r="S23" s="45">
        <f>17699+9224.5</f>
        <v>26923.5</v>
      </c>
      <c r="T23" s="366" t="s">
        <v>455</v>
      </c>
      <c r="U23" s="339">
        <v>26923.71</v>
      </c>
      <c r="V23" s="159"/>
      <c r="W23" s="160">
        <v>3797670</v>
      </c>
      <c r="X23" s="161">
        <v>42962.5</v>
      </c>
      <c r="Y23" s="162">
        <v>42844</v>
      </c>
    </row>
    <row r="24" spans="1:25" ht="15.75" x14ac:dyDescent="0.25">
      <c r="A24" s="131">
        <v>42845</v>
      </c>
      <c r="B24" s="132" t="s">
        <v>450</v>
      </c>
      <c r="C24" s="133">
        <v>31090.880000000001</v>
      </c>
      <c r="D24" s="128">
        <v>42847</v>
      </c>
      <c r="E24" s="342">
        <v>31090.880000000001</v>
      </c>
      <c r="F24" s="135">
        <f t="shared" si="0"/>
        <v>0</v>
      </c>
      <c r="J24" s="179">
        <v>0</v>
      </c>
      <c r="K24" s="209"/>
      <c r="L24" s="196">
        <v>0</v>
      </c>
      <c r="M24" s="209"/>
      <c r="N24" s="210">
        <v>3797149</v>
      </c>
      <c r="O24" s="148">
        <v>6748</v>
      </c>
      <c r="P24" s="167">
        <v>42829</v>
      </c>
      <c r="S24" s="45">
        <f>38424+134.5</f>
        <v>38558.5</v>
      </c>
      <c r="T24" s="365" t="s">
        <v>473</v>
      </c>
      <c r="U24" s="339">
        <v>38558.449999999997</v>
      </c>
      <c r="V24" s="214"/>
      <c r="W24" s="160">
        <v>3797671</v>
      </c>
      <c r="X24" s="161">
        <v>25000</v>
      </c>
      <c r="Y24" s="162">
        <v>42845</v>
      </c>
    </row>
    <row r="25" spans="1:25" ht="15.75" x14ac:dyDescent="0.25">
      <c r="A25" s="131">
        <v>42845</v>
      </c>
      <c r="B25" s="366" t="s">
        <v>453</v>
      </c>
      <c r="C25" s="339">
        <v>30262.400000000001</v>
      </c>
      <c r="D25" s="128">
        <v>42847</v>
      </c>
      <c r="E25" s="134">
        <v>30262.400000000001</v>
      </c>
      <c r="F25" s="135">
        <f t="shared" si="0"/>
        <v>0</v>
      </c>
      <c r="J25" s="179">
        <v>0</v>
      </c>
      <c r="K25" s="209"/>
      <c r="L25" s="196">
        <v>0</v>
      </c>
      <c r="M25" s="209"/>
      <c r="N25" s="210" t="s">
        <v>154</v>
      </c>
      <c r="O25" s="148">
        <v>12000</v>
      </c>
      <c r="P25" s="167">
        <v>42830</v>
      </c>
      <c r="S25" s="45">
        <v>31255.5</v>
      </c>
      <c r="T25" s="132" t="s">
        <v>474</v>
      </c>
      <c r="U25" s="133">
        <v>31259.69</v>
      </c>
      <c r="V25" s="163"/>
      <c r="W25" s="160">
        <v>3797672</v>
      </c>
      <c r="X25" s="161">
        <v>22648.5</v>
      </c>
      <c r="Y25" s="162">
        <v>42845</v>
      </c>
    </row>
    <row r="26" spans="1:25" ht="15.75" x14ac:dyDescent="0.25">
      <c r="A26" s="131">
        <v>42846</v>
      </c>
      <c r="B26" s="195" t="s">
        <v>451</v>
      </c>
      <c r="C26" s="133">
        <v>31901.4</v>
      </c>
      <c r="D26" s="128">
        <v>42847</v>
      </c>
      <c r="E26" s="342">
        <v>31901.4</v>
      </c>
      <c r="F26" s="135">
        <f t="shared" si="0"/>
        <v>0</v>
      </c>
      <c r="J26" s="179">
        <v>0</v>
      </c>
      <c r="K26" s="209"/>
      <c r="L26" s="196">
        <v>0</v>
      </c>
      <c r="M26" s="209"/>
      <c r="N26" s="210">
        <v>3797148</v>
      </c>
      <c r="O26" s="148">
        <v>16678</v>
      </c>
      <c r="P26" s="167">
        <v>42830</v>
      </c>
      <c r="S26" s="45">
        <f>2312+21653+5079</f>
        <v>29044</v>
      </c>
      <c r="T26" s="132" t="s">
        <v>477</v>
      </c>
      <c r="U26" s="133">
        <v>29043.919999999998</v>
      </c>
      <c r="V26" s="164"/>
      <c r="W26" s="160" t="s">
        <v>154</v>
      </c>
      <c r="X26" s="161">
        <v>30000</v>
      </c>
      <c r="Y26" s="162">
        <v>42846</v>
      </c>
    </row>
    <row r="27" spans="1:25" ht="15.75" x14ac:dyDescent="0.25">
      <c r="A27" s="131">
        <v>42846</v>
      </c>
      <c r="B27" s="366" t="s">
        <v>454</v>
      </c>
      <c r="C27" s="339">
        <v>40365.660000000003</v>
      </c>
      <c r="D27" s="211" t="s">
        <v>495</v>
      </c>
      <c r="E27" s="134">
        <f>28383.72+11981.94</f>
        <v>40365.660000000003</v>
      </c>
      <c r="F27" s="135">
        <f t="shared" si="0"/>
        <v>0</v>
      </c>
      <c r="J27" s="179">
        <v>0</v>
      </c>
      <c r="K27" s="209"/>
      <c r="L27" s="196">
        <v>0</v>
      </c>
      <c r="M27" s="209"/>
      <c r="N27" s="210" t="s">
        <v>154</v>
      </c>
      <c r="O27" s="148">
        <v>3540</v>
      </c>
      <c r="P27" s="167">
        <v>42828</v>
      </c>
      <c r="S27" s="45">
        <v>27455</v>
      </c>
      <c r="T27" s="290" t="s">
        <v>475</v>
      </c>
      <c r="U27" s="133">
        <v>37542.839999999997</v>
      </c>
      <c r="V27" s="277"/>
      <c r="W27" s="160">
        <v>3797673</v>
      </c>
      <c r="X27" s="161">
        <v>28849</v>
      </c>
      <c r="Y27" s="162">
        <v>42846</v>
      </c>
    </row>
    <row r="28" spans="1:25" ht="15.75" x14ac:dyDescent="0.25">
      <c r="A28" s="131">
        <v>42846</v>
      </c>
      <c r="B28" s="366" t="s">
        <v>455</v>
      </c>
      <c r="C28" s="339">
        <v>26923.71</v>
      </c>
      <c r="D28" s="128">
        <v>42854</v>
      </c>
      <c r="E28" s="342">
        <v>26923.71</v>
      </c>
      <c r="F28" s="135">
        <f t="shared" si="0"/>
        <v>0</v>
      </c>
      <c r="J28" s="179">
        <v>0</v>
      </c>
      <c r="K28" s="209"/>
      <c r="L28" s="196">
        <v>0</v>
      </c>
      <c r="M28" s="209"/>
      <c r="N28" s="210">
        <v>3797147</v>
      </c>
      <c r="O28" s="148">
        <v>34641.5</v>
      </c>
      <c r="P28" s="167">
        <v>42831</v>
      </c>
      <c r="S28" s="45">
        <f>16816+15987</f>
        <v>32803</v>
      </c>
      <c r="T28" s="376" t="s">
        <v>494</v>
      </c>
      <c r="U28" s="339">
        <v>32802.86</v>
      </c>
      <c r="V28" s="163"/>
      <c r="W28" s="160">
        <v>3797679</v>
      </c>
      <c r="X28" s="161">
        <v>12465</v>
      </c>
      <c r="Y28" s="162">
        <v>42850</v>
      </c>
    </row>
    <row r="29" spans="1:25" ht="15.75" x14ac:dyDescent="0.25">
      <c r="A29" s="131">
        <v>42848</v>
      </c>
      <c r="B29" s="365" t="s">
        <v>473</v>
      </c>
      <c r="C29" s="339">
        <v>38558.449999999997</v>
      </c>
      <c r="D29" s="128">
        <v>42854</v>
      </c>
      <c r="E29" s="339">
        <v>38558.449999999997</v>
      </c>
      <c r="F29" s="135">
        <f t="shared" si="0"/>
        <v>0</v>
      </c>
      <c r="J29" s="179"/>
      <c r="K29" s="209"/>
      <c r="L29" s="196">
        <v>0</v>
      </c>
      <c r="M29" s="209"/>
      <c r="N29" s="210">
        <v>3797651</v>
      </c>
      <c r="O29" s="148">
        <v>35000</v>
      </c>
      <c r="P29" s="167">
        <v>42832</v>
      </c>
      <c r="S29" s="45">
        <f>17629.5+11399+41158.5</f>
        <v>70187</v>
      </c>
      <c r="T29" s="291" t="s">
        <v>476</v>
      </c>
      <c r="U29" s="178">
        <v>101915.86</v>
      </c>
      <c r="V29" s="163"/>
      <c r="W29" s="160" t="s">
        <v>154</v>
      </c>
      <c r="X29" s="166">
        <v>11500</v>
      </c>
      <c r="Y29" s="167">
        <v>42850</v>
      </c>
    </row>
    <row r="30" spans="1:25" ht="16.5" thickBot="1" x14ac:dyDescent="0.3">
      <c r="A30" s="131">
        <v>42848</v>
      </c>
      <c r="B30" s="132" t="s">
        <v>474</v>
      </c>
      <c r="C30" s="133">
        <v>31259.69</v>
      </c>
      <c r="D30" s="128">
        <v>42854</v>
      </c>
      <c r="E30" s="133">
        <v>31259.69</v>
      </c>
      <c r="F30" s="135">
        <f t="shared" si="0"/>
        <v>0</v>
      </c>
      <c r="J30" s="179">
        <v>0</v>
      </c>
      <c r="K30" s="209"/>
      <c r="L30" s="196">
        <v>0</v>
      </c>
      <c r="M30" s="209"/>
      <c r="N30" s="210">
        <v>3797652</v>
      </c>
      <c r="O30" s="148">
        <v>18025.5</v>
      </c>
      <c r="P30" s="167">
        <v>42832</v>
      </c>
      <c r="R30">
        <v>71431.960000000006</v>
      </c>
      <c r="S30" s="45">
        <v>21935.5</v>
      </c>
      <c r="T30" s="291" t="s">
        <v>480</v>
      </c>
      <c r="U30" s="340">
        <v>23400.23</v>
      </c>
      <c r="V30" s="168" t="s">
        <v>159</v>
      </c>
      <c r="W30" s="160" t="s">
        <v>154</v>
      </c>
      <c r="X30" s="148">
        <v>4344</v>
      </c>
      <c r="Y30" s="167">
        <v>42844</v>
      </c>
    </row>
    <row r="31" spans="1:25" ht="16.5" thickBot="1" x14ac:dyDescent="0.3">
      <c r="A31" s="131">
        <v>42849</v>
      </c>
      <c r="B31" s="132" t="s">
        <v>477</v>
      </c>
      <c r="C31" s="133">
        <v>29043.919999999998</v>
      </c>
      <c r="D31" s="128">
        <v>42854</v>
      </c>
      <c r="E31" s="133">
        <v>29043.919999999998</v>
      </c>
      <c r="F31" s="135">
        <f t="shared" si="0"/>
        <v>0</v>
      </c>
      <c r="J31" s="273">
        <f>SUM(J1:J30)</f>
        <v>583333</v>
      </c>
      <c r="K31" s="271"/>
      <c r="L31" s="275">
        <f>SUM(L2:L30)</f>
        <v>597714.5199999999</v>
      </c>
      <c r="M31" s="276"/>
      <c r="N31" s="276"/>
      <c r="O31" s="275">
        <f>SUM(O2:O30)</f>
        <v>595141</v>
      </c>
      <c r="P31" s="272"/>
      <c r="S31" s="45">
        <v>0</v>
      </c>
      <c r="T31" s="291"/>
      <c r="U31" s="340">
        <v>0</v>
      </c>
      <c r="V31" s="168"/>
      <c r="W31" s="160" t="s">
        <v>154</v>
      </c>
      <c r="X31" s="161">
        <v>8415</v>
      </c>
      <c r="Y31" s="162">
        <v>42844</v>
      </c>
    </row>
    <row r="32" spans="1:25" ht="15.75" x14ac:dyDescent="0.25">
      <c r="A32" s="287">
        <v>42850</v>
      </c>
      <c r="B32" s="290" t="s">
        <v>475</v>
      </c>
      <c r="C32" s="133">
        <v>37542.839999999997</v>
      </c>
      <c r="D32" s="128">
        <v>42854</v>
      </c>
      <c r="E32" s="133">
        <v>37542.839999999997</v>
      </c>
      <c r="F32" s="289">
        <f t="shared" si="0"/>
        <v>0</v>
      </c>
      <c r="S32" s="45">
        <v>0</v>
      </c>
      <c r="T32" s="132"/>
      <c r="U32" s="133">
        <v>0</v>
      </c>
      <c r="V32" s="168"/>
      <c r="W32" s="160" t="s">
        <v>154</v>
      </c>
      <c r="X32" s="161">
        <v>4057</v>
      </c>
      <c r="Y32" s="162">
        <v>42842</v>
      </c>
    </row>
    <row r="33" spans="1:25" ht="15.75" x14ac:dyDescent="0.25">
      <c r="A33" s="287">
        <v>42851</v>
      </c>
      <c r="B33" s="376" t="s">
        <v>494</v>
      </c>
      <c r="C33" s="339">
        <v>32802.86</v>
      </c>
      <c r="D33" s="128">
        <v>42854</v>
      </c>
      <c r="E33" s="339">
        <v>32802.86</v>
      </c>
      <c r="F33" s="289">
        <f t="shared" si="0"/>
        <v>0</v>
      </c>
      <c r="S33" s="45">
        <v>0</v>
      </c>
      <c r="T33" s="132"/>
      <c r="U33" s="133">
        <v>0</v>
      </c>
      <c r="V33" s="168"/>
      <c r="W33" s="160">
        <v>3797681</v>
      </c>
      <c r="X33" s="161">
        <v>18695.5</v>
      </c>
      <c r="Y33" s="162">
        <v>42851</v>
      </c>
    </row>
    <row r="34" spans="1:25" ht="15.75" x14ac:dyDescent="0.25">
      <c r="A34" s="287">
        <v>42852</v>
      </c>
      <c r="B34" s="291" t="s">
        <v>476</v>
      </c>
      <c r="C34" s="340">
        <v>101915.86</v>
      </c>
      <c r="D34" s="128">
        <v>42854</v>
      </c>
      <c r="E34" s="340">
        <v>101915.86</v>
      </c>
      <c r="F34" s="289">
        <f t="shared" si="0"/>
        <v>0</v>
      </c>
      <c r="S34" s="45">
        <v>0</v>
      </c>
      <c r="T34" s="132"/>
      <c r="U34" s="133">
        <v>0</v>
      </c>
      <c r="V34" s="168"/>
      <c r="W34" s="160">
        <v>3797680</v>
      </c>
      <c r="X34" s="161">
        <v>20000</v>
      </c>
      <c r="Y34" s="162">
        <v>42851</v>
      </c>
    </row>
    <row r="35" spans="1:25" ht="15.75" x14ac:dyDescent="0.25">
      <c r="A35" s="287">
        <v>42853</v>
      </c>
      <c r="B35" s="291" t="s">
        <v>480</v>
      </c>
      <c r="C35" s="178">
        <v>71431.960000000006</v>
      </c>
      <c r="D35" s="346" t="s">
        <v>528</v>
      </c>
      <c r="E35" s="389">
        <f>23400.23+48031.73</f>
        <v>71431.960000000006</v>
      </c>
      <c r="F35" s="289">
        <f t="shared" si="0"/>
        <v>0</v>
      </c>
      <c r="J35" s="4"/>
      <c r="S35" s="45">
        <v>0</v>
      </c>
      <c r="T35" s="132"/>
      <c r="U35" s="133">
        <v>0</v>
      </c>
      <c r="V35" s="168"/>
      <c r="W35" s="160">
        <v>3797682</v>
      </c>
      <c r="X35" s="161">
        <v>30000</v>
      </c>
      <c r="Y35" s="162">
        <v>42852</v>
      </c>
    </row>
    <row r="36" spans="1:25" ht="16.5" thickBot="1" x14ac:dyDescent="0.3">
      <c r="A36" s="287">
        <v>42854</v>
      </c>
      <c r="B36" s="291" t="s">
        <v>496</v>
      </c>
      <c r="C36" s="139">
        <v>39360.85</v>
      </c>
      <c r="D36" s="137">
        <v>42868</v>
      </c>
      <c r="E36" s="347">
        <v>39360.85</v>
      </c>
      <c r="F36" s="289">
        <f t="shared" si="0"/>
        <v>0</v>
      </c>
      <c r="I36" s="9" t="s">
        <v>435</v>
      </c>
      <c r="J36" s="45">
        <v>17024.5</v>
      </c>
      <c r="K36" s="154"/>
      <c r="L36" s="357">
        <v>42842</v>
      </c>
      <c r="M36" s="216"/>
      <c r="N36" s="217" t="s">
        <v>141</v>
      </c>
      <c r="O36" s="111"/>
      <c r="P36" s="158"/>
      <c r="S36" s="45">
        <v>0</v>
      </c>
      <c r="T36" s="367"/>
      <c r="U36" s="288">
        <v>0</v>
      </c>
      <c r="V36" s="325"/>
      <c r="W36" s="295">
        <v>3797683</v>
      </c>
      <c r="X36" s="296">
        <v>11158.5</v>
      </c>
      <c r="Y36" s="297">
        <v>42852</v>
      </c>
    </row>
    <row r="37" spans="1:25" ht="17.25" thickTop="1" thickBot="1" x14ac:dyDescent="0.3">
      <c r="A37" s="287">
        <v>42854</v>
      </c>
      <c r="B37" s="291" t="s">
        <v>497</v>
      </c>
      <c r="C37" s="139">
        <v>34019</v>
      </c>
      <c r="D37" s="137">
        <v>42868</v>
      </c>
      <c r="E37" s="347">
        <v>34019</v>
      </c>
      <c r="F37" s="166">
        <f t="shared" si="0"/>
        <v>0</v>
      </c>
      <c r="J37" s="45">
        <v>31544.5</v>
      </c>
      <c r="K37" s="132" t="s">
        <v>386</v>
      </c>
      <c r="L37" s="133">
        <v>2714.69</v>
      </c>
      <c r="M37" s="214" t="s">
        <v>143</v>
      </c>
      <c r="N37" s="160">
        <v>3797653</v>
      </c>
      <c r="O37" s="161">
        <v>44500</v>
      </c>
      <c r="P37" s="162">
        <v>42833</v>
      </c>
      <c r="S37" s="371">
        <v>0</v>
      </c>
      <c r="T37" s="196"/>
      <c r="U37" s="196">
        <v>0</v>
      </c>
      <c r="V37" s="344"/>
      <c r="W37" s="270" t="s">
        <v>158</v>
      </c>
      <c r="X37" s="148">
        <v>11399</v>
      </c>
      <c r="Y37" s="167">
        <v>42850</v>
      </c>
    </row>
    <row r="38" spans="1:25" ht="16.5" thickBot="1" x14ac:dyDescent="0.3">
      <c r="A38" s="287"/>
      <c r="B38" s="298"/>
      <c r="C38" s="139"/>
      <c r="D38" s="137"/>
      <c r="E38" s="347"/>
      <c r="F38" s="166">
        <f t="shared" si="0"/>
        <v>0</v>
      </c>
      <c r="J38" s="45">
        <f>17240+11064</f>
        <v>28304</v>
      </c>
      <c r="K38" s="132" t="s">
        <v>441</v>
      </c>
      <c r="L38" s="133">
        <v>28304</v>
      </c>
      <c r="M38" s="172"/>
      <c r="N38" s="160" t="s">
        <v>154</v>
      </c>
      <c r="O38" s="161">
        <v>500</v>
      </c>
      <c r="P38" s="162">
        <v>42837</v>
      </c>
      <c r="S38" s="377">
        <v>0</v>
      </c>
      <c r="T38" s="209"/>
      <c r="U38" s="196">
        <v>0</v>
      </c>
      <c r="V38" s="209"/>
      <c r="W38" s="378">
        <v>3797677</v>
      </c>
      <c r="X38" s="375">
        <v>21935.5</v>
      </c>
      <c r="Y38" s="379">
        <v>42848</v>
      </c>
    </row>
    <row r="39" spans="1:25" ht="16.5" thickBot="1" x14ac:dyDescent="0.3">
      <c r="A39" s="287"/>
      <c r="B39" s="291"/>
      <c r="C39" s="139"/>
      <c r="D39" s="128"/>
      <c r="E39" s="139"/>
      <c r="F39" s="166">
        <f t="shared" si="0"/>
        <v>0</v>
      </c>
      <c r="J39" s="45">
        <f>61531.5+5371.5</f>
        <v>66903</v>
      </c>
      <c r="K39" s="132" t="s">
        <v>434</v>
      </c>
      <c r="L39" s="133">
        <v>66903</v>
      </c>
      <c r="M39" s="214"/>
      <c r="N39" s="160">
        <v>3797654</v>
      </c>
      <c r="O39" s="161">
        <v>20809</v>
      </c>
      <c r="P39" s="162">
        <v>42833</v>
      </c>
      <c r="S39" s="371">
        <f>SUM(S21:S38)</f>
        <v>333425.5</v>
      </c>
      <c r="T39" s="380"/>
      <c r="U39" s="382">
        <f>SUM(U22:U38)</f>
        <v>333429.5</v>
      </c>
      <c r="V39" s="381"/>
      <c r="W39" s="373"/>
      <c r="X39" s="383">
        <f>SUM(X22:X38)</f>
        <v>333429.5</v>
      </c>
      <c r="Y39" s="323"/>
    </row>
    <row r="40" spans="1:25" ht="15.75" x14ac:dyDescent="0.25">
      <c r="A40" s="287"/>
      <c r="B40" s="291"/>
      <c r="C40" s="139"/>
      <c r="D40" s="128"/>
      <c r="E40" s="139"/>
      <c r="F40" s="166">
        <f t="shared" si="0"/>
        <v>0</v>
      </c>
      <c r="J40" s="45">
        <f>44283</f>
        <v>44283</v>
      </c>
      <c r="K40" s="132" t="s">
        <v>438</v>
      </c>
      <c r="L40" s="133">
        <v>44282.9</v>
      </c>
      <c r="M40" s="163"/>
      <c r="N40" s="160">
        <v>3797655</v>
      </c>
      <c r="O40" s="161">
        <v>45000</v>
      </c>
      <c r="P40" s="162">
        <v>42834</v>
      </c>
    </row>
    <row r="41" spans="1:25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8271+18000</f>
        <v>26271</v>
      </c>
      <c r="K41" s="132" t="s">
        <v>439</v>
      </c>
      <c r="L41" s="133">
        <v>60353.37</v>
      </c>
      <c r="M41" s="164"/>
      <c r="N41" s="160">
        <v>3797656</v>
      </c>
      <c r="O41" s="161">
        <v>27595.5</v>
      </c>
      <c r="P41" s="162">
        <v>42834</v>
      </c>
    </row>
    <row r="42" spans="1:25" ht="15.75" x14ac:dyDescent="0.25">
      <c r="A42" s="131"/>
      <c r="B42" s="291"/>
      <c r="C42" s="139"/>
      <c r="D42" s="209"/>
      <c r="E42" s="139"/>
      <c r="F42" s="166">
        <f t="shared" si="0"/>
        <v>0</v>
      </c>
      <c r="J42" s="45"/>
      <c r="K42" s="132" t="s">
        <v>440</v>
      </c>
      <c r="L42" s="288">
        <v>9198.52</v>
      </c>
      <c r="M42" s="277" t="s">
        <v>159</v>
      </c>
      <c r="N42" s="160">
        <v>3797657</v>
      </c>
      <c r="O42" s="161">
        <v>57925.5</v>
      </c>
      <c r="P42" s="162">
        <v>42835</v>
      </c>
    </row>
    <row r="43" spans="1:25" ht="15.75" x14ac:dyDescent="0.25">
      <c r="A43" s="131"/>
      <c r="B43" s="291"/>
      <c r="C43" s="139"/>
      <c r="D43" s="209"/>
      <c r="E43" s="139"/>
      <c r="F43" s="166">
        <f t="shared" si="0"/>
        <v>0</v>
      </c>
      <c r="J43" s="45"/>
      <c r="K43" s="132"/>
      <c r="L43" s="133"/>
      <c r="M43" s="165"/>
      <c r="N43" s="160">
        <v>3797658</v>
      </c>
      <c r="O43" s="161">
        <v>18000</v>
      </c>
      <c r="P43" s="162">
        <v>42836</v>
      </c>
    </row>
    <row r="44" spans="1:25" ht="15.75" x14ac:dyDescent="0.25">
      <c r="A44" s="332"/>
      <c r="B44" s="210"/>
      <c r="C44" s="315"/>
      <c r="D44" s="333"/>
      <c r="E44" s="333"/>
      <c r="F44" s="333">
        <f t="shared" si="0"/>
        <v>0</v>
      </c>
      <c r="J44" s="45"/>
      <c r="K44" s="132"/>
      <c r="L44" s="133"/>
      <c r="M44" s="163"/>
      <c r="N44" s="160"/>
      <c r="O44" s="166"/>
      <c r="P44" s="167"/>
    </row>
    <row r="45" spans="1:25" ht="16.5" thickBot="1" x14ac:dyDescent="0.3">
      <c r="A45" s="332"/>
      <c r="B45" s="338"/>
      <c r="C45" s="314"/>
      <c r="D45" s="299"/>
      <c r="E45" s="314"/>
      <c r="F45" s="314">
        <f t="shared" si="0"/>
        <v>0</v>
      </c>
      <c r="J45" s="45"/>
      <c r="K45" s="132"/>
      <c r="L45" s="133"/>
      <c r="M45" s="168"/>
      <c r="N45" s="160"/>
      <c r="O45" s="148"/>
      <c r="P45" s="167"/>
    </row>
    <row r="46" spans="1:25" ht="16.5" thickBot="1" x14ac:dyDescent="0.3">
      <c r="A46" s="271"/>
      <c r="B46" s="335"/>
      <c r="C46" s="336">
        <f>SUM(C3:C45)</f>
        <v>1433692.55</v>
      </c>
      <c r="D46" s="335"/>
      <c r="E46" s="275">
        <f>SUM(E3:E45)</f>
        <v>1433692.55</v>
      </c>
      <c r="F46" s="337">
        <f>SUM(F3:F45)</f>
        <v>0</v>
      </c>
      <c r="J46" s="45"/>
      <c r="K46" s="132"/>
      <c r="L46" s="133"/>
      <c r="M46" s="168"/>
      <c r="N46" s="160"/>
      <c r="O46" s="161"/>
      <c r="P46" s="162"/>
    </row>
    <row r="47" spans="1:25" ht="16.5" thickBot="1" x14ac:dyDescent="0.3">
      <c r="J47" s="273">
        <f>SUM(J35:J46)</f>
        <v>214330</v>
      </c>
      <c r="K47" s="271"/>
      <c r="L47" s="275">
        <f>SUM(L37:L46)</f>
        <v>211756.47999999998</v>
      </c>
      <c r="M47" s="276"/>
      <c r="N47" s="276"/>
      <c r="O47" s="275">
        <f>SUM(O37:O46)</f>
        <v>214330</v>
      </c>
      <c r="P47" s="272"/>
    </row>
    <row r="49" spans="12:15" ht="15.75" thickBot="1" x14ac:dyDescent="0.3"/>
    <row r="50" spans="12:15" ht="15.75" x14ac:dyDescent="0.25">
      <c r="L50" s="350" t="s">
        <v>436</v>
      </c>
      <c r="M50" s="351"/>
      <c r="N50" s="351"/>
      <c r="O50" s="352"/>
    </row>
    <row r="51" spans="12:15" ht="16.5" thickBot="1" x14ac:dyDescent="0.3">
      <c r="L51" s="353"/>
      <c r="M51" s="354">
        <v>2573.52</v>
      </c>
      <c r="N51" s="355"/>
      <c r="O51" s="356"/>
    </row>
    <row r="70" spans="16:16" x14ac:dyDescent="0.25">
      <c r="P70" t="s">
        <v>88</v>
      </c>
    </row>
  </sheetData>
  <sortState ref="T28:U30">
    <sortCondition ref="U28:U30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68"/>
  <sheetViews>
    <sheetView workbookViewId="0">
      <selection activeCell="I51" sqref="I5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25" t="s">
        <v>498</v>
      </c>
      <c r="C1" s="525"/>
      <c r="D1" s="525"/>
      <c r="E1" s="525"/>
      <c r="F1" s="525"/>
      <c r="G1" s="525"/>
      <c r="H1" s="525"/>
      <c r="I1" s="525"/>
      <c r="J1" s="525"/>
      <c r="L1" s="2" t="s">
        <v>1</v>
      </c>
      <c r="M1" s="3"/>
    </row>
    <row r="2" spans="1:14" ht="1.5" customHeight="1" thickBot="1" x14ac:dyDescent="0.3">
      <c r="A2" s="1"/>
      <c r="B2" s="5"/>
      <c r="D2" s="384"/>
      <c r="E2" s="8"/>
      <c r="L2" s="9"/>
      <c r="M2" s="3"/>
    </row>
    <row r="3" spans="1:14" ht="19.5" thickBot="1" x14ac:dyDescent="0.35">
      <c r="A3" s="512" t="s">
        <v>3</v>
      </c>
      <c r="B3" s="10" t="s">
        <v>4</v>
      </c>
      <c r="C3" s="526" t="s">
        <v>2</v>
      </c>
      <c r="D3" s="526"/>
      <c r="E3" s="526"/>
      <c r="F3" s="527">
        <v>2000</v>
      </c>
      <c r="G3" s="527"/>
      <c r="I3" s="5"/>
      <c r="L3" s="9"/>
      <c r="M3" s="3"/>
    </row>
    <row r="4" spans="1:14" ht="20.25" thickTop="1" thickBot="1" x14ac:dyDescent="0.35">
      <c r="A4" s="513"/>
      <c r="B4" s="13">
        <v>125393.1</v>
      </c>
      <c r="C4" s="14"/>
      <c r="D4" s="530" t="s">
        <v>8</v>
      </c>
      <c r="E4" s="531"/>
      <c r="H4" s="532" t="s">
        <v>9</v>
      </c>
      <c r="I4" s="533"/>
      <c r="J4" s="533"/>
      <c r="K4" s="533"/>
      <c r="L4" s="15" t="s">
        <v>10</v>
      </c>
      <c r="M4" s="16" t="s">
        <v>11</v>
      </c>
    </row>
    <row r="5" spans="1:14" ht="16.5" thickTop="1" thickBot="1" x14ac:dyDescent="0.3">
      <c r="A5" s="18">
        <v>42856</v>
      </c>
      <c r="B5" s="34">
        <v>48169</v>
      </c>
      <c r="C5" s="20" t="s">
        <v>536</v>
      </c>
      <c r="D5" s="21">
        <v>42856</v>
      </c>
      <c r="E5" s="35">
        <v>48169</v>
      </c>
      <c r="F5" s="23"/>
      <c r="G5" s="24">
        <v>42856</v>
      </c>
      <c r="H5" s="192">
        <v>0</v>
      </c>
      <c r="I5" s="26"/>
      <c r="J5" s="27"/>
      <c r="K5" s="27"/>
      <c r="L5" s="28" t="s">
        <v>546</v>
      </c>
      <c r="M5" s="29">
        <v>0</v>
      </c>
      <c r="N5" s="30"/>
    </row>
    <row r="6" spans="1:14" ht="15.75" thickBot="1" x14ac:dyDescent="0.3">
      <c r="A6" s="18">
        <v>42857</v>
      </c>
      <c r="B6" s="34">
        <v>27693</v>
      </c>
      <c r="C6" s="20" t="s">
        <v>537</v>
      </c>
      <c r="D6" s="21">
        <v>42857</v>
      </c>
      <c r="E6" s="35">
        <v>27726</v>
      </c>
      <c r="F6" s="36"/>
      <c r="G6" s="24">
        <v>42857</v>
      </c>
      <c r="H6" s="37">
        <v>33</v>
      </c>
      <c r="I6" s="38"/>
      <c r="J6" s="39" t="s">
        <v>15</v>
      </c>
      <c r="K6" s="40">
        <v>549</v>
      </c>
      <c r="L6" s="28" t="s">
        <v>547</v>
      </c>
      <c r="M6" s="29">
        <v>0</v>
      </c>
      <c r="N6" s="30"/>
    </row>
    <row r="7" spans="1:14" ht="15.75" thickBot="1" x14ac:dyDescent="0.3">
      <c r="A7" s="18">
        <v>42858</v>
      </c>
      <c r="B7" s="34">
        <v>36305</v>
      </c>
      <c r="C7" s="20" t="s">
        <v>538</v>
      </c>
      <c r="D7" s="21">
        <v>42858</v>
      </c>
      <c r="E7" s="35">
        <v>31205.5</v>
      </c>
      <c r="F7" s="23"/>
      <c r="G7" s="24">
        <v>42858</v>
      </c>
      <c r="H7" s="37">
        <v>0</v>
      </c>
      <c r="I7" s="38"/>
      <c r="J7" s="43" t="s">
        <v>18</v>
      </c>
      <c r="K7" s="44">
        <v>17806</v>
      </c>
      <c r="L7" s="28" t="s">
        <v>548</v>
      </c>
      <c r="M7" s="29">
        <v>0</v>
      </c>
      <c r="N7" s="45"/>
    </row>
    <row r="8" spans="1:14" ht="15.75" thickBot="1" x14ac:dyDescent="0.3">
      <c r="A8" s="18">
        <v>42859</v>
      </c>
      <c r="B8" s="34">
        <v>37139</v>
      </c>
      <c r="C8" s="48" t="s">
        <v>539</v>
      </c>
      <c r="D8" s="21">
        <v>42859</v>
      </c>
      <c r="E8" s="35">
        <v>44586</v>
      </c>
      <c r="F8" s="23"/>
      <c r="G8" s="24">
        <v>42859</v>
      </c>
      <c r="H8" s="37">
        <v>0</v>
      </c>
      <c r="I8" s="38"/>
      <c r="J8" s="39" t="s">
        <v>22</v>
      </c>
      <c r="K8" s="36">
        <f>7187.5+7187.5+7187.5+7187.5</f>
        <v>28750</v>
      </c>
      <c r="L8" s="49" t="s">
        <v>549</v>
      </c>
      <c r="M8" s="29">
        <v>0</v>
      </c>
      <c r="N8" s="45"/>
    </row>
    <row r="9" spans="1:14" ht="15.75" thickBot="1" x14ac:dyDescent="0.3">
      <c r="A9" s="18">
        <v>42860</v>
      </c>
      <c r="B9" s="34">
        <v>72814</v>
      </c>
      <c r="C9" s="50" t="s">
        <v>540</v>
      </c>
      <c r="D9" s="21">
        <v>42860</v>
      </c>
      <c r="E9" s="35">
        <v>72819</v>
      </c>
      <c r="F9" s="23"/>
      <c r="G9" s="24">
        <v>42860</v>
      </c>
      <c r="H9" s="37">
        <v>5</v>
      </c>
      <c r="I9" s="38" t="s">
        <v>543</v>
      </c>
      <c r="J9" s="39" t="s">
        <v>500</v>
      </c>
      <c r="K9" s="36">
        <v>9291.2999999999993</v>
      </c>
      <c r="L9" s="49" t="s">
        <v>550</v>
      </c>
      <c r="M9" s="29">
        <v>0</v>
      </c>
      <c r="N9" s="30"/>
    </row>
    <row r="10" spans="1:14" ht="15.75" thickBot="1" x14ac:dyDescent="0.3">
      <c r="A10" s="18">
        <v>42861</v>
      </c>
      <c r="B10" s="34">
        <v>96589</v>
      </c>
      <c r="C10" s="48" t="s">
        <v>541</v>
      </c>
      <c r="D10" s="21">
        <v>42861</v>
      </c>
      <c r="E10" s="35">
        <v>96594</v>
      </c>
      <c r="F10" s="23"/>
      <c r="G10" s="24">
        <v>42861</v>
      </c>
      <c r="H10" s="37">
        <v>5</v>
      </c>
      <c r="I10" s="51" t="s">
        <v>588</v>
      </c>
      <c r="J10" s="39" t="s">
        <v>501</v>
      </c>
      <c r="K10" s="36">
        <v>9291.2999999999993</v>
      </c>
      <c r="L10" s="28" t="s">
        <v>551</v>
      </c>
      <c r="M10" s="29">
        <v>0</v>
      </c>
      <c r="N10" s="45"/>
    </row>
    <row r="11" spans="1:14" ht="15.75" thickBot="1" x14ac:dyDescent="0.3">
      <c r="A11" s="18">
        <v>42862</v>
      </c>
      <c r="B11" s="34">
        <v>63759.5</v>
      </c>
      <c r="C11" s="48" t="s">
        <v>544</v>
      </c>
      <c r="D11" s="21">
        <v>42862</v>
      </c>
      <c r="E11" s="35">
        <v>72169</v>
      </c>
      <c r="F11" s="23"/>
      <c r="G11" s="24">
        <v>42862</v>
      </c>
      <c r="H11" s="37">
        <v>10</v>
      </c>
      <c r="I11" s="51" t="s">
        <v>589</v>
      </c>
      <c r="J11" s="39" t="s">
        <v>502</v>
      </c>
      <c r="K11" s="36">
        <v>8234.57</v>
      </c>
      <c r="L11" s="28" t="s">
        <v>552</v>
      </c>
      <c r="M11" s="29">
        <v>0</v>
      </c>
      <c r="N11" s="30"/>
    </row>
    <row r="12" spans="1:14" ht="15.75" thickBot="1" x14ac:dyDescent="0.3">
      <c r="A12" s="18">
        <v>42863</v>
      </c>
      <c r="B12" s="34">
        <v>51683</v>
      </c>
      <c r="C12" s="48" t="s">
        <v>553</v>
      </c>
      <c r="D12" s="21">
        <v>42863</v>
      </c>
      <c r="E12" s="35">
        <v>51683</v>
      </c>
      <c r="F12" s="23"/>
      <c r="G12" s="24">
        <v>42863</v>
      </c>
      <c r="H12" s="37">
        <v>0</v>
      </c>
      <c r="I12" s="38" t="s">
        <v>606</v>
      </c>
      <c r="J12" s="39" t="s">
        <v>542</v>
      </c>
      <c r="K12" s="36">
        <v>8234.57</v>
      </c>
      <c r="L12" s="28" t="s">
        <v>545</v>
      </c>
      <c r="M12" s="29">
        <v>0</v>
      </c>
      <c r="N12" s="30"/>
    </row>
    <row r="13" spans="1:14" ht="15.75" thickBot="1" x14ac:dyDescent="0.3">
      <c r="A13" s="18">
        <v>42864</v>
      </c>
      <c r="B13" s="34">
        <v>35060</v>
      </c>
      <c r="C13" s="48" t="s">
        <v>557</v>
      </c>
      <c r="D13" s="21">
        <v>42864</v>
      </c>
      <c r="E13" s="35">
        <v>35070</v>
      </c>
      <c r="F13" s="23"/>
      <c r="G13" s="24">
        <v>42864</v>
      </c>
      <c r="H13" s="37">
        <v>10</v>
      </c>
      <c r="I13" s="38"/>
      <c r="J13" s="52"/>
      <c r="K13" s="40">
        <v>0</v>
      </c>
      <c r="L13" s="28" t="s">
        <v>558</v>
      </c>
      <c r="M13" s="29">
        <v>0</v>
      </c>
      <c r="N13" s="45"/>
    </row>
    <row r="14" spans="1:14" ht="15.75" thickBot="1" x14ac:dyDescent="0.3">
      <c r="A14" s="18">
        <v>42865</v>
      </c>
      <c r="B14" s="34">
        <v>29417</v>
      </c>
      <c r="C14" s="50" t="s">
        <v>560</v>
      </c>
      <c r="D14" s="21">
        <v>42865</v>
      </c>
      <c r="E14" s="35">
        <v>29929</v>
      </c>
      <c r="F14" s="23"/>
      <c r="G14" s="24">
        <v>42865</v>
      </c>
      <c r="H14" s="37">
        <v>512</v>
      </c>
      <c r="I14" s="38"/>
      <c r="J14" s="53"/>
      <c r="K14" s="40">
        <v>0</v>
      </c>
      <c r="L14" s="28" t="s">
        <v>559</v>
      </c>
      <c r="M14" s="29">
        <v>0</v>
      </c>
      <c r="N14" s="45"/>
    </row>
    <row r="15" spans="1:14" ht="15.75" thickBot="1" x14ac:dyDescent="0.3">
      <c r="A15" s="18">
        <v>42866</v>
      </c>
      <c r="B15" s="34">
        <v>33819</v>
      </c>
      <c r="C15" s="50" t="s">
        <v>562</v>
      </c>
      <c r="D15" s="21">
        <v>42866</v>
      </c>
      <c r="E15" s="35">
        <v>38422</v>
      </c>
      <c r="F15" s="23"/>
      <c r="G15" s="24">
        <v>42866</v>
      </c>
      <c r="H15" s="37">
        <v>0</v>
      </c>
      <c r="I15" s="38"/>
      <c r="J15" s="52" t="s">
        <v>44</v>
      </c>
      <c r="K15" s="40">
        <v>0</v>
      </c>
      <c r="L15" s="28" t="s">
        <v>561</v>
      </c>
      <c r="M15" s="29">
        <v>0</v>
      </c>
      <c r="N15" s="45"/>
    </row>
    <row r="16" spans="1:14" ht="15.75" thickBot="1" x14ac:dyDescent="0.3">
      <c r="A16" s="18">
        <v>42867</v>
      </c>
      <c r="B16" s="34">
        <v>51013</v>
      </c>
      <c r="C16" s="50" t="s">
        <v>564</v>
      </c>
      <c r="D16" s="21">
        <v>42867</v>
      </c>
      <c r="E16" s="35">
        <v>51013</v>
      </c>
      <c r="F16" s="23"/>
      <c r="G16" s="24">
        <v>42867</v>
      </c>
      <c r="H16" s="37">
        <v>0</v>
      </c>
      <c r="I16" s="38"/>
      <c r="J16" s="54"/>
      <c r="K16" s="55">
        <v>0</v>
      </c>
      <c r="L16" s="28" t="s">
        <v>563</v>
      </c>
      <c r="M16" s="29">
        <v>0</v>
      </c>
      <c r="N16" s="45"/>
    </row>
    <row r="17" spans="1:14" ht="15.75" thickBot="1" x14ac:dyDescent="0.3">
      <c r="A17" s="18">
        <v>42868</v>
      </c>
      <c r="B17" s="34">
        <v>87300</v>
      </c>
      <c r="C17" s="50" t="s">
        <v>566</v>
      </c>
      <c r="D17" s="21">
        <v>42868</v>
      </c>
      <c r="E17" s="35">
        <v>93648</v>
      </c>
      <c r="F17" s="23"/>
      <c r="G17" s="24">
        <v>42868</v>
      </c>
      <c r="H17" s="37">
        <v>0</v>
      </c>
      <c r="I17" s="38"/>
      <c r="J17" s="522" t="s">
        <v>49</v>
      </c>
      <c r="K17" s="55">
        <v>0</v>
      </c>
      <c r="L17" s="28" t="s">
        <v>565</v>
      </c>
      <c r="M17" s="29">
        <v>0</v>
      </c>
      <c r="N17" s="45"/>
    </row>
    <row r="18" spans="1:14" ht="15.75" thickBot="1" x14ac:dyDescent="0.3">
      <c r="A18" s="18">
        <v>42869</v>
      </c>
      <c r="B18" s="34">
        <v>67550.5</v>
      </c>
      <c r="C18" s="48" t="s">
        <v>568</v>
      </c>
      <c r="D18" s="21">
        <v>42869</v>
      </c>
      <c r="E18" s="35">
        <v>52534</v>
      </c>
      <c r="F18" s="23"/>
      <c r="G18" s="24">
        <v>42869</v>
      </c>
      <c r="H18" s="37">
        <v>10</v>
      </c>
      <c r="I18" s="56"/>
      <c r="J18" s="522"/>
      <c r="K18" s="29">
        <v>0</v>
      </c>
      <c r="L18" s="386" t="s">
        <v>567</v>
      </c>
      <c r="M18" s="29">
        <v>0</v>
      </c>
      <c r="N18" s="45"/>
    </row>
    <row r="19" spans="1:14" ht="15.75" thickBot="1" x14ac:dyDescent="0.3">
      <c r="A19" s="18">
        <v>42870</v>
      </c>
      <c r="B19" s="34">
        <v>53896.5</v>
      </c>
      <c r="C19" s="50" t="s">
        <v>570</v>
      </c>
      <c r="D19" s="21">
        <v>42870</v>
      </c>
      <c r="E19" s="35">
        <v>53906.3</v>
      </c>
      <c r="F19" s="23"/>
      <c r="G19" s="24">
        <v>42870</v>
      </c>
      <c r="H19" s="37">
        <v>10</v>
      </c>
      <c r="I19" s="38"/>
      <c r="J19" s="52" t="s">
        <v>54</v>
      </c>
      <c r="K19" s="29">
        <v>0</v>
      </c>
      <c r="L19" s="28" t="s">
        <v>569</v>
      </c>
      <c r="M19" s="29">
        <v>0</v>
      </c>
      <c r="N19" s="45"/>
    </row>
    <row r="20" spans="1:14" ht="15.75" thickBot="1" x14ac:dyDescent="0.3">
      <c r="A20" s="18">
        <v>42871</v>
      </c>
      <c r="B20" s="34">
        <v>37951.5</v>
      </c>
      <c r="C20" s="57" t="s">
        <v>572</v>
      </c>
      <c r="D20" s="21">
        <v>42871</v>
      </c>
      <c r="E20" s="35">
        <v>31703.5</v>
      </c>
      <c r="F20" s="23"/>
      <c r="G20" s="24">
        <v>42871</v>
      </c>
      <c r="H20" s="37">
        <v>0</v>
      </c>
      <c r="I20" s="58"/>
      <c r="J20" s="59" t="s">
        <v>57</v>
      </c>
      <c r="K20" s="60">
        <v>0</v>
      </c>
      <c r="L20" s="28" t="s">
        <v>571</v>
      </c>
      <c r="M20" s="29">
        <v>0</v>
      </c>
      <c r="N20" s="45"/>
    </row>
    <row r="21" spans="1:14" ht="15.75" thickBot="1" x14ac:dyDescent="0.3">
      <c r="A21" s="18">
        <v>42872</v>
      </c>
      <c r="B21" s="34">
        <v>35343</v>
      </c>
      <c r="C21" s="57" t="s">
        <v>574</v>
      </c>
      <c r="D21" s="21">
        <v>42872</v>
      </c>
      <c r="E21" s="35">
        <v>30640</v>
      </c>
      <c r="F21" s="23"/>
      <c r="G21" s="24">
        <v>42872</v>
      </c>
      <c r="H21" s="37">
        <v>0</v>
      </c>
      <c r="I21" s="38"/>
      <c r="J21" s="61"/>
      <c r="K21" s="60">
        <v>0</v>
      </c>
      <c r="L21" s="28" t="s">
        <v>573</v>
      </c>
      <c r="M21" s="29">
        <v>0</v>
      </c>
      <c r="N21" s="45"/>
    </row>
    <row r="22" spans="1:14" ht="15.75" thickBot="1" x14ac:dyDescent="0.3">
      <c r="A22" s="18">
        <v>42873</v>
      </c>
      <c r="B22" s="34">
        <v>47132.5</v>
      </c>
      <c r="C22" s="50" t="s">
        <v>576</v>
      </c>
      <c r="D22" s="21">
        <v>42873</v>
      </c>
      <c r="E22" s="35">
        <v>47968.5</v>
      </c>
      <c r="F22" s="23"/>
      <c r="G22" s="24">
        <v>42873</v>
      </c>
      <c r="H22" s="37">
        <v>0</v>
      </c>
      <c r="I22" s="58"/>
      <c r="J22" s="62"/>
      <c r="K22" s="60">
        <v>0</v>
      </c>
      <c r="L22" s="28" t="s">
        <v>575</v>
      </c>
      <c r="M22" s="29">
        <v>0</v>
      </c>
      <c r="N22" s="45"/>
    </row>
    <row r="23" spans="1:14" ht="15.75" thickBot="1" x14ac:dyDescent="0.3">
      <c r="A23" s="18">
        <v>42874</v>
      </c>
      <c r="B23" s="34">
        <v>46578</v>
      </c>
      <c r="C23" s="50" t="s">
        <v>576</v>
      </c>
      <c r="D23" s="21">
        <v>42874</v>
      </c>
      <c r="E23" s="35">
        <v>46578</v>
      </c>
      <c r="F23" s="23"/>
      <c r="G23" s="24">
        <v>42874</v>
      </c>
      <c r="H23" s="37">
        <v>0</v>
      </c>
      <c r="I23" s="38"/>
      <c r="J23" s="63"/>
      <c r="K23" s="60">
        <v>0</v>
      </c>
      <c r="L23" s="28" t="s">
        <v>586</v>
      </c>
      <c r="M23" s="29">
        <v>0</v>
      </c>
      <c r="N23" s="45"/>
    </row>
    <row r="24" spans="1:14" ht="15.75" thickBot="1" x14ac:dyDescent="0.3">
      <c r="A24" s="18">
        <v>42875</v>
      </c>
      <c r="B24" s="34">
        <v>84225.5</v>
      </c>
      <c r="C24" s="50" t="s">
        <v>587</v>
      </c>
      <c r="D24" s="21">
        <v>42875</v>
      </c>
      <c r="E24" s="35">
        <v>86668.5</v>
      </c>
      <c r="F24" s="23"/>
      <c r="G24" s="24">
        <v>42875</v>
      </c>
      <c r="H24" s="37">
        <v>33</v>
      </c>
      <c r="I24" s="38"/>
      <c r="J24" s="359" t="s">
        <v>66</v>
      </c>
      <c r="K24" s="60">
        <v>870</v>
      </c>
      <c r="L24" s="28" t="s">
        <v>590</v>
      </c>
      <c r="M24" s="29">
        <v>0</v>
      </c>
      <c r="N24" s="45"/>
    </row>
    <row r="25" spans="1:14" ht="15.75" thickBot="1" x14ac:dyDescent="0.3">
      <c r="A25" s="18">
        <v>42876</v>
      </c>
      <c r="B25" s="34">
        <v>64806.5</v>
      </c>
      <c r="C25" s="57" t="s">
        <v>592</v>
      </c>
      <c r="D25" s="21">
        <v>42876</v>
      </c>
      <c r="E25" s="35">
        <v>63980.5</v>
      </c>
      <c r="F25" s="23"/>
      <c r="G25" s="24">
        <v>42876</v>
      </c>
      <c r="H25" s="37">
        <v>10</v>
      </c>
      <c r="I25" s="38"/>
      <c r="J25" s="68">
        <v>42859</v>
      </c>
      <c r="K25" s="60">
        <v>0</v>
      </c>
      <c r="L25" s="28" t="s">
        <v>591</v>
      </c>
      <c r="M25" s="29">
        <v>0</v>
      </c>
      <c r="N25" s="45"/>
    </row>
    <row r="26" spans="1:14" ht="15.75" thickBot="1" x14ac:dyDescent="0.3">
      <c r="A26" s="18">
        <v>42877</v>
      </c>
      <c r="B26" s="34">
        <v>53801.5</v>
      </c>
      <c r="C26" s="50" t="s">
        <v>594</v>
      </c>
      <c r="D26" s="21">
        <v>42877</v>
      </c>
      <c r="E26" s="35">
        <v>56673.5</v>
      </c>
      <c r="F26" s="23"/>
      <c r="G26" s="24">
        <v>42877</v>
      </c>
      <c r="H26" s="37">
        <v>0</v>
      </c>
      <c r="I26" s="38"/>
      <c r="J26" s="360" t="s">
        <v>73</v>
      </c>
      <c r="K26" s="60">
        <v>900</v>
      </c>
      <c r="L26" s="28" t="s">
        <v>593</v>
      </c>
      <c r="M26" s="29">
        <v>0</v>
      </c>
      <c r="N26" s="45"/>
    </row>
    <row r="27" spans="1:14" ht="15.75" thickBot="1" x14ac:dyDescent="0.3">
      <c r="A27" s="18">
        <v>42878</v>
      </c>
      <c r="B27" s="34">
        <v>18349</v>
      </c>
      <c r="C27" s="50" t="s">
        <v>596</v>
      </c>
      <c r="D27" s="21">
        <v>42878</v>
      </c>
      <c r="E27" s="35">
        <v>18349</v>
      </c>
      <c r="F27" s="23"/>
      <c r="G27" s="24">
        <v>42878</v>
      </c>
      <c r="H27" s="37">
        <v>0</v>
      </c>
      <c r="I27" s="38"/>
      <c r="J27" s="68">
        <v>42879</v>
      </c>
      <c r="K27" s="60">
        <v>0</v>
      </c>
      <c r="L27" s="28" t="s">
        <v>595</v>
      </c>
      <c r="M27" s="29">
        <v>0</v>
      </c>
    </row>
    <row r="28" spans="1:14" ht="15.75" thickBot="1" x14ac:dyDescent="0.3">
      <c r="A28" s="18">
        <v>42879</v>
      </c>
      <c r="B28" s="34">
        <v>29681</v>
      </c>
      <c r="C28" s="50" t="s">
        <v>596</v>
      </c>
      <c r="D28" s="21">
        <v>42879</v>
      </c>
      <c r="E28" s="35">
        <v>30581</v>
      </c>
      <c r="F28" s="23"/>
      <c r="G28" s="24">
        <v>42879</v>
      </c>
      <c r="H28" s="37">
        <v>0</v>
      </c>
      <c r="I28" s="38"/>
      <c r="J28" s="358" t="s">
        <v>442</v>
      </c>
      <c r="K28" s="60">
        <v>0</v>
      </c>
      <c r="L28" s="75" t="s">
        <v>597</v>
      </c>
      <c r="M28" s="29">
        <v>0</v>
      </c>
    </row>
    <row r="29" spans="1:14" ht="15.75" thickBot="1" x14ac:dyDescent="0.3">
      <c r="A29" s="18">
        <v>42880</v>
      </c>
      <c r="B29" s="34">
        <v>32389</v>
      </c>
      <c r="C29" s="50" t="s">
        <v>598</v>
      </c>
      <c r="D29" s="21">
        <v>42880</v>
      </c>
      <c r="E29" s="35">
        <v>35019</v>
      </c>
      <c r="F29" s="23"/>
      <c r="G29" s="24">
        <v>42880</v>
      </c>
      <c r="H29" s="37">
        <v>110</v>
      </c>
      <c r="I29" s="38"/>
      <c r="J29" s="68"/>
      <c r="K29" s="60">
        <v>0</v>
      </c>
      <c r="L29" s="28" t="s">
        <v>599</v>
      </c>
      <c r="M29" s="29">
        <v>0</v>
      </c>
    </row>
    <row r="30" spans="1:14" ht="15.75" thickBot="1" x14ac:dyDescent="0.3">
      <c r="A30" s="18">
        <v>42881</v>
      </c>
      <c r="B30" s="34">
        <v>65691.5</v>
      </c>
      <c r="C30" s="57" t="s">
        <v>601</v>
      </c>
      <c r="D30" s="21">
        <v>42881</v>
      </c>
      <c r="E30" s="35">
        <v>60442.5</v>
      </c>
      <c r="F30" s="23"/>
      <c r="G30" s="24">
        <v>42881</v>
      </c>
      <c r="H30" s="37">
        <v>33</v>
      </c>
      <c r="I30" s="38"/>
      <c r="J30" s="76" t="s">
        <v>82</v>
      </c>
      <c r="K30" s="60">
        <v>0</v>
      </c>
      <c r="L30" s="75" t="s">
        <v>600</v>
      </c>
      <c r="M30" s="29">
        <v>0</v>
      </c>
    </row>
    <row r="31" spans="1:14" ht="15.75" thickBot="1" x14ac:dyDescent="0.3">
      <c r="A31" s="18">
        <v>42882</v>
      </c>
      <c r="B31" s="34">
        <v>80224.5</v>
      </c>
      <c r="C31" s="57" t="s">
        <v>603</v>
      </c>
      <c r="D31" s="21">
        <v>42882</v>
      </c>
      <c r="E31" s="35">
        <v>81336.5</v>
      </c>
      <c r="F31" s="23"/>
      <c r="G31" s="24">
        <v>42882</v>
      </c>
      <c r="H31" s="37">
        <v>0</v>
      </c>
      <c r="I31" s="38"/>
      <c r="J31" s="77"/>
      <c r="K31" s="60">
        <v>0</v>
      </c>
      <c r="L31" s="75" t="s">
        <v>602</v>
      </c>
      <c r="M31" s="29">
        <v>0</v>
      </c>
    </row>
    <row r="32" spans="1:14" ht="15.75" thickBot="1" x14ac:dyDescent="0.3">
      <c r="A32" s="18">
        <v>42883</v>
      </c>
      <c r="B32" s="34">
        <v>74885.5</v>
      </c>
      <c r="C32" s="48" t="s">
        <v>605</v>
      </c>
      <c r="D32" s="21">
        <v>42883</v>
      </c>
      <c r="E32" s="35">
        <v>72375.5</v>
      </c>
      <c r="F32" s="23"/>
      <c r="G32" s="24">
        <v>42883</v>
      </c>
      <c r="H32" s="37">
        <v>10</v>
      </c>
      <c r="I32" s="38"/>
      <c r="J32" s="76"/>
      <c r="K32" s="40"/>
      <c r="L32" s="28" t="s">
        <v>604</v>
      </c>
      <c r="M32" s="29">
        <v>0</v>
      </c>
    </row>
    <row r="33" spans="1:13" ht="15.75" thickBot="1" x14ac:dyDescent="0.3">
      <c r="A33" s="18">
        <v>42884</v>
      </c>
      <c r="B33" s="34">
        <v>0</v>
      </c>
      <c r="C33" s="48"/>
      <c r="D33" s="21">
        <v>42884</v>
      </c>
      <c r="E33" s="35">
        <v>52905</v>
      </c>
      <c r="F33" s="23"/>
      <c r="G33" s="24">
        <v>42884</v>
      </c>
      <c r="H33" s="37">
        <v>20</v>
      </c>
      <c r="I33" s="38"/>
      <c r="J33" s="190"/>
      <c r="K33" s="191"/>
      <c r="L33" s="28" t="s">
        <v>622</v>
      </c>
      <c r="M33" s="29">
        <v>52885</v>
      </c>
    </row>
    <row r="34" spans="1:13" ht="15.75" thickBot="1" x14ac:dyDescent="0.3">
      <c r="A34" s="18">
        <v>42885</v>
      </c>
      <c r="B34" s="34">
        <v>0</v>
      </c>
      <c r="C34" s="57"/>
      <c r="D34" s="21">
        <v>42885</v>
      </c>
      <c r="E34" s="35">
        <v>20625.5</v>
      </c>
      <c r="F34" s="23"/>
      <c r="G34" s="24">
        <v>42885</v>
      </c>
      <c r="H34" s="37">
        <v>0</v>
      </c>
      <c r="I34" s="38"/>
      <c r="J34" s="190"/>
      <c r="K34" s="191"/>
      <c r="L34" s="80" t="s">
        <v>623</v>
      </c>
      <c r="M34" s="29">
        <v>20625.400000000001</v>
      </c>
    </row>
    <row r="35" spans="1:13" ht="15.75" thickBot="1" x14ac:dyDescent="0.3">
      <c r="A35" s="18">
        <v>42886</v>
      </c>
      <c r="B35" s="34">
        <v>30593.5</v>
      </c>
      <c r="C35" s="20" t="s">
        <v>641</v>
      </c>
      <c r="D35" s="21">
        <v>42886</v>
      </c>
      <c r="E35" s="35">
        <v>44120</v>
      </c>
      <c r="F35" s="23"/>
      <c r="G35" s="24">
        <v>42886</v>
      </c>
      <c r="H35" s="37">
        <v>0</v>
      </c>
      <c r="I35" s="38"/>
      <c r="J35" s="76"/>
      <c r="K35" s="40"/>
      <c r="L35" s="81" t="s">
        <v>624</v>
      </c>
      <c r="M35" s="29">
        <v>13526.5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87036.9</v>
      </c>
    </row>
    <row r="38" spans="1:13" x14ac:dyDescent="0.25">
      <c r="A38" s="98" t="s">
        <v>85</v>
      </c>
      <c r="B38" s="99">
        <f>SUM(B5:B37)</f>
        <v>1493860</v>
      </c>
      <c r="D38" s="100" t="s">
        <v>85</v>
      </c>
      <c r="E38" s="101">
        <f>SUM(E5:E37)</f>
        <v>1579440.3</v>
      </c>
      <c r="G38" s="384" t="s">
        <v>85</v>
      </c>
      <c r="H38" s="4">
        <f>SUM(H5:H37)</f>
        <v>811</v>
      </c>
      <c r="I38" s="4"/>
      <c r="J38" s="102" t="s">
        <v>85</v>
      </c>
      <c r="K38" s="103">
        <f t="shared" ref="K38" si="0">SUM(K5:K37)</f>
        <v>83926.74000000002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8" t="s">
        <v>86</v>
      </c>
      <c r="H40" s="519"/>
      <c r="I40" s="385"/>
      <c r="J40" s="520">
        <f>H38+K38</f>
        <v>84737.74000000002</v>
      </c>
      <c r="K40" s="521"/>
      <c r="L40" s="108"/>
      <c r="M40" s="108"/>
    </row>
    <row r="41" spans="1:13" ht="15.75" x14ac:dyDescent="0.25">
      <c r="A41" s="1"/>
      <c r="B41" s="5"/>
      <c r="C41" s="540" t="s">
        <v>87</v>
      </c>
      <c r="D41" s="540"/>
      <c r="E41" s="109">
        <f>E38-J40</f>
        <v>1494702.56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-1512441.64</v>
      </c>
      <c r="H43" s="539"/>
      <c r="I43" s="539"/>
      <c r="J43" s="53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-17739.079999999842</v>
      </c>
      <c r="H44" s="541" t="s">
        <v>91</v>
      </c>
      <c r="I44" s="541"/>
      <c r="J44" s="542">
        <f>E46</f>
        <v>100576.92000000016</v>
      </c>
      <c r="K44" s="54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118316</v>
      </c>
      <c r="H45" s="544" t="s">
        <v>3</v>
      </c>
      <c r="I45" s="544"/>
      <c r="J45" s="529">
        <f>-B4</f>
        <v>-125393.1</v>
      </c>
      <c r="K45" s="52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100576.92000000016</v>
      </c>
      <c r="I46" s="116"/>
      <c r="J46" s="534">
        <v>0</v>
      </c>
      <c r="K46" s="534"/>
      <c r="L46" s="108"/>
      <c r="M46" s="108"/>
    </row>
    <row r="47" spans="1:13" ht="19.5" thickBot="1" x14ac:dyDescent="0.3">
      <c r="A47" s="1"/>
      <c r="B47" s="5"/>
      <c r="E47" s="109"/>
      <c r="H47" s="535" t="s">
        <v>270</v>
      </c>
      <c r="I47" s="536"/>
      <c r="J47" s="537">
        <f>SUM(J44:K46)</f>
        <v>-24816.179999999847</v>
      </c>
      <c r="K47" s="538"/>
      <c r="L47" s="108"/>
      <c r="M47" s="108"/>
    </row>
    <row r="48" spans="1:13" x14ac:dyDescent="0.25">
      <c r="A48" s="1"/>
      <c r="B48" s="5"/>
      <c r="C48" s="539"/>
      <c r="D48" s="53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C3:E3"/>
    <mergeCell ref="F3:G3"/>
    <mergeCell ref="A3:A4"/>
    <mergeCell ref="D4:E4"/>
    <mergeCell ref="H4:K4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A B R I L     2 0 1 7   </vt:lpstr>
      <vt:lpstr>REMISIONES  ABRIL  2017    </vt:lpstr>
      <vt:lpstr>M A Y O   2 0 1 7   </vt:lpstr>
      <vt:lpstr>REMISIONES  MAYO  2017   </vt:lpstr>
      <vt:lpstr>J U N I O    2 0 1 7    </vt:lpstr>
      <vt:lpstr>REMISIONES  JUNIO  2017    </vt:lpstr>
      <vt:lpstr>J U L I O   2 0 1 7       </vt:lpstr>
      <vt:lpstr>REMISIONES   J U L I O   2017</vt:lpstr>
      <vt:lpstr>A G O S T O    2 0 1 7     </vt:lpstr>
      <vt:lpstr>REMISIONES  AGOSTO 2017</vt:lpstr>
      <vt:lpstr>SEPTIEMBRE   2017     </vt:lpstr>
      <vt:lpstr>REMISIONES  SEPTIEMBRE  2017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2017-09-08T16:35:28Z</cp:lastPrinted>
  <dcterms:created xsi:type="dcterms:W3CDTF">2017-02-14T14:35:35Z</dcterms:created>
  <dcterms:modified xsi:type="dcterms:W3CDTF">2017-09-09T19:28:24Z</dcterms:modified>
</cp:coreProperties>
</file>