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7\"/>
    </mc:Choice>
  </mc:AlternateContent>
  <bookViews>
    <workbookView xWindow="0" yWindow="0" windowWidth="24000" windowHeight="9735" firstSheet="15" activeTab="17"/>
  </bookViews>
  <sheets>
    <sheet name="E N E R O  2 0 1 7     " sheetId="1" r:id="rId1"/>
    <sheet name="Hoja1" sheetId="21" r:id="rId2"/>
    <sheet name="REMISIONES ENERO 2017   " sheetId="2" r:id="rId3"/>
    <sheet name="F E B R E R O   2 0 1 7     " sheetId="3" r:id="rId4"/>
    <sheet name="REMISIONES  FEBRERO  2017    " sheetId="4" r:id="rId5"/>
    <sheet name="M A R Z O  2 0 1 7     " sheetId="6" r:id="rId6"/>
    <sheet name="REMISIONES MARZO 2017  " sheetId="7" r:id="rId7"/>
    <sheet name="A B R I L   2 0 1 7      " sheetId="8" r:id="rId8"/>
    <sheet name="REMISIONES  ABRIL  2017     " sheetId="9" r:id="rId9"/>
    <sheet name="M A Y O      2 0 1 7    " sheetId="10" r:id="rId10"/>
    <sheet name="REMISIONES  MAYO   2017   " sheetId="11" r:id="rId11"/>
    <sheet name="J U N I O     2 0 1 7    " sheetId="12" r:id="rId12"/>
    <sheet name="REMISIONES JUNIO 2017      " sheetId="13" r:id="rId13"/>
    <sheet name="J U L I O     2 0 1 7      " sheetId="14" r:id="rId14"/>
    <sheet name="REMISIONES  JULIO   2017" sheetId="15" r:id="rId15"/>
    <sheet name="A G O S T O     2 0 1 7    " sheetId="16" r:id="rId16"/>
    <sheet name="REMISIONES Ago 2 0 1 7    " sheetId="18" r:id="rId17"/>
    <sheet name="SEPTIEMBRE   2017   " sheetId="19" r:id="rId18"/>
    <sheet name="REMISIONES Septiembre 2017" sheetId="20" r:id="rId19"/>
    <sheet name="Hoja5" sheetId="17" r:id="rId20"/>
    <sheet name="Hoja2" sheetId="22" r:id="rId21"/>
    <sheet name="Hoja3" sheetId="23" r:id="rId22"/>
    <sheet name="Hoja4" sheetId="24" r:id="rId23"/>
    <sheet name="Hoja6" sheetId="25" r:id="rId24"/>
    <sheet name="Hoja7" sheetId="26" r:id="rId25"/>
    <sheet name="Hoja8" sheetId="27" r:id="rId26"/>
    <sheet name="ELIAS Y PEPE    2 0 1 7     " sheetId="28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0" l="1"/>
  <c r="J54" i="20"/>
  <c r="L54" i="20"/>
  <c r="O54" i="20"/>
  <c r="J51" i="20"/>
  <c r="J49" i="20"/>
  <c r="J48" i="20" l="1"/>
  <c r="E8" i="20" l="1"/>
  <c r="J41" i="20"/>
  <c r="O41" i="20"/>
  <c r="L41" i="20"/>
  <c r="J39" i="20"/>
  <c r="J38" i="20"/>
  <c r="J35" i="20"/>
  <c r="J33" i="20"/>
  <c r="J32" i="20"/>
  <c r="J31" i="20"/>
  <c r="J29" i="20"/>
  <c r="J28" i="20"/>
  <c r="F23" i="28" l="1"/>
  <c r="C26" i="28"/>
  <c r="L38" i="16"/>
  <c r="E32" i="18" l="1"/>
  <c r="J18" i="20"/>
  <c r="O18" i="20"/>
  <c r="J7" i="20"/>
  <c r="J5" i="20"/>
  <c r="J9" i="20"/>
  <c r="L9" i="19"/>
  <c r="J8" i="20"/>
  <c r="L12" i="16" l="1"/>
  <c r="L18" i="20" l="1"/>
  <c r="C65" i="20" l="1"/>
  <c r="E31" i="20"/>
  <c r="C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K47" i="19"/>
  <c r="L38" i="19"/>
  <c r="I38" i="19"/>
  <c r="F38" i="19"/>
  <c r="C38" i="19"/>
  <c r="M37" i="19"/>
  <c r="N36" i="19"/>
  <c r="K40" i="19" l="1"/>
  <c r="F41" i="19" s="1"/>
  <c r="F44" i="19" s="1"/>
  <c r="F48" i="19" s="1"/>
  <c r="K44" i="19" s="1"/>
  <c r="K49" i="19" s="1"/>
  <c r="F31" i="20"/>
  <c r="E23" i="18" l="1"/>
  <c r="X16" i="18"/>
  <c r="U16" i="18"/>
  <c r="S16" i="18"/>
  <c r="S12" i="18"/>
  <c r="S9" i="18"/>
  <c r="S8" i="18" l="1"/>
  <c r="S7" i="18"/>
  <c r="E7" i="18" l="1"/>
  <c r="O53" i="18"/>
  <c r="J47" i="18" l="1"/>
  <c r="J44" i="18"/>
  <c r="J42" i="18"/>
  <c r="J39" i="18"/>
  <c r="J37" i="18"/>
  <c r="J33" i="18" l="1"/>
  <c r="J53" i="18"/>
  <c r="L53" i="18"/>
  <c r="E32" i="15" l="1"/>
  <c r="J18" i="18" l="1"/>
  <c r="J17" i="18"/>
  <c r="J16" i="18"/>
  <c r="J14" i="18"/>
  <c r="J13" i="18" l="1"/>
  <c r="J10" i="18"/>
  <c r="J9" i="18" l="1"/>
  <c r="J7" i="18"/>
  <c r="J5" i="18"/>
  <c r="O25" i="18"/>
  <c r="L25" i="18"/>
  <c r="J25" i="18" l="1"/>
  <c r="C43" i="15"/>
  <c r="L11" i="14" l="1"/>
  <c r="C72" i="18" l="1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E38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K47" i="16"/>
  <c r="I38" i="16"/>
  <c r="F38" i="16"/>
  <c r="C38" i="16"/>
  <c r="M37" i="16"/>
  <c r="N36" i="16"/>
  <c r="F17" i="18" l="1"/>
  <c r="F38" i="18" s="1"/>
  <c r="K40" i="16"/>
  <c r="F41" i="16" s="1"/>
  <c r="F44" i="16" s="1"/>
  <c r="F48" i="16" s="1"/>
  <c r="K44" i="16" s="1"/>
  <c r="K49" i="16" s="1"/>
  <c r="R25" i="15"/>
  <c r="R23" i="15"/>
  <c r="R21" i="15"/>
  <c r="W31" i="15" l="1"/>
  <c r="T31" i="15"/>
  <c r="R31" i="15"/>
  <c r="E27" i="15" l="1"/>
  <c r="R13" i="15" l="1"/>
  <c r="T13" i="15"/>
  <c r="W13" i="15"/>
  <c r="R9" i="15"/>
  <c r="R8" i="15"/>
  <c r="R7" i="15"/>
  <c r="E17" i="15" l="1"/>
  <c r="N49" i="15"/>
  <c r="K49" i="15"/>
  <c r="I49" i="15"/>
  <c r="I47" i="15"/>
  <c r="I45" i="15"/>
  <c r="I44" i="15"/>
  <c r="I41" i="15" l="1"/>
  <c r="L10" i="14"/>
  <c r="I39" i="15"/>
  <c r="F28" i="15" l="1"/>
  <c r="E30" i="13" l="1"/>
  <c r="I26" i="15" l="1"/>
  <c r="I25" i="15"/>
  <c r="I23" i="15"/>
  <c r="I30" i="15" s="1"/>
  <c r="N30" i="15"/>
  <c r="K30" i="15"/>
  <c r="I19" i="15"/>
  <c r="I18" i="15"/>
  <c r="I14" i="15"/>
  <c r="I15" i="15"/>
  <c r="I16" i="15"/>
  <c r="I13" i="15"/>
  <c r="I10" i="15"/>
  <c r="I8" i="15"/>
  <c r="I6" i="15"/>
  <c r="X25" i="14" l="1"/>
  <c r="U25" i="14"/>
  <c r="R25" i="14"/>
  <c r="X21" i="14"/>
  <c r="R21" i="14"/>
  <c r="U21" i="14"/>
  <c r="C77" i="15" l="1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K45" i="14"/>
  <c r="L38" i="14"/>
  <c r="I38" i="14"/>
  <c r="F38" i="14"/>
  <c r="C38" i="14"/>
  <c r="M37" i="14"/>
  <c r="N36" i="14"/>
  <c r="F43" i="15" l="1"/>
  <c r="E43" i="15"/>
  <c r="K40" i="14"/>
  <c r="F41" i="14" s="1"/>
  <c r="F44" i="14" s="1"/>
  <c r="F47" i="14" s="1"/>
  <c r="K42" i="14" s="1"/>
  <c r="K47" i="14" s="1"/>
  <c r="C42" i="13"/>
  <c r="J44" i="13" l="1"/>
  <c r="O45" i="13"/>
  <c r="L45" i="13"/>
  <c r="E20" i="13" l="1"/>
  <c r="O64" i="13"/>
  <c r="L64" i="13"/>
  <c r="J60" i="13"/>
  <c r="J56" i="13"/>
  <c r="J55" i="13"/>
  <c r="J54" i="13" l="1"/>
  <c r="F34" i="13" l="1"/>
  <c r="F35" i="13"/>
  <c r="F36" i="13"/>
  <c r="F37" i="13"/>
  <c r="F38" i="13"/>
  <c r="F39" i="13"/>
  <c r="F40" i="13"/>
  <c r="F41" i="13"/>
  <c r="E10" i="13" l="1"/>
  <c r="J38" i="13"/>
  <c r="J37" i="13"/>
  <c r="J34" i="13"/>
  <c r="J32" i="13"/>
  <c r="E22" i="11" l="1"/>
  <c r="J17" i="13"/>
  <c r="J16" i="13" l="1"/>
  <c r="J4" i="13" l="1"/>
  <c r="J23" i="13"/>
  <c r="J11" i="13"/>
  <c r="J10" i="13"/>
  <c r="J8" i="13"/>
  <c r="J9" i="13" l="1"/>
  <c r="J7" i="13"/>
  <c r="O24" i="13"/>
  <c r="L24" i="13"/>
  <c r="E18" i="11" l="1"/>
  <c r="K47" i="10" l="1"/>
  <c r="C76" i="13" l="1"/>
  <c r="E42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K47" i="12"/>
  <c r="I38" i="12"/>
  <c r="F38" i="12"/>
  <c r="C38" i="12"/>
  <c r="M37" i="12"/>
  <c r="N36" i="12"/>
  <c r="L38" i="12"/>
  <c r="S7" i="12"/>
  <c r="F42" i="13" l="1"/>
  <c r="K40" i="12"/>
  <c r="F41" i="12" s="1"/>
  <c r="F44" i="12" s="1"/>
  <c r="F48" i="12" s="1"/>
  <c r="K44" i="12" s="1"/>
  <c r="K49" i="12" s="1"/>
  <c r="S8" i="11"/>
  <c r="S21" i="11" s="1"/>
  <c r="S7" i="11"/>
  <c r="S6" i="11"/>
  <c r="S4" i="11"/>
  <c r="X22" i="11"/>
  <c r="U22" i="11"/>
  <c r="E6" i="11" l="1"/>
  <c r="K50" i="11"/>
  <c r="I49" i="11"/>
  <c r="N50" i="11"/>
  <c r="I43" i="11" l="1"/>
  <c r="I42" i="11"/>
  <c r="I41" i="11"/>
  <c r="I40" i="11"/>
  <c r="I39" i="11"/>
  <c r="I38" i="11" l="1"/>
  <c r="I36" i="11"/>
  <c r="L14" i="10"/>
  <c r="I34" i="11"/>
  <c r="I33" i="11"/>
  <c r="I32" i="11"/>
  <c r="E21" i="9" l="1"/>
  <c r="I12" i="11"/>
  <c r="I11" i="11"/>
  <c r="I10" i="11"/>
  <c r="I9" i="11"/>
  <c r="I7" i="11"/>
  <c r="I6" i="11" l="1"/>
  <c r="I5" i="11" l="1"/>
  <c r="I4" i="11" l="1"/>
  <c r="N24" i="11"/>
  <c r="K24" i="11"/>
  <c r="I23" i="11" l="1"/>
  <c r="F10" i="11"/>
  <c r="F11" i="11"/>
  <c r="F12" i="11"/>
  <c r="F13" i="11"/>
  <c r="F21" i="11"/>
  <c r="F22" i="11"/>
  <c r="F14" i="11"/>
  <c r="F15" i="11"/>
  <c r="F16" i="11"/>
  <c r="F17" i="11"/>
  <c r="C76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0" i="11"/>
  <c r="F19" i="11"/>
  <c r="F18" i="11"/>
  <c r="F9" i="11"/>
  <c r="F8" i="11"/>
  <c r="F7" i="11"/>
  <c r="F6" i="11"/>
  <c r="F5" i="11"/>
  <c r="F4" i="11"/>
  <c r="E35" i="11"/>
  <c r="L38" i="10"/>
  <c r="I38" i="10"/>
  <c r="F38" i="10"/>
  <c r="C38" i="10"/>
  <c r="M37" i="10"/>
  <c r="N36" i="10"/>
  <c r="S7" i="10"/>
  <c r="F3" i="11" l="1"/>
  <c r="F35" i="11" s="1"/>
  <c r="K40" i="10"/>
  <c r="F41" i="10" s="1"/>
  <c r="F44" i="10" s="1"/>
  <c r="F48" i="10" s="1"/>
  <c r="K44" i="10" s="1"/>
  <c r="K49" i="10" s="1"/>
  <c r="E18" i="9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  <c r="J63" i="13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<sst xmlns="http://schemas.openxmlformats.org/spreadsheetml/2006/main" count="2118" uniqueCount="789">
  <si>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</si>
  <si>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</si>
  <si>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</si>
  <si>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</si>
  <si>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</si>
  <si>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</si>
  <si>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</si>
  <si>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</si>
  <si>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</si>
  <si>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</si>
  <si>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</si>
  <si>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</si>
  <si>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</si>
  <si>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</si>
  <si>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</si>
  <si>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</si>
  <si>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</si>
  <si>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</si>
  <si>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</si>
  <si>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</si>
  <si>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</si>
  <si>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</si>
  <si>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</si>
  <si>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</si>
  <si>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</si>
  <si>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</si>
  <si>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</si>
  <si>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</si>
  <si>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</si>
  <si>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</si>
  <si>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</si>
  <si>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</si>
  <si>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</si>
  <si>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</si>
  <si>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</si>
  <si>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</si>
  <si>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</si>
  <si>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</si>
  <si>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</si>
  <si>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</si>
  <si>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</si>
  <si>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</si>
  <si>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</si>
  <si>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</si>
  <si>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</si>
  <si>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</si>
  <si>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</si>
  <si>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</si>
  <si>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</si>
  <si>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</si>
  <si>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</si>
  <si>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</si>
  <si>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</si>
  <si>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</si>
  <si>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</si>
  <si>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</si>
  <si>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</si>
  <si>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</si>
  <si>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</si>
  <si>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</si>
  <si>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</si>
  <si>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</si>
  <si>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</si>
  <si>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</si>
  <si>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</si>
  <si>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</si>
  <si>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</si>
  <si>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</si>
  <si>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</si>
  <si>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</si>
  <si>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</si>
  <si>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</si>
  <si>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</si>
  <si>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</si>
  <si>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</si>
  <si>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</si>
  <si>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</si>
  <si>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</si>
  <si>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</si>
  <si>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</si>
  <si>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</si>
  <si>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</si>
  <si>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</si>
  <si>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</si>
  <si>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</si>
  <si>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</si>
  <si>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</si>
  <si>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</si>
  <si>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</si>
  <si>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</si>
  <si>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</si>
  <si>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</si>
  <si>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</si>
  <si>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</si>
  <si>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</si>
  <si>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</si>
  <si>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</si>
  <si>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</si>
  <si>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</si>
  <si>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</si>
  <si>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</si>
  <si>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</si>
  <si>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</si>
  <si>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</si>
  <si>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</si>
  <si>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</si>
  <si>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</si>
  <si>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</si>
  <si>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</si>
  <si>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</si>
  <si>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</si>
  <si>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</si>
  <si>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</si>
  <si>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</si>
  <si>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</si>
  <si>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</si>
  <si>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</si>
  <si>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</si>
  <si>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</si>
  <si>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</si>
  <si>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</si>
  <si>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</si>
  <si>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</si>
  <si>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</si>
  <si>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</si>
  <si>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</si>
  <si>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</si>
  <si>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</si>
  <si>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</si>
  <si>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</si>
  <si>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</si>
  <si>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</si>
  <si>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</si>
  <si>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</si>
  <si>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</si>
  <si>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</si>
  <si>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</si>
  <si>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</si>
  <si>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</si>
  <si>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</si>
  <si>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</si>
  <si>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</si>
  <si>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</si>
  <si>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</si>
  <si>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</si>
  <si>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</si>
  <si>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</si>
  <si>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</si>
  <si>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</si>
  <si>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</si>
  <si>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</si>
  <si>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</si>
  <si>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</si>
  <si>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</si>
  <si>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</si>
  <si>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</si>
  <si>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</si>
  <si>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</si>
  <si>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</si>
  <si>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</si>
  <si>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</si>
  <si>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</si>
  <si>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</si>
  <si>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</si>
  <si>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</si>
  <si>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</si>
  <si>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</si>
  <si>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</si>
  <si>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</si>
  <si>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</si>
  <si>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</si>
  <si>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</si>
  <si>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</si>
  <si>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</si>
  <si>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</si>
  <si>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</si>
  <si>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</si>
  <si>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</si>
  <si>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</si>
  <si>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</si>
  <si>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</si>
  <si>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</si>
  <si>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</si>
  <si>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</si>
  <si>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</si>
  <si>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</si>
  <si>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</si>
  <si>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</si>
  <si>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</si>
  <si>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</si>
  <si>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</si>
  <si>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</si>
  <si>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</si>
  <si>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</si>
  <si>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</si>
  <si>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</si>
  <si>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</si>
  <si>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</si>
  <si>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</si>
  <si>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</si>
  <si>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</si>
  <si>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</si>
  <si>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</si>
  <si>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</si>
  <si>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</si>
  <si>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</si>
  <si>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</si>
  <si>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</si>
  <si>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</si>
  <si>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</si>
  <si>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</si>
  <si>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</si>
  <si>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</si>
  <si>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</si>
  <si>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</si>
  <si>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</si>
  <si>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</si>
  <si>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</si>
  <si>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</si>
  <si>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</si>
  <si>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</si>
  <si>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</si>
  <si>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</si>
  <si>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</si>
  <si>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</si>
  <si>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</si>
  <si>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</si>
  <si>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</si>
  <si>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</si>
  <si>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</si>
  <si>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</si>
  <si>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</si>
  <si>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</si>
  <si>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</si>
  <si>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</si>
  <si>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</si>
  <si>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</si>
  <si>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</si>
  <si>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</si>
  <si>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</si>
  <si>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</si>
  <si>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</si>
  <si>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</si>
  <si>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</si>
  <si>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</si>
  <si>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</si>
  <si>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</si>
  <si>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</si>
  <si>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</si>
  <si>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</si>
  <si>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</si>
  <si>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</si>
  <si>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</si>
  <si>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</si>
  <si>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</si>
  <si>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</si>
  <si>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</si>
  <si>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</si>
  <si>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</si>
  <si>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</si>
  <si>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</si>
  <si>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</si>
  <si>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</si>
  <si>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</si>
  <si>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</si>
  <si>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</si>
  <si>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</si>
  <si>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</si>
  <si>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</si>
  <si>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</si>
  <si>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</si>
  <si>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</si>
  <si>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</si>
  <si>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</si>
  <si>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</si>
  <si>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</si>
  <si>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</si>
  <si>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</si>
  <si>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</si>
  <si>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</si>
  <si>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</si>
  <si>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</si>
  <si>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</si>
  <si>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</si>
  <si>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</si>
  <si>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</si>
  <si>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</si>
  <si>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</si>
  <si>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</si>
  <si>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</si>
  <si>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</si>
  <si>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</si>
  <si>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</si>
  <si>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</si>
  <si>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</si>
  <si>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</si>
  <si>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</si>
  <si>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</si>
  <si>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</si>
  <si>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</si>
  <si>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</si>
  <si>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</si>
  <si>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</si>
  <si>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</si>
  <si>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</si>
  <si>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</si>
  <si>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</si>
  <si>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</si>
  <si>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</si>
  <si>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</si>
  <si>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</si>
  <si>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</si>
  <si>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</si>
  <si>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</si>
  <si>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</si>
  <si>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</si>
  <si>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</si>
  <si>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</si>
  <si>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</si>
  <si>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</si>
  <si>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</si>
  <si>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</si>
  <si>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</si>
  <si>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</si>
  <si>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</si>
  <si>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</si>
  <si>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</si>
  <si>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</si>
  <si>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</si>
  <si>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</si>
  <si>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</si>
  <si>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</si>
  <si>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</si>
  <si>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</si>
  <si>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</si>
  <si>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</si>
  <si>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</si>
  <si>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</si>
  <si>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</si>
  <si>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</si>
  <si>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</si>
  <si>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</si>
  <si>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</si>
  <si>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</si>
  <si>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</si>
  <si>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</si>
  <si>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</si>
  <si>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NOMINA 17</t>
  </si>
  <si>
    <t>NOMINA 18</t>
  </si>
  <si>
    <t>NOMINA 19</t>
  </si>
  <si>
    <t>NOMINA 20</t>
  </si>
  <si>
    <t xml:space="preserve">BALANCE       DE     M A Y O          2 0 1 7        11  S U R   </t>
  </si>
  <si>
    <t xml:space="preserve">REMISIONES  11 SUR   M A Y O       2 0 1 7 </t>
  </si>
  <si>
    <t>10111 D</t>
  </si>
  <si>
    <t>10209 D</t>
  </si>
  <si>
    <t>10393 D</t>
  </si>
  <si>
    <t>10471 D</t>
  </si>
  <si>
    <t>10720 D</t>
  </si>
  <si>
    <t>10782 D</t>
  </si>
  <si>
    <t>10961 D</t>
  </si>
  <si>
    <t>R-8972</t>
  </si>
  <si>
    <t>R-8972-9195-POLLO</t>
  </si>
  <si>
    <t xml:space="preserve">24--30 Abril </t>
  </si>
  <si>
    <t xml:space="preserve">ELIAS 30 ABRIL </t>
  </si>
  <si>
    <t xml:space="preserve">POLLO   </t>
  </si>
  <si>
    <t>POLLO-CHORIZO</t>
  </si>
  <si>
    <t>R9195-9593--Chorizo</t>
  </si>
  <si>
    <t>chorizo</t>
  </si>
  <si>
    <t>R-9593</t>
  </si>
  <si>
    <t>11060 D</t>
  </si>
  <si>
    <t>11181 D</t>
  </si>
  <si>
    <t>11294 D</t>
  </si>
  <si>
    <t>11409 D</t>
  </si>
  <si>
    <t>R-95936--chorizo</t>
  </si>
  <si>
    <t>M Antonio</t>
  </si>
  <si>
    <t>R-9593-9798-9969</t>
  </si>
  <si>
    <t>R-9969-10111-maiz-salsas</t>
  </si>
  <si>
    <t>maiz--pollo--condimentos</t>
  </si>
  <si>
    <t>R-10111-10209</t>
  </si>
  <si>
    <t>R-10209</t>
  </si>
  <si>
    <t>R-10209--10393</t>
  </si>
  <si>
    <t>R-10393-10471--POLLO</t>
  </si>
  <si>
    <t>R-10471</t>
  </si>
  <si>
    <t>29-Abril--13-May</t>
  </si>
  <si>
    <t>01-7-May</t>
  </si>
  <si>
    <t>08-14-may</t>
  </si>
  <si>
    <t>11713 D</t>
  </si>
  <si>
    <t>11762 D</t>
  </si>
  <si>
    <t>11909 D</t>
  </si>
  <si>
    <t>12054 D</t>
  </si>
  <si>
    <t>12159 D</t>
  </si>
  <si>
    <t>12304 D</t>
  </si>
  <si>
    <t>12459 D</t>
  </si>
  <si>
    <t>R-10782-10961-11060</t>
  </si>
  <si>
    <t xml:space="preserve">Maribel Hdz 13-may </t>
  </si>
  <si>
    <t xml:space="preserve">Elias   7 May </t>
  </si>
  <si>
    <t xml:space="preserve">Elias  14 May </t>
  </si>
  <si>
    <t>R-11060-11181-11294</t>
  </si>
  <si>
    <t>R-11294-CHORIZO-PECGUGA</t>
  </si>
  <si>
    <t>R-11294-11409</t>
  </si>
  <si>
    <t>R-11409-maiz-pollo3</t>
  </si>
  <si>
    <t>R-11409-maiz-pollo</t>
  </si>
  <si>
    <t>Bascula  18-may</t>
  </si>
  <si>
    <t>R-11409--11713</t>
  </si>
  <si>
    <t>R-11713-11762-POLLO</t>
  </si>
  <si>
    <t>R-11762-11909-chorizo</t>
  </si>
  <si>
    <t>Elias  21 May</t>
  </si>
  <si>
    <t>15-21 May</t>
  </si>
  <si>
    <t>R-11909-12054</t>
  </si>
  <si>
    <t>R-12054-12159</t>
  </si>
  <si>
    <t>13-May--24-May</t>
  </si>
  <si>
    <t>12717 D</t>
  </si>
  <si>
    <t>13113 D</t>
  </si>
  <si>
    <t>13124 D</t>
  </si>
  <si>
    <t>13286 D</t>
  </si>
  <si>
    <t>13417 D</t>
  </si>
  <si>
    <t>fecha de corte</t>
  </si>
  <si>
    <t>13866 D</t>
  </si>
  <si>
    <t xml:space="preserve">Bascula  </t>
  </si>
  <si>
    <t xml:space="preserve">BALANCE       DE     J U N I O           2 0 1 7        11  S U R   </t>
  </si>
  <si>
    <t xml:space="preserve">REMISIONES  11 SUR   J U N I O        2 0 1 7 </t>
  </si>
  <si>
    <t>14133 D</t>
  </si>
  <si>
    <t>14056 D</t>
  </si>
  <si>
    <t>13675 D</t>
  </si>
  <si>
    <t>14299 D</t>
  </si>
  <si>
    <t>14485 D</t>
  </si>
  <si>
    <t>14584 D</t>
  </si>
  <si>
    <t>14686 D</t>
  </si>
  <si>
    <t>14863 D</t>
  </si>
  <si>
    <t>R-12159-CHORIZO</t>
  </si>
  <si>
    <t>R-12159-12304-12459</t>
  </si>
  <si>
    <t>R-12459</t>
  </si>
  <si>
    <t>LUZ   26-MAY</t>
  </si>
  <si>
    <t>R-12717</t>
  </si>
  <si>
    <t>R-12717--POLLO</t>
  </si>
  <si>
    <t>Elias 28-May</t>
  </si>
  <si>
    <t xml:space="preserve">ELIAS 29-May </t>
  </si>
  <si>
    <t>R-12717-13113</t>
  </si>
  <si>
    <t>R-13113</t>
  </si>
  <si>
    <t>R-13113-MAIZ</t>
  </si>
  <si>
    <t>15023 D</t>
  </si>
  <si>
    <t>15261 D</t>
  </si>
  <si>
    <t>15271 D</t>
  </si>
  <si>
    <t>15324 D</t>
  </si>
  <si>
    <t>15474 D</t>
  </si>
  <si>
    <t>24-May --01-Jun</t>
  </si>
  <si>
    <t xml:space="preserve">MAIZ   </t>
  </si>
  <si>
    <t>R-13113-13286-13124-13417</t>
  </si>
  <si>
    <t xml:space="preserve"> R-13113</t>
  </si>
  <si>
    <t>R-13417-13675</t>
  </si>
  <si>
    <t>Elias   4-JUN</t>
  </si>
  <si>
    <t>R-13675</t>
  </si>
  <si>
    <t>R-13675-13866</t>
  </si>
  <si>
    <t>R-13866-POLLO</t>
  </si>
  <si>
    <t>R-13866-14056-14133</t>
  </si>
  <si>
    <t>R-14133--POLLO</t>
  </si>
  <si>
    <t>R-14133-chorizo</t>
  </si>
  <si>
    <t xml:space="preserve">Elias  9 Jun </t>
  </si>
  <si>
    <t xml:space="preserve">PEPE 10-Jun </t>
  </si>
  <si>
    <t>R-14299-14133-14485-MAIZ</t>
  </si>
  <si>
    <t>NOMINA 21</t>
  </si>
  <si>
    <t>NOMINA 22</t>
  </si>
  <si>
    <t>NOMINA 23</t>
  </si>
  <si>
    <t>NOMINA 24</t>
  </si>
  <si>
    <t>R-14584-14686-14863</t>
  </si>
  <si>
    <t xml:space="preserve">Elias  11 Jun </t>
  </si>
  <si>
    <t>22-28 m ay</t>
  </si>
  <si>
    <t>R-14863-15023</t>
  </si>
  <si>
    <t>R-15261-15023-pollo</t>
  </si>
  <si>
    <t>pollo-tortilla-especies</t>
  </si>
  <si>
    <t>01-Jun -15-Jun</t>
  </si>
  <si>
    <t>15469 D</t>
  </si>
  <si>
    <t>15677 D</t>
  </si>
  <si>
    <t>15703 D</t>
  </si>
  <si>
    <t>15710 D</t>
  </si>
  <si>
    <t>15923 D</t>
  </si>
  <si>
    <t>16012 D</t>
  </si>
  <si>
    <t>16267 D</t>
  </si>
  <si>
    <t>16503 D</t>
  </si>
  <si>
    <t>R-15261-MAIZ</t>
  </si>
  <si>
    <t>R-15261-15271-158324--CHORIZO</t>
  </si>
  <si>
    <t>CHORIZO--PEREJIL</t>
  </si>
  <si>
    <t>R-15324-15469-15474-15677--SALSAS-POLLO</t>
  </si>
  <si>
    <t>POLLO--SALSAS--TORTILLAS</t>
  </si>
  <si>
    <t>HARINA</t>
  </si>
  <si>
    <t>ELIAS 18 JUN</t>
  </si>
  <si>
    <t>R-15703-15923-16012-16267--POLLO</t>
  </si>
  <si>
    <t>POLLO-VERDURAS</t>
  </si>
  <si>
    <t xml:space="preserve">15-Jun --23-Jun </t>
  </si>
  <si>
    <t>16390 D</t>
  </si>
  <si>
    <t>16632 D</t>
  </si>
  <si>
    <t>16815 D</t>
  </si>
  <si>
    <t>16890 D</t>
  </si>
  <si>
    <t>16911 D</t>
  </si>
  <si>
    <t>17019 D</t>
  </si>
  <si>
    <t>17020 D</t>
  </si>
  <si>
    <t>17223 D</t>
  </si>
  <si>
    <t>17224 D</t>
  </si>
  <si>
    <t>17225 D</t>
  </si>
  <si>
    <t>17336 D</t>
  </si>
  <si>
    <t>17449 D</t>
  </si>
  <si>
    <t>R-16267 Chorizop</t>
  </si>
  <si>
    <t>R-16267-16390-POLLO</t>
  </si>
  <si>
    <t>R-16390-MAIZ</t>
  </si>
  <si>
    <t>R-16390-ARABE</t>
  </si>
  <si>
    <t>R-16390-16503-CHORIZO</t>
  </si>
  <si>
    <t>R-16503-16632-16890-16911-17019</t>
  </si>
  <si>
    <t>R-17019-17020-17224-POLLO</t>
  </si>
  <si>
    <t>ARABE</t>
  </si>
  <si>
    <t>23-Jun--29-Jun</t>
  </si>
  <si>
    <t>17729 D</t>
  </si>
  <si>
    <t>17828 D</t>
  </si>
  <si>
    <t>17829 D</t>
  </si>
  <si>
    <t>18144 D</t>
  </si>
  <si>
    <t xml:space="preserve">BALANCE       DE     J U L I O           2 0 1 7        11  S U R   </t>
  </si>
  <si>
    <t xml:space="preserve">REMISIONES  11 SUR   J U L I O        2 0 1 7 </t>
  </si>
  <si>
    <t>18267 D</t>
  </si>
  <si>
    <t>18279 D</t>
  </si>
  <si>
    <t>18303 D</t>
  </si>
  <si>
    <t>18405 D</t>
  </si>
  <si>
    <t>18511 D</t>
  </si>
  <si>
    <t>18723 D</t>
  </si>
  <si>
    <t>18787 D</t>
  </si>
  <si>
    <t>18815 D</t>
  </si>
  <si>
    <t>18938 D</t>
  </si>
  <si>
    <t>18940 D</t>
  </si>
  <si>
    <t>18950 D</t>
  </si>
  <si>
    <t>R-17224-17225-17223-17336</t>
  </si>
  <si>
    <t>R-17336</t>
  </si>
  <si>
    <t>ELIAS 26 JUN</t>
  </si>
  <si>
    <t>PEPE 26 JUN</t>
  </si>
  <si>
    <t>R-17224-ARABE</t>
  </si>
  <si>
    <t>R-17336-16815-17449-17729</t>
  </si>
  <si>
    <t>NOMINA 25</t>
  </si>
  <si>
    <t>29-4 Jun</t>
  </si>
  <si>
    <t>5-11 Jun</t>
  </si>
  <si>
    <t xml:space="preserve">12-18 Jun </t>
  </si>
  <si>
    <t>19-25 Jun</t>
  </si>
  <si>
    <t xml:space="preserve">26-02-Jul </t>
  </si>
  <si>
    <t>19082 D</t>
  </si>
  <si>
    <t>19166 D</t>
  </si>
  <si>
    <t>19269 D</t>
  </si>
  <si>
    <t>19387 D</t>
  </si>
  <si>
    <t>19423 D</t>
  </si>
  <si>
    <t>19640 D</t>
  </si>
  <si>
    <t>19641 D</t>
  </si>
  <si>
    <t>19672 D</t>
  </si>
  <si>
    <t>19717 D</t>
  </si>
  <si>
    <t>19941 D</t>
  </si>
  <si>
    <t>19939 D</t>
  </si>
  <si>
    <t>NOMINA  26</t>
  </si>
  <si>
    <t>NOMINA 27</t>
  </si>
  <si>
    <t>NOMINA 28</t>
  </si>
  <si>
    <t>NOMINA 29</t>
  </si>
  <si>
    <t>NOMINA 30</t>
  </si>
  <si>
    <t>POBLANA--SALSAS</t>
  </si>
  <si>
    <t>R-17729-17829-17828-18144</t>
  </si>
  <si>
    <t>Elias  02-Jul</t>
  </si>
  <si>
    <t>R-18144-18303</t>
  </si>
  <si>
    <t>R-18303-18279-POLLO</t>
  </si>
  <si>
    <t>R-18279-18267--chorizo</t>
  </si>
  <si>
    <t>R-18267--POLLO-POBLANA</t>
  </si>
  <si>
    <t>POLLO-POBLANA-ARABE</t>
  </si>
  <si>
    <t>R-18405-18267-18511</t>
  </si>
  <si>
    <t>R-18511-18723</t>
  </si>
  <si>
    <t>R-18723--18787--18815--18940</t>
  </si>
  <si>
    <t>R-18940-18938-18950-19082</t>
  </si>
  <si>
    <t>MORRALLA EN CAJA DE 11 SUR   2,800.00  +  $ 1,200.00 Total    $  4,000.00</t>
  </si>
  <si>
    <t>con fecha  11 de Julio 2017</t>
  </si>
  <si>
    <t xml:space="preserve">morralla </t>
  </si>
  <si>
    <t>R-19082-19166</t>
  </si>
  <si>
    <t>R-19166-POLLO</t>
  </si>
  <si>
    <t xml:space="preserve">POBLANA  </t>
  </si>
  <si>
    <t>R-19166-19269-19423-19387</t>
  </si>
  <si>
    <t>Manto 4 meses</t>
  </si>
  <si>
    <t>R-19387</t>
  </si>
  <si>
    <t>NOMINA</t>
  </si>
  <si>
    <t xml:space="preserve">Elias  9 Jul </t>
  </si>
  <si>
    <t xml:space="preserve">total </t>
  </si>
  <si>
    <t>total</t>
  </si>
  <si>
    <t xml:space="preserve">COMPARATIVO DE LA 1er QUICENA DE CADA MES EN VENTAS </t>
  </si>
  <si>
    <t>R-19387-19641-19640</t>
  </si>
  <si>
    <t>R-19640-19672-CHORIZO</t>
  </si>
  <si>
    <t>VENTA BRUTA</t>
  </si>
  <si>
    <t xml:space="preserve">29-Jun --18-Jul </t>
  </si>
  <si>
    <t xml:space="preserve">03-09-Jul </t>
  </si>
  <si>
    <t xml:space="preserve">10-16-Jul </t>
  </si>
  <si>
    <t>20109 D</t>
  </si>
  <si>
    <t>20256 D</t>
  </si>
  <si>
    <t>20257 D</t>
  </si>
  <si>
    <t>20302 D</t>
  </si>
  <si>
    <t>20402 D</t>
  </si>
  <si>
    <t>20161 D</t>
  </si>
  <si>
    <t>20572 D</t>
  </si>
  <si>
    <t xml:space="preserve">Elias 16 Jul </t>
  </si>
  <si>
    <t>R-19672-19717-19939</t>
  </si>
  <si>
    <t>R-19939--19941-20109</t>
  </si>
  <si>
    <t>R-20109--POLLO</t>
  </si>
  <si>
    <t>R-20109-20161-20256-POLLO</t>
  </si>
  <si>
    <t>18-Jul --22-Jul</t>
  </si>
  <si>
    <t>R-20256</t>
  </si>
  <si>
    <t>R-20256-20257-20302-20402</t>
  </si>
  <si>
    <t>20865 D</t>
  </si>
  <si>
    <t>20872 D</t>
  </si>
  <si>
    <t>21126 D</t>
  </si>
  <si>
    <t>21370 D</t>
  </si>
  <si>
    <t>21428 D</t>
  </si>
  <si>
    <t>21372 D</t>
  </si>
  <si>
    <t>R-20402--5572--POLLO</t>
  </si>
  <si>
    <t>17-23 JUL</t>
  </si>
  <si>
    <t xml:space="preserve">Elias  23 jul </t>
  </si>
  <si>
    <t>R-20572-20872-20865</t>
  </si>
  <si>
    <t xml:space="preserve">ELIAS  24 Jul </t>
  </si>
  <si>
    <t>R-20865</t>
  </si>
  <si>
    <t>R-20865-MAIZ-ARABE</t>
  </si>
  <si>
    <t xml:space="preserve">22-Jul --29-Jul </t>
  </si>
  <si>
    <t>21649 D</t>
  </si>
  <si>
    <t>21719 D</t>
  </si>
  <si>
    <t>21727 D</t>
  </si>
  <si>
    <t>21850 D</t>
  </si>
  <si>
    <t>R-20865-21126-CHORIZO</t>
  </si>
  <si>
    <t>R-21126-21372-POLLO</t>
  </si>
  <si>
    <t>R-21372-21370-21428-21649</t>
  </si>
  <si>
    <t>R-21649-21719</t>
  </si>
  <si>
    <t>21812 D</t>
  </si>
  <si>
    <t xml:space="preserve">ELIAS 30 Jul </t>
  </si>
  <si>
    <t>.</t>
  </si>
  <si>
    <t xml:space="preserve">BALANCE       DE    A G O S TO            2 0 1 7        11  S U R   </t>
  </si>
  <si>
    <t xml:space="preserve">ELIAS  </t>
  </si>
  <si>
    <t xml:space="preserve">ELIAS </t>
  </si>
  <si>
    <t xml:space="preserve">REMISIONES  11 SUR   A G O S T O         2 0 1 7 </t>
  </si>
  <si>
    <t>22010 D</t>
  </si>
  <si>
    <t>R-21719</t>
  </si>
  <si>
    <t>CONDIMENTOS</t>
  </si>
  <si>
    <t>POLLO-ARABE</t>
  </si>
  <si>
    <t>ARABE-MAIZ POBLANA</t>
  </si>
  <si>
    <t>MAIZ POBLANA</t>
  </si>
  <si>
    <t xml:space="preserve">24-30-Jul </t>
  </si>
  <si>
    <t>22278 D</t>
  </si>
  <si>
    <t>22362 D</t>
  </si>
  <si>
    <t>22556 D</t>
  </si>
  <si>
    <t>22756 D</t>
  </si>
  <si>
    <t>22759 D</t>
  </si>
  <si>
    <t>23020 D</t>
  </si>
  <si>
    <t>23026 D</t>
  </si>
  <si>
    <t>23164 D</t>
  </si>
  <si>
    <t>23386 D</t>
  </si>
  <si>
    <t>R-2719-21727-21812-21850-MAIZ</t>
  </si>
  <si>
    <t>R-21850-22010-MAIZ</t>
  </si>
  <si>
    <t>R-22010-22278-22362</t>
  </si>
  <si>
    <t>MAIZ--POLLO-CHORIZO</t>
  </si>
  <si>
    <t>R-22362</t>
  </si>
  <si>
    <t>R-22362-22556</t>
  </si>
  <si>
    <t>R-22556</t>
  </si>
  <si>
    <t>R-22556-22756</t>
  </si>
  <si>
    <t>R-22756--MAIZ-POLLO</t>
  </si>
  <si>
    <t xml:space="preserve">MAIZ--POLLO  </t>
  </si>
  <si>
    <t xml:space="preserve">29-Jul --12-Ago </t>
  </si>
  <si>
    <t>23079 D</t>
  </si>
  <si>
    <t>23202 D</t>
  </si>
  <si>
    <t>23430 D</t>
  </si>
  <si>
    <t>23441 D</t>
  </si>
  <si>
    <t>23635 D</t>
  </si>
  <si>
    <t>23771 D</t>
  </si>
  <si>
    <t>NOMINA 31</t>
  </si>
  <si>
    <t>NOMINA 32</t>
  </si>
  <si>
    <t>NOMINA 33</t>
  </si>
  <si>
    <t>NOMINA 34</t>
  </si>
  <si>
    <t>24013 D</t>
  </si>
  <si>
    <t>24018 D</t>
  </si>
  <si>
    <t>24019 D</t>
  </si>
  <si>
    <t>24373 D</t>
  </si>
  <si>
    <t>24295 D</t>
  </si>
  <si>
    <t>24550 D</t>
  </si>
  <si>
    <t>24299 D</t>
  </si>
  <si>
    <t>R-22556--22759</t>
  </si>
  <si>
    <t>R-22759-23026-23079-23202-23020-23164</t>
  </si>
  <si>
    <t>R-23164-23441-23430-23386--POLLO</t>
  </si>
  <si>
    <t xml:space="preserve">Elias  13 Ago </t>
  </si>
  <si>
    <t>R-23386</t>
  </si>
  <si>
    <t xml:space="preserve">Elias  14 Ago </t>
  </si>
  <si>
    <t>R-236386-236935</t>
  </si>
  <si>
    <t>R-23635-POLLO-CHORIZO</t>
  </si>
  <si>
    <t>R-23635-23771-MAIZ</t>
  </si>
  <si>
    <t>DEBEN</t>
  </si>
  <si>
    <t>R-24013-POLLO</t>
  </si>
  <si>
    <t>R-24013-24018-24019-POLLO</t>
  </si>
  <si>
    <t>R-24295-MAIZ</t>
  </si>
  <si>
    <t>R-24295-POLLO</t>
  </si>
  <si>
    <t xml:space="preserve">12-Ago --22-Ago </t>
  </si>
  <si>
    <t>24510 D</t>
  </si>
  <si>
    <t>24659 D</t>
  </si>
  <si>
    <t>24756 D</t>
  </si>
  <si>
    <t>24880 D</t>
  </si>
  <si>
    <t>00163 E</t>
  </si>
  <si>
    <t>R-24295-24373-24299-24510-POLLO</t>
  </si>
  <si>
    <t>R-24510-24550-24659</t>
  </si>
  <si>
    <t>R-24659-MAIZ</t>
  </si>
  <si>
    <t>POLLO3</t>
  </si>
  <si>
    <t>R-24659-24756-POLLO</t>
  </si>
  <si>
    <t>00049 E</t>
  </si>
  <si>
    <t>BEATRIZ</t>
  </si>
  <si>
    <t>R-24756-24880-0049</t>
  </si>
  <si>
    <t>R-0049--MAIZ--POLLO</t>
  </si>
  <si>
    <t xml:space="preserve">Elias  27-Ago </t>
  </si>
  <si>
    <t xml:space="preserve">Elias  28-Ago </t>
  </si>
  <si>
    <t xml:space="preserve">R-0049  </t>
  </si>
  <si>
    <t>00414 E</t>
  </si>
  <si>
    <t>Abono</t>
  </si>
  <si>
    <t>Sin Remision</t>
  </si>
  <si>
    <t xml:space="preserve">22 Ago --29-Ago </t>
  </si>
  <si>
    <t>00494 E</t>
  </si>
  <si>
    <t>00687 E</t>
  </si>
  <si>
    <t>R-163-414</t>
  </si>
  <si>
    <t xml:space="preserve">BALANCE       DE    SEPTIEMBRE             2 0 1 7        11  S U R   </t>
  </si>
  <si>
    <t xml:space="preserve">REMISIONES  11 SUR    SEPTIEMBRE          2 0 1 7 </t>
  </si>
  <si>
    <t>0827 E</t>
  </si>
  <si>
    <t>0956 E</t>
  </si>
  <si>
    <t>1188 E</t>
  </si>
  <si>
    <t>1304 E</t>
  </si>
  <si>
    <t>1312 E</t>
  </si>
  <si>
    <t>1428 E</t>
  </si>
  <si>
    <t>163-E</t>
  </si>
  <si>
    <t>XXXXX</t>
  </si>
  <si>
    <t>R-494-POLLO-CHORIZO</t>
  </si>
  <si>
    <t xml:space="preserve">R-494-POLLO   </t>
  </si>
  <si>
    <t xml:space="preserve">EQ. TELEFONICO 31-Ago </t>
  </si>
  <si>
    <t>pollo-cebolla</t>
  </si>
  <si>
    <t>varios</t>
  </si>
  <si>
    <t>31-6 Ago</t>
  </si>
  <si>
    <t xml:space="preserve">7-13-Ago </t>
  </si>
  <si>
    <t xml:space="preserve">14-20-Ago </t>
  </si>
  <si>
    <t xml:space="preserve">21-27-Ago </t>
  </si>
  <si>
    <t xml:space="preserve">GANANCIA </t>
  </si>
  <si>
    <t>INFORMATIVO</t>
  </si>
  <si>
    <t xml:space="preserve">Elias  1-Sept </t>
  </si>
  <si>
    <t>R-494-687-827-POLLO-ARABE</t>
  </si>
  <si>
    <t>POLLO Y ARABE</t>
  </si>
  <si>
    <t>GASOLINA 2-Sep</t>
  </si>
  <si>
    <t>R-827-956-ARABE</t>
  </si>
  <si>
    <t>R-956-</t>
  </si>
  <si>
    <t>NOMINA 35</t>
  </si>
  <si>
    <t>NOMINA 36</t>
  </si>
  <si>
    <t>NOMINA 37</t>
  </si>
  <si>
    <t>NOMINA 38</t>
  </si>
  <si>
    <t xml:space="preserve">Elias  04-Sept </t>
  </si>
  <si>
    <t>R-1188--POLLO</t>
  </si>
  <si>
    <t>R-1188-</t>
  </si>
  <si>
    <t>28-3 Sept</t>
  </si>
  <si>
    <t>R-1188-1304-pollo-salsa</t>
  </si>
  <si>
    <t>pollo--salsas</t>
  </si>
  <si>
    <t xml:space="preserve">29-Ago --09.-Sep </t>
  </si>
  <si>
    <t>1652 E</t>
  </si>
  <si>
    <t>1712 E</t>
  </si>
  <si>
    <t>1864 E</t>
  </si>
  <si>
    <t>2011 E</t>
  </si>
  <si>
    <t>2114 E</t>
  </si>
  <si>
    <t>2211 E</t>
  </si>
  <si>
    <t>2335 E</t>
  </si>
  <si>
    <t>2491 E</t>
  </si>
  <si>
    <t>2663 E</t>
  </si>
  <si>
    <t>2744 E</t>
  </si>
  <si>
    <t>2745 E</t>
  </si>
  <si>
    <t>2910 E</t>
  </si>
  <si>
    <t>3084 E</t>
  </si>
  <si>
    <t xml:space="preserve">09-Sep -23-Sep </t>
  </si>
  <si>
    <t>3494 E</t>
  </si>
  <si>
    <t>3687 E</t>
  </si>
  <si>
    <t>3924 E</t>
  </si>
  <si>
    <t>4195 E</t>
  </si>
  <si>
    <t>4196 E</t>
  </si>
  <si>
    <t>3329 E</t>
  </si>
  <si>
    <t xml:space="preserve">23-seP --30-Seo </t>
  </si>
  <si>
    <t>R-134-1312-1428</t>
  </si>
  <si>
    <t xml:space="preserve">Multa Moto </t>
  </si>
  <si>
    <t>Juan Alonso</t>
  </si>
  <si>
    <t>R-1428-1652-1712</t>
  </si>
  <si>
    <t>R-1712-1864-Pollo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</si>
  <si>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</si>
  <si>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</si>
  <si>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 xml:space="preserve">Elias  10-Sep </t>
  </si>
  <si>
    <t>R-1864-2011-Pollo</t>
  </si>
  <si>
    <t xml:space="preserve">Elias  11-Sep </t>
  </si>
  <si>
    <t>R-2114-POLLO-POBLANA</t>
  </si>
  <si>
    <t>POLLO-LA POBLANA</t>
  </si>
  <si>
    <t>Chorizo--maiz</t>
  </si>
  <si>
    <t>4347 E</t>
  </si>
  <si>
    <t>4477 E</t>
  </si>
  <si>
    <t>4485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</si>
</sst>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8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9" borderId="21" xfId="1" applyFont="1" applyFill="1" applyBorder="1"/>
    <xf numFmtId="44" fontId="2" fillId="9" borderId="15" xfId="1" applyFont="1" applyFill="1" applyBorder="1"/>
    <xf numFmtId="44" fontId="2" fillId="9" borderId="13" xfId="1" applyFont="1" applyFill="1" applyBorder="1"/>
    <xf numFmtId="0" fontId="15" fillId="0" borderId="20" xfId="0" applyFont="1" applyFill="1" applyBorder="1" applyAlignment="1">
      <alignment horizontal="center"/>
    </xf>
    <xf numFmtId="44" fontId="2" fillId="9" borderId="23" xfId="1" applyFont="1" applyFill="1" applyBorder="1"/>
    <xf numFmtId="16" fontId="12" fillId="0" borderId="0" xfId="1" applyNumberFormat="1" applyFont="1" applyFill="1" applyBorder="1"/>
    <xf numFmtId="44" fontId="2" fillId="0" borderId="0" xfId="1" applyFont="1" applyFill="1" applyBorder="1" applyAlignment="1">
      <alignment horizontal="left"/>
    </xf>
    <xf numFmtId="164" fontId="8" fillId="0" borderId="36" xfId="0" applyNumberFormat="1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44" fontId="8" fillId="0" borderId="36" xfId="1" applyFont="1" applyFill="1" applyBorder="1"/>
    <xf numFmtId="44" fontId="0" fillId="0" borderId="46" xfId="1" applyFont="1" applyBorder="1"/>
    <xf numFmtId="44" fontId="23" fillId="18" borderId="0" xfId="1" applyFont="1" applyFill="1" applyBorder="1" applyAlignment="1">
      <alignment horizontal="center"/>
    </xf>
    <xf numFmtId="164" fontId="2" fillId="18" borderId="0" xfId="0" applyNumberFormat="1" applyFont="1" applyFill="1"/>
    <xf numFmtId="44" fontId="23" fillId="3" borderId="0" xfId="1" applyFont="1" applyFill="1" applyBorder="1" applyAlignment="1">
      <alignment horizontal="center"/>
    </xf>
    <xf numFmtId="164" fontId="2" fillId="3" borderId="0" xfId="0" applyNumberFormat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2" fillId="0" borderId="0" xfId="0" applyNumberFormat="1" applyFont="1" applyFill="1"/>
    <xf numFmtId="15" fontId="2" fillId="0" borderId="53" xfId="0" applyNumberFormat="1" applyFont="1" applyFill="1" applyBorder="1"/>
    <xf numFmtId="44" fontId="2" fillId="0" borderId="54" xfId="1" applyFont="1" applyFill="1" applyBorder="1"/>
    <xf numFmtId="15" fontId="2" fillId="0" borderId="55" xfId="0" applyNumberFormat="1" applyFont="1" applyFill="1" applyBorder="1"/>
    <xf numFmtId="44" fontId="2" fillId="0" borderId="56" xfId="1" applyFont="1" applyFill="1" applyBorder="1"/>
    <xf numFmtId="15" fontId="2" fillId="0" borderId="57" xfId="0" applyNumberFormat="1" applyFont="1" applyFill="1" applyBorder="1"/>
    <xf numFmtId="44" fontId="2" fillId="0" borderId="58" xfId="1" applyFont="1" applyFill="1" applyBorder="1"/>
    <xf numFmtId="164" fontId="2" fillId="0" borderId="59" xfId="0" applyNumberFormat="1" applyFont="1" applyFill="1" applyBorder="1" applyAlignment="1">
      <alignment horizontal="center"/>
    </xf>
    <xf numFmtId="44" fontId="2" fillId="0" borderId="60" xfId="1" applyFont="1" applyFill="1" applyBorder="1"/>
    <xf numFmtId="164" fontId="2" fillId="0" borderId="61" xfId="0" applyNumberFormat="1" applyFont="1" applyFill="1" applyBorder="1" applyAlignment="1">
      <alignment horizontal="center"/>
    </xf>
    <xf numFmtId="44" fontId="2" fillId="0" borderId="62" xfId="1" applyFont="1" applyFill="1" applyBorder="1"/>
    <xf numFmtId="44" fontId="2" fillId="0" borderId="63" xfId="1" applyFont="1" applyFill="1" applyBorder="1"/>
    <xf numFmtId="0" fontId="18" fillId="0" borderId="20" xfId="0" applyFont="1" applyFill="1" applyBorder="1" applyAlignment="1">
      <alignment horizontal="center"/>
    </xf>
    <xf numFmtId="44" fontId="2" fillId="0" borderId="64" xfId="1" applyFont="1" applyFill="1" applyBorder="1"/>
    <xf numFmtId="44" fontId="2" fillId="0" borderId="65" xfId="1" applyFont="1" applyFill="1" applyBorder="1"/>
    <xf numFmtId="44" fontId="1" fillId="0" borderId="66" xfId="1" applyFont="1" applyFill="1" applyBorder="1"/>
    <xf numFmtId="0" fontId="36" fillId="0" borderId="20" xfId="0" applyFont="1" applyFill="1" applyBorder="1"/>
    <xf numFmtId="44" fontId="31" fillId="9" borderId="44" xfId="1" applyFont="1" applyFill="1" applyBorder="1"/>
    <xf numFmtId="44" fontId="28" fillId="13" borderId="44" xfId="1" applyFont="1" applyFill="1" applyBorder="1"/>
    <xf numFmtId="44" fontId="30" fillId="13" borderId="48" xfId="1" applyFont="1" applyFill="1" applyBorder="1"/>
    <xf numFmtId="44" fontId="31" fillId="13" borderId="48" xfId="1" applyFont="1" applyFill="1" applyBorder="1"/>
    <xf numFmtId="44" fontId="31" fillId="13" borderId="44" xfId="1" applyFont="1" applyFill="1" applyBorder="1"/>
    <xf numFmtId="44" fontId="2" fillId="4" borderId="13" xfId="1" applyFont="1" applyFill="1" applyBorder="1"/>
    <xf numFmtId="44" fontId="31" fillId="0" borderId="48" xfId="1" applyFont="1" applyFill="1" applyBorder="1"/>
    <xf numFmtId="44" fontId="31" fillId="0" borderId="44" xfId="1" applyFont="1" applyFill="1" applyBorder="1"/>
    <xf numFmtId="44" fontId="31" fillId="0" borderId="0" xfId="1" applyFont="1" applyFill="1" applyBorder="1"/>
    <xf numFmtId="44" fontId="29" fillId="0" borderId="67" xfId="1" applyFont="1" applyFill="1" applyBorder="1"/>
    <xf numFmtId="44" fontId="10" fillId="0" borderId="9" xfId="1" applyFont="1" applyFill="1" applyBorder="1"/>
    <xf numFmtId="44" fontId="28" fillId="9" borderId="44" xfId="1" applyFont="1" applyFill="1" applyBorder="1"/>
    <xf numFmtId="44" fontId="28" fillId="0" borderId="0" xfId="1" applyFont="1" applyFill="1" applyBorder="1"/>
    <xf numFmtId="164" fontId="33" fillId="0" borderId="46" xfId="0" applyNumberFormat="1" applyFont="1" applyFill="1" applyBorder="1" applyAlignment="1">
      <alignment horizontal="center"/>
    </xf>
    <xf numFmtId="0" fontId="0" fillId="0" borderId="68" xfId="0" applyBorder="1"/>
    <xf numFmtId="0" fontId="10" fillId="0" borderId="47" xfId="0" applyFont="1" applyBorder="1" applyAlignment="1">
      <alignment horizontal="center"/>
    </xf>
    <xf numFmtId="44" fontId="31" fillId="0" borderId="68" xfId="1" applyFont="1" applyBorder="1"/>
    <xf numFmtId="164" fontId="28" fillId="0" borderId="68" xfId="0" applyNumberFormat="1" applyFont="1" applyFill="1" applyBorder="1"/>
    <xf numFmtId="44" fontId="0" fillId="0" borderId="47" xfId="1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4" fontId="2" fillId="19" borderId="0" xfId="1" applyFont="1" applyFill="1" applyBorder="1"/>
    <xf numFmtId="44" fontId="2" fillId="10" borderId="0" xfId="1" applyFont="1" applyFill="1"/>
    <xf numFmtId="0" fontId="10" fillId="10" borderId="0" xfId="0" applyFont="1" applyFill="1"/>
    <xf numFmtId="44" fontId="2" fillId="0" borderId="32" xfId="1" applyFont="1" applyFill="1" applyBorder="1"/>
    <xf numFmtId="0" fontId="0" fillId="0" borderId="36" xfId="0" applyFill="1" applyBorder="1"/>
    <xf numFmtId="44" fontId="0" fillId="0" borderId="0" xfId="0" applyNumberFormat="1"/>
    <xf numFmtId="0" fontId="0" fillId="0" borderId="70" xfId="0" applyFill="1" applyBorder="1"/>
    <xf numFmtId="44" fontId="2" fillId="0" borderId="69" xfId="1" applyFont="1" applyFill="1" applyBorder="1"/>
    <xf numFmtId="0" fontId="0" fillId="0" borderId="72" xfId="0" applyFill="1" applyBorder="1"/>
    <xf numFmtId="44" fontId="2" fillId="0" borderId="71" xfId="1" applyFont="1" applyFill="1" applyBorder="1"/>
    <xf numFmtId="0" fontId="0" fillId="0" borderId="3" xfId="0" applyFill="1" applyBorder="1"/>
    <xf numFmtId="0" fontId="0" fillId="0" borderId="73" xfId="0" applyBorder="1"/>
    <xf numFmtId="44" fontId="2" fillId="0" borderId="74" xfId="1" applyFont="1" applyFill="1" applyBorder="1"/>
    <xf numFmtId="44" fontId="10" fillId="0" borderId="0" xfId="0" applyNumberFormat="1" applyFont="1" applyFill="1"/>
    <xf numFmtId="0" fontId="10" fillId="0" borderId="0" xfId="0" applyFont="1" applyFill="1"/>
    <xf numFmtId="44" fontId="2" fillId="0" borderId="70" xfId="1" applyFont="1" applyBorder="1"/>
    <xf numFmtId="44" fontId="2" fillId="0" borderId="44" xfId="1" applyFont="1" applyFill="1" applyBorder="1"/>
    <xf numFmtId="15" fontId="2" fillId="0" borderId="0" xfId="0" applyNumberFormat="1" applyFont="1" applyFill="1" applyBorder="1"/>
    <xf numFmtId="15" fontId="2" fillId="0" borderId="40" xfId="0" applyNumberFormat="1" applyFont="1" applyFill="1" applyBorder="1"/>
    <xf numFmtId="0" fontId="0" fillId="0" borderId="13" xfId="0" applyFill="1" applyBorder="1"/>
    <xf numFmtId="0" fontId="8" fillId="0" borderId="13" xfId="0" applyFont="1" applyFill="1" applyBorder="1"/>
    <xf numFmtId="44" fontId="2" fillId="0" borderId="43" xfId="1" applyFont="1" applyFill="1" applyBorder="1"/>
    <xf numFmtId="0" fontId="2" fillId="0" borderId="44" xfId="0" applyFont="1" applyFill="1" applyBorder="1"/>
    <xf numFmtId="44" fontId="29" fillId="0" borderId="44" xfId="1" applyFont="1" applyFill="1" applyBorder="1"/>
    <xf numFmtId="164" fontId="29" fillId="0" borderId="44" xfId="0" applyNumberFormat="1" applyFont="1" applyFill="1" applyBorder="1"/>
    <xf numFmtId="44" fontId="0" fillId="0" borderId="44" xfId="1" applyFont="1" applyFill="1" applyBorder="1"/>
    <xf numFmtId="44" fontId="10" fillId="0" borderId="46" xfId="1" applyFont="1" applyFill="1" applyBorder="1"/>
    <xf numFmtId="0" fontId="10" fillId="0" borderId="46" xfId="0" applyFont="1" applyBorder="1" applyAlignment="1">
      <alignment horizontal="center"/>
    </xf>
    <xf numFmtId="44" fontId="29" fillId="0" borderId="46" xfId="1" applyFont="1" applyFill="1" applyBorder="1"/>
    <xf numFmtId="44" fontId="2" fillId="0" borderId="75" xfId="1" applyFont="1" applyFill="1" applyBorder="1"/>
    <xf numFmtId="44" fontId="0" fillId="0" borderId="48" xfId="1" applyFont="1" applyFill="1" applyBorder="1"/>
    <xf numFmtId="44" fontId="29" fillId="0" borderId="48" xfId="1" applyFont="1" applyFill="1" applyBorder="1"/>
    <xf numFmtId="0" fontId="2" fillId="9" borderId="0" xfId="0" applyFont="1" applyFill="1"/>
    <xf numFmtId="164" fontId="2" fillId="20" borderId="9" xfId="1" applyNumberFormat="1" applyFont="1" applyFill="1" applyBorder="1" applyAlignment="1">
      <alignment horizontal="center"/>
    </xf>
    <xf numFmtId="0" fontId="10" fillId="0" borderId="20" xfId="0" applyFont="1" applyFill="1" applyBorder="1"/>
    <xf numFmtId="44" fontId="0" fillId="0" borderId="0" xfId="1" applyFont="1" applyFill="1" applyBorder="1"/>
    <xf numFmtId="44" fontId="10" fillId="0" borderId="0" xfId="1" applyFont="1" applyBorder="1"/>
    <xf numFmtId="0" fontId="10" fillId="0" borderId="0" xfId="0" applyFont="1" applyBorder="1"/>
    <xf numFmtId="44" fontId="10" fillId="0" borderId="0" xfId="0" applyNumberFormat="1" applyFont="1" applyBorder="1"/>
    <xf numFmtId="44" fontId="0" fillId="0" borderId="36" xfId="1" applyFont="1" applyFill="1" applyBorder="1"/>
    <xf numFmtId="44" fontId="31" fillId="0" borderId="46" xfId="1" applyFont="1" applyFill="1" applyBorder="1"/>
    <xf numFmtId="44" fontId="10" fillId="0" borderId="46" xfId="1" applyFont="1" applyFill="1" applyBorder="1" applyAlignment="1">
      <alignment horizontal="left"/>
    </xf>
    <xf numFmtId="44" fontId="30" fillId="0" borderId="46" xfId="1" applyFont="1" applyFill="1" applyBorder="1"/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44" fontId="2" fillId="0" borderId="24" xfId="1" applyFont="1" applyFill="1" applyBorder="1" applyAlignment="1"/>
    <xf numFmtId="44" fontId="2" fillId="0" borderId="25" xfId="1" applyFont="1" applyFill="1" applyBorder="1" applyAlignment="1"/>
    <xf numFmtId="0" fontId="2" fillId="0" borderId="0" xfId="0" applyFont="1" applyBorder="1" applyAlignment="1">
      <alignment horizontal="center"/>
    </xf>
    <xf numFmtId="44" fontId="2" fillId="14" borderId="13" xfId="1" applyFont="1" applyFill="1" applyBorder="1" applyAlignment="1">
      <alignment horizontal="right"/>
    </xf>
    <xf numFmtId="44" fontId="2" fillId="14" borderId="24" xfId="1" applyFont="1" applyFill="1" applyBorder="1" applyAlignment="1"/>
    <xf numFmtId="44" fontId="20" fillId="0" borderId="0" xfId="1" applyFont="1" applyBorder="1"/>
    <xf numFmtId="44" fontId="8" fillId="0" borderId="0" xfId="1" applyFont="1" applyFill="1" applyBorder="1"/>
    <xf numFmtId="0" fontId="10" fillId="0" borderId="48" xfId="0" applyFont="1" applyFill="1" applyBorder="1" applyAlignment="1">
      <alignment horizontal="center"/>
    </xf>
    <xf numFmtId="164" fontId="2" fillId="4" borderId="9" xfId="1" applyNumberFormat="1" applyFont="1" applyFill="1" applyBorder="1" applyAlignment="1">
      <alignment horizontal="center"/>
    </xf>
    <xf numFmtId="0" fontId="2" fillId="0" borderId="13" xfId="0" applyFont="1" applyFill="1" applyBorder="1"/>
    <xf numFmtId="1" fontId="23" fillId="4" borderId="44" xfId="0" applyNumberFormat="1" applyFont="1" applyFill="1" applyBorder="1" applyAlignment="1">
      <alignment horizontal="center"/>
    </xf>
    <xf numFmtId="44" fontId="2" fillId="4" borderId="0" xfId="1" applyFont="1" applyFill="1"/>
    <xf numFmtId="0" fontId="2" fillId="0" borderId="46" xfId="0" applyFont="1" applyBorder="1"/>
    <xf numFmtId="0" fontId="10" fillId="0" borderId="46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6" fillId="0" borderId="39" xfId="0" applyNumberFormat="1" applyFont="1" applyBorder="1" applyAlignment="1">
      <alignment horizontal="center" vertical="center" wrapText="1"/>
    </xf>
    <xf numFmtId="15" fontId="2" fillId="0" borderId="76" xfId="0" applyNumberFormat="1" applyFont="1" applyFill="1" applyBorder="1"/>
    <xf numFmtId="44" fontId="10" fillId="9" borderId="22" xfId="1" applyFont="1" applyFill="1" applyBorder="1"/>
    <xf numFmtId="44" fontId="2" fillId="9" borderId="22" xfId="1" applyFont="1" applyFill="1" applyBorder="1"/>
    <xf numFmtId="165" fontId="14" fillId="0" borderId="0" xfId="0" applyNumberFormat="1" applyFont="1" applyFill="1"/>
    <xf numFmtId="44" fontId="10" fillId="8" borderId="3" xfId="1" applyFont="1" applyFill="1" applyBorder="1" applyAlignment="1">
      <alignment horizontal="center"/>
    </xf>
    <xf numFmtId="44" fontId="2" fillId="7" borderId="77" xfId="1" applyFont="1" applyFill="1" applyBorder="1"/>
    <xf numFmtId="44" fontId="15" fillId="0" borderId="49" xfId="1" applyFont="1" applyBorder="1"/>
    <xf numFmtId="0" fontId="34" fillId="0" borderId="0" xfId="0" applyFont="1" applyFill="1" applyBorder="1"/>
    <xf numFmtId="16" fontId="8" fillId="0" borderId="0" xfId="0" applyNumberFormat="1" applyFont="1" applyFill="1"/>
    <xf numFmtId="44" fontId="20" fillId="0" borderId="9" xfId="0" applyNumberFormat="1" applyFont="1" applyBorder="1"/>
    <xf numFmtId="44" fontId="2" fillId="3" borderId="0" xfId="1" applyFont="1" applyFill="1"/>
    <xf numFmtId="44" fontId="24" fillId="3" borderId="45" xfId="1" applyFont="1" applyFill="1" applyBorder="1"/>
    <xf numFmtId="44" fontId="10" fillId="0" borderId="44" xfId="1" applyFont="1" applyFill="1" applyBorder="1"/>
    <xf numFmtId="44" fontId="2" fillId="0" borderId="0" xfId="0" applyNumberFormat="1" applyFont="1" applyBorder="1"/>
    <xf numFmtId="164" fontId="33" fillId="4" borderId="44" xfId="0" applyNumberFormat="1" applyFont="1" applyFill="1" applyBorder="1" applyAlignment="1">
      <alignment horizontal="center"/>
    </xf>
    <xf numFmtId="44" fontId="1" fillId="0" borderId="0" xfId="1" applyFont="1" applyFill="1" applyBorder="1"/>
    <xf numFmtId="44" fontId="10" fillId="0" borderId="0" xfId="1" applyFont="1" applyFill="1" applyBorder="1" applyAlignment="1">
      <alignment horizontal="left"/>
    </xf>
    <xf numFmtId="44" fontId="30" fillId="0" borderId="0" xfId="1" applyFont="1" applyFill="1" applyBorder="1"/>
    <xf numFmtId="44" fontId="28" fillId="0" borderId="46" xfId="1" applyFont="1" applyFill="1" applyBorder="1"/>
    <xf numFmtId="16" fontId="2" fillId="13" borderId="0" xfId="0" applyNumberFormat="1" applyFont="1" applyFill="1" applyBorder="1"/>
    <xf numFmtId="44" fontId="2" fillId="13" borderId="13" xfId="1" applyFont="1" applyFill="1" applyBorder="1"/>
    <xf numFmtId="44" fontId="2" fillId="13" borderId="0" xfId="1" applyFont="1" applyFill="1" applyBorder="1" applyAlignment="1">
      <alignment horizontal="right"/>
    </xf>
    <xf numFmtId="44" fontId="10" fillId="10" borderId="0" xfId="1" applyFont="1" applyFill="1"/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44" fontId="20" fillId="9" borderId="2" xfId="1" applyFont="1" applyFill="1" applyBorder="1" applyAlignment="1">
      <alignment horizontal="center"/>
    </xf>
    <xf numFmtId="44" fontId="20" fillId="9" borderId="3" xfId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36" xfId="0" applyNumberFormat="1" applyFont="1" applyBorder="1" applyAlignment="1">
      <alignment horizontal="center" vertical="center"/>
    </xf>
    <xf numFmtId="165" fontId="9" fillId="0" borderId="32" xfId="0" applyNumberFormat="1" applyFont="1" applyBorder="1" applyAlignment="1">
      <alignment horizontal="center" vertical="center"/>
    </xf>
    <xf numFmtId="44" fontId="20" fillId="21" borderId="2" xfId="1" applyFont="1" applyFill="1" applyBorder="1" applyAlignment="1">
      <alignment horizontal="center"/>
    </xf>
    <xf numFmtId="44" fontId="20" fillId="21" borderId="3" xfId="1" applyFont="1" applyFill="1" applyBorder="1" applyAlignment="1">
      <alignment horizontal="center"/>
    </xf>
    <xf numFmtId="165" fontId="20" fillId="21" borderId="3" xfId="1" applyNumberFormat="1" applyFont="1" applyFill="1" applyBorder="1" applyAlignment="1">
      <alignment horizontal="center"/>
    </xf>
    <xf numFmtId="44" fontId="20" fillId="21" borderId="37" xfId="1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33CCFF"/>
      <color rgb="FFFF00FF"/>
      <color rgb="FF66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1133475</xdr:colOff>
      <xdr:row>42</xdr:row>
      <xdr:rowOff>57150</xdr:rowOff>
    </xdr:from>
    <xdr:to>
      <xdr:col>8</xdr:col>
      <xdr:colOff>95250</xdr:colOff>
      <xdr:row>46</xdr:row>
      <xdr:rowOff>142875</xdr:rowOff>
    </xdr:to>
    <xdr:cxnSp macro="">
      <xdr:nvCxnSpPr>
        <xdr:cNvPr id="12" name="Conector recto de flecha 11"/>
        <xdr:cNvCxnSpPr/>
      </xdr:nvCxnSpPr>
      <xdr:spPr>
        <a:xfrm flipV="1">
          <a:off x="4591050" y="8772525"/>
          <a:ext cx="1104900" cy="895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86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581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1059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486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00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678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19" workbookViewId="0">
      <selection activeCell="C43" sqref="C4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25" t="s">
        <v>0</v>
      </c>
      <c r="D1" s="425"/>
      <c r="E1" s="425"/>
      <c r="F1" s="425"/>
      <c r="G1" s="425"/>
      <c r="H1" s="425"/>
      <c r="I1" s="425"/>
      <c r="J1" s="425"/>
      <c r="K1" s="425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426" t="s">
        <v>4</v>
      </c>
      <c r="F4" s="427"/>
      <c r="I4" s="428" t="s">
        <v>5</v>
      </c>
      <c r="J4" s="429"/>
      <c r="K4" s="429"/>
      <c r="L4" s="429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430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431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432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32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421" t="s">
        <v>61</v>
      </c>
      <c r="I40" s="422"/>
      <c r="J40" s="101"/>
      <c r="K40" s="423">
        <f>I38+L38</f>
        <v>103445.36</v>
      </c>
      <c r="L40" s="424"/>
    </row>
    <row r="41" spans="1:17" ht="15.75" x14ac:dyDescent="0.25">
      <c r="B41" s="102"/>
      <c r="C41" s="77"/>
      <c r="D41" s="408" t="s">
        <v>62</v>
      </c>
      <c r="E41" s="408"/>
      <c r="F41" s="103">
        <f>F38-K40</f>
        <v>1062051.412</v>
      </c>
      <c r="I41" s="104"/>
      <c r="J41" s="104"/>
    </row>
    <row r="42" spans="1:17" ht="15.75" x14ac:dyDescent="0.25">
      <c r="D42" s="409" t="s">
        <v>63</v>
      </c>
      <c r="E42" s="409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410" t="s">
        <v>66</v>
      </c>
      <c r="J44" s="411"/>
      <c r="K44" s="414">
        <f>F48+L46</f>
        <v>161813.49199999991</v>
      </c>
      <c r="L44" s="415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412"/>
      <c r="J45" s="413"/>
      <c r="K45" s="416"/>
      <c r="L45" s="417"/>
    </row>
    <row r="46" spans="1:17" ht="17.25" thickTop="1" thickBot="1" x14ac:dyDescent="0.3">
      <c r="C46" s="94"/>
      <c r="D46" s="418" t="s">
        <v>69</v>
      </c>
      <c r="E46" s="418"/>
      <c r="F46" s="109">
        <v>263182.99</v>
      </c>
      <c r="I46" s="419"/>
      <c r="J46" s="419"/>
      <c r="K46" s="420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402">
        <v>-279978.36</v>
      </c>
      <c r="L47" s="402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403"/>
      <c r="E49" s="403"/>
      <c r="F49" s="77"/>
      <c r="I49" s="404" t="s">
        <v>247</v>
      </c>
      <c r="J49" s="405"/>
      <c r="K49" s="406">
        <f>K44+K47</f>
        <v>-118164.86800000007</v>
      </c>
      <c r="L49" s="40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topLeftCell="A25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25" t="s">
        <v>351</v>
      </c>
      <c r="D1" s="425"/>
      <c r="E1" s="425"/>
      <c r="F1" s="425"/>
      <c r="G1" s="425"/>
      <c r="H1" s="425"/>
      <c r="I1" s="425"/>
      <c r="J1" s="425"/>
      <c r="K1" s="425"/>
      <c r="L1" s="2" t="s">
        <v>1</v>
      </c>
    </row>
    <row r="2" spans="1:19" ht="15.75" thickBot="1" x14ac:dyDescent="0.3">
      <c r="C2" s="151"/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190939.59</v>
      </c>
      <c r="D4" s="13"/>
      <c r="E4" s="426" t="s">
        <v>4</v>
      </c>
      <c r="F4" s="427"/>
      <c r="I4" s="428" t="s">
        <v>5</v>
      </c>
      <c r="J4" s="429"/>
      <c r="K4" s="429"/>
      <c r="L4" s="429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42856</v>
      </c>
      <c r="C5" s="30">
        <v>30367.51</v>
      </c>
      <c r="D5" s="238" t="s">
        <v>366</v>
      </c>
      <c r="E5" s="20">
        <v>42856</v>
      </c>
      <c r="F5" s="32">
        <v>30867.51</v>
      </c>
      <c r="G5" s="22"/>
      <c r="H5" s="23">
        <v>42856</v>
      </c>
      <c r="I5" s="194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42857</v>
      </c>
      <c r="C6" s="30">
        <v>47728.28</v>
      </c>
      <c r="D6" s="239" t="s">
        <v>368</v>
      </c>
      <c r="E6" s="20">
        <v>42857</v>
      </c>
      <c r="F6" s="32">
        <v>37243.160000000003</v>
      </c>
      <c r="G6" s="33"/>
      <c r="H6" s="23">
        <v>42857</v>
      </c>
      <c r="I6" s="35">
        <v>620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42858</v>
      </c>
      <c r="C7" s="30">
        <v>50717.45</v>
      </c>
      <c r="D7" s="238" t="s">
        <v>368</v>
      </c>
      <c r="E7" s="20">
        <v>42858</v>
      </c>
      <c r="F7" s="32">
        <v>51492.02</v>
      </c>
      <c r="G7" s="22"/>
      <c r="H7" s="23">
        <v>42858</v>
      </c>
      <c r="I7" s="35">
        <v>774.57</v>
      </c>
      <c r="J7" s="36"/>
      <c r="K7" s="40" t="s">
        <v>432</v>
      </c>
      <c r="L7" s="38">
        <v>19814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42859</v>
      </c>
      <c r="C8" s="30">
        <v>31494</v>
      </c>
      <c r="D8" s="238" t="s">
        <v>373</v>
      </c>
      <c r="E8" s="20">
        <v>42859</v>
      </c>
      <c r="F8" s="32">
        <v>31593.87</v>
      </c>
      <c r="G8" s="22"/>
      <c r="H8" s="23">
        <v>42859</v>
      </c>
      <c r="I8" s="35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42860</v>
      </c>
      <c r="C9" s="30">
        <v>50676.93</v>
      </c>
      <c r="D9" s="238" t="s">
        <v>375</v>
      </c>
      <c r="E9" s="20">
        <v>42860</v>
      </c>
      <c r="F9" s="32">
        <v>50176.05</v>
      </c>
      <c r="G9" s="22"/>
      <c r="H9" s="23">
        <v>42860</v>
      </c>
      <c r="I9" s="35">
        <v>100</v>
      </c>
      <c r="J9" s="42" t="s">
        <v>384</v>
      </c>
      <c r="K9" s="37" t="s">
        <v>348</v>
      </c>
      <c r="L9" s="32">
        <v>11892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42861</v>
      </c>
      <c r="C10" s="30">
        <v>66073.66</v>
      </c>
      <c r="D10" s="239" t="s">
        <v>376</v>
      </c>
      <c r="E10" s="20">
        <v>42861</v>
      </c>
      <c r="F10" s="32">
        <v>66329.66</v>
      </c>
      <c r="G10" s="22"/>
      <c r="H10" s="23">
        <v>42861</v>
      </c>
      <c r="I10" s="35">
        <v>256</v>
      </c>
      <c r="J10" s="42" t="s">
        <v>385</v>
      </c>
      <c r="K10" s="37" t="s">
        <v>349</v>
      </c>
      <c r="L10" s="32">
        <v>11207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42862</v>
      </c>
      <c r="C11" s="30">
        <v>44077</v>
      </c>
      <c r="D11" s="240" t="s">
        <v>378</v>
      </c>
      <c r="E11" s="20">
        <v>42862</v>
      </c>
      <c r="F11" s="32">
        <v>45001.36</v>
      </c>
      <c r="G11" s="22"/>
      <c r="H11" s="23">
        <v>42862</v>
      </c>
      <c r="I11" s="35">
        <v>400</v>
      </c>
      <c r="J11" s="42" t="s">
        <v>407</v>
      </c>
      <c r="K11" s="37" t="s">
        <v>350</v>
      </c>
      <c r="L11" s="300">
        <v>11207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17">
        <v>42863</v>
      </c>
      <c r="C12" s="30">
        <v>33206.1</v>
      </c>
      <c r="D12" s="238" t="s">
        <v>379</v>
      </c>
      <c r="E12" s="20">
        <v>42863</v>
      </c>
      <c r="F12" s="32">
        <v>33306.1</v>
      </c>
      <c r="G12" s="22"/>
      <c r="H12" s="23">
        <v>42863</v>
      </c>
      <c r="I12" s="35">
        <v>100</v>
      </c>
      <c r="J12" s="42" t="s">
        <v>466</v>
      </c>
      <c r="K12" s="37" t="s">
        <v>460</v>
      </c>
      <c r="L12" s="300">
        <v>11207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42864</v>
      </c>
      <c r="C13" s="30">
        <v>38390.57</v>
      </c>
      <c r="D13" s="240" t="s">
        <v>380</v>
      </c>
      <c r="E13" s="20">
        <v>42864</v>
      </c>
      <c r="F13" s="32">
        <v>39095.57</v>
      </c>
      <c r="G13" s="22"/>
      <c r="H13" s="23">
        <v>42864</v>
      </c>
      <c r="I13" s="35">
        <v>156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42865</v>
      </c>
      <c r="C14" s="30">
        <v>53672.2</v>
      </c>
      <c r="D14" s="238" t="s">
        <v>381</v>
      </c>
      <c r="E14" s="20">
        <v>42865</v>
      </c>
      <c r="F14" s="32">
        <v>54642.2</v>
      </c>
      <c r="G14" s="22"/>
      <c r="H14" s="23">
        <v>42865</v>
      </c>
      <c r="I14" s="35">
        <v>100</v>
      </c>
      <c r="J14" s="42" t="s">
        <v>374</v>
      </c>
      <c r="K14" s="48" t="s">
        <v>29</v>
      </c>
      <c r="L14" s="32">
        <f>2642.86+1295.77</f>
        <v>3938.63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42866</v>
      </c>
      <c r="C15" s="30">
        <v>32257.5</v>
      </c>
      <c r="D15" s="238" t="s">
        <v>382</v>
      </c>
      <c r="E15" s="20">
        <v>42866</v>
      </c>
      <c r="F15" s="32">
        <v>32257.5</v>
      </c>
      <c r="G15" s="22"/>
      <c r="H15" s="23">
        <v>42866</v>
      </c>
      <c r="I15" s="35">
        <v>0</v>
      </c>
      <c r="J15" s="265">
        <v>42860</v>
      </c>
      <c r="K15" s="49" t="s">
        <v>394</v>
      </c>
      <c r="L15" s="32">
        <v>0</v>
      </c>
      <c r="M15" s="39">
        <v>0</v>
      </c>
      <c r="N15" s="35">
        <v>0</v>
      </c>
      <c r="O15" s="22"/>
      <c r="P15" s="22"/>
      <c r="Q15" s="22"/>
    </row>
    <row r="16" spans="1:19" ht="15.75" thickBot="1" x14ac:dyDescent="0.3">
      <c r="A16" s="16"/>
      <c r="B16" s="17">
        <v>42867</v>
      </c>
      <c r="C16" s="30">
        <v>84821.81</v>
      </c>
      <c r="D16" s="238" t="s">
        <v>393</v>
      </c>
      <c r="E16" s="20">
        <v>42867</v>
      </c>
      <c r="F16" s="32">
        <v>86852.851999999999</v>
      </c>
      <c r="G16" s="22"/>
      <c r="H16" s="23">
        <v>42867</v>
      </c>
      <c r="I16" s="35">
        <v>735.24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42868</v>
      </c>
      <c r="C17" s="30">
        <v>43545</v>
      </c>
      <c r="D17" s="238" t="s">
        <v>397</v>
      </c>
      <c r="E17" s="20">
        <v>42868</v>
      </c>
      <c r="F17" s="32">
        <v>52475.17</v>
      </c>
      <c r="G17" s="22"/>
      <c r="H17" s="23">
        <v>42868</v>
      </c>
      <c r="I17" s="35">
        <v>400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42869</v>
      </c>
      <c r="C18" s="30">
        <v>29042.36</v>
      </c>
      <c r="D18" s="238" t="s">
        <v>398</v>
      </c>
      <c r="E18" s="20">
        <v>42869</v>
      </c>
      <c r="F18" s="32">
        <v>29042.36</v>
      </c>
      <c r="G18" s="22"/>
      <c r="H18" s="23">
        <v>42869</v>
      </c>
      <c r="I18" s="35">
        <v>0</v>
      </c>
      <c r="J18" s="42"/>
      <c r="K18" s="53" t="s">
        <v>35</v>
      </c>
      <c r="L18" s="32">
        <v>400</v>
      </c>
      <c r="M18" s="39">
        <v>0</v>
      </c>
      <c r="N18" s="35">
        <v>0</v>
      </c>
      <c r="O18" s="44"/>
      <c r="P18" s="22"/>
      <c r="Q18" s="22"/>
    </row>
    <row r="19" spans="1:18" ht="15.75" thickBot="1" x14ac:dyDescent="0.3">
      <c r="A19" s="16"/>
      <c r="B19" s="17">
        <v>42870</v>
      </c>
      <c r="C19" s="30">
        <v>41282.26</v>
      </c>
      <c r="D19" s="238" t="s">
        <v>399</v>
      </c>
      <c r="E19" s="20">
        <v>42870</v>
      </c>
      <c r="F19" s="32">
        <v>34507.47</v>
      </c>
      <c r="G19" s="22"/>
      <c r="H19" s="23">
        <v>42870</v>
      </c>
      <c r="I19" s="35">
        <v>100</v>
      </c>
      <c r="J19" s="42"/>
      <c r="K19" s="53">
        <v>42856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42871</v>
      </c>
      <c r="C20" s="30">
        <v>24154.28</v>
      </c>
      <c r="D20" s="239" t="s">
        <v>400</v>
      </c>
      <c r="E20" s="20">
        <v>42871</v>
      </c>
      <c r="F20" s="32">
        <v>21437.64</v>
      </c>
      <c r="G20" s="22"/>
      <c r="H20" s="23">
        <v>42871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42872</v>
      </c>
      <c r="C21" s="30">
        <v>24154.28</v>
      </c>
      <c r="D21" s="238" t="s">
        <v>401</v>
      </c>
      <c r="E21" s="20">
        <v>42872</v>
      </c>
      <c r="F21" s="32">
        <v>24254.28</v>
      </c>
      <c r="G21" s="22"/>
      <c r="H21" s="23">
        <v>42872</v>
      </c>
      <c r="I21" s="55">
        <v>100</v>
      </c>
      <c r="J21" s="42"/>
      <c r="K21" s="57" t="s">
        <v>402</v>
      </c>
      <c r="L21" s="51">
        <v>500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42873</v>
      </c>
      <c r="C22" s="30">
        <v>25367</v>
      </c>
      <c r="D22" s="238" t="s">
        <v>403</v>
      </c>
      <c r="E22" s="20">
        <v>42873</v>
      </c>
      <c r="F22" s="32">
        <v>26050.9</v>
      </c>
      <c r="G22" s="22"/>
      <c r="H22" s="23">
        <v>42873</v>
      </c>
      <c r="I22" s="55">
        <v>184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42874</v>
      </c>
      <c r="C23" s="30">
        <v>64335.92</v>
      </c>
      <c r="D23" s="241" t="s">
        <v>404</v>
      </c>
      <c r="E23" s="20">
        <v>42874</v>
      </c>
      <c r="F23" s="32">
        <v>64805.919999999998</v>
      </c>
      <c r="G23" s="22"/>
      <c r="H23" s="23">
        <v>42874</v>
      </c>
      <c r="I23" s="55">
        <v>470</v>
      </c>
      <c r="J23" s="36"/>
      <c r="K23" s="61">
        <v>42865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17">
        <v>42875</v>
      </c>
      <c r="C24" s="30">
        <v>64062.98</v>
      </c>
      <c r="D24" s="238" t="s">
        <v>405</v>
      </c>
      <c r="E24" s="20">
        <v>42875</v>
      </c>
      <c r="F24" s="32">
        <v>64162.98</v>
      </c>
      <c r="G24" s="22"/>
      <c r="H24" s="23">
        <v>42875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17">
        <v>42876</v>
      </c>
      <c r="C25" s="30">
        <v>32720.799999999999</v>
      </c>
      <c r="D25" s="241" t="s">
        <v>408</v>
      </c>
      <c r="E25" s="20">
        <v>42876</v>
      </c>
      <c r="F25" s="32">
        <v>38470.800000000003</v>
      </c>
      <c r="G25" s="22"/>
      <c r="H25" s="23">
        <v>42876</v>
      </c>
      <c r="I25" s="55">
        <v>400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42877</v>
      </c>
      <c r="C26" s="30">
        <v>27605.69</v>
      </c>
      <c r="D26" s="238" t="s">
        <v>409</v>
      </c>
      <c r="E26" s="20">
        <v>42877</v>
      </c>
      <c r="F26" s="32">
        <v>27705.69</v>
      </c>
      <c r="G26" s="22"/>
      <c r="H26" s="23">
        <v>42877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42878</v>
      </c>
      <c r="C27" s="30">
        <v>29291.82</v>
      </c>
      <c r="D27" s="238" t="s">
        <v>429</v>
      </c>
      <c r="E27" s="20">
        <v>42878</v>
      </c>
      <c r="F27" s="32">
        <v>29391.82</v>
      </c>
      <c r="G27" s="22"/>
      <c r="H27" s="23">
        <v>42878</v>
      </c>
      <c r="I27" s="55">
        <v>100</v>
      </c>
      <c r="J27" s="36"/>
      <c r="K27" s="64" t="s">
        <v>395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42879</v>
      </c>
      <c r="C28" s="30">
        <v>29451.99</v>
      </c>
      <c r="D28" s="238" t="s">
        <v>430</v>
      </c>
      <c r="E28" s="20">
        <v>42879</v>
      </c>
      <c r="F28" s="32">
        <v>29551.99</v>
      </c>
      <c r="G28" s="22"/>
      <c r="H28" s="23">
        <v>42879</v>
      </c>
      <c r="I28" s="55">
        <v>100</v>
      </c>
      <c r="J28" s="36"/>
      <c r="K28" s="64" t="s">
        <v>396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42880</v>
      </c>
      <c r="C29" s="30">
        <v>41103.269999999997</v>
      </c>
      <c r="D29" s="238" t="s">
        <v>431</v>
      </c>
      <c r="E29" s="20">
        <v>42880</v>
      </c>
      <c r="F29" s="32">
        <v>41103.269999999997</v>
      </c>
      <c r="G29" s="22"/>
      <c r="H29" s="23">
        <v>42880</v>
      </c>
      <c r="I29" s="55">
        <v>0</v>
      </c>
      <c r="J29" s="36"/>
      <c r="K29" s="64" t="s">
        <v>406</v>
      </c>
      <c r="L29" s="51">
        <v>3500</v>
      </c>
      <c r="M29" s="39">
        <v>0</v>
      </c>
      <c r="N29" s="35">
        <v>0</v>
      </c>
      <c r="O29" s="22"/>
      <c r="P29" s="22"/>
      <c r="Q29" s="22"/>
    </row>
    <row r="30" spans="1:18" ht="15.75" thickBot="1" x14ac:dyDescent="0.3">
      <c r="A30" s="16"/>
      <c r="B30" s="17">
        <v>42881</v>
      </c>
      <c r="C30" s="30">
        <v>35869.620000000003</v>
      </c>
      <c r="D30" s="238" t="s">
        <v>433</v>
      </c>
      <c r="E30" s="20">
        <v>42881</v>
      </c>
      <c r="F30" s="32">
        <v>56695.9</v>
      </c>
      <c r="G30" s="22"/>
      <c r="H30" s="23">
        <v>42881</v>
      </c>
      <c r="I30" s="55">
        <v>1012.28</v>
      </c>
      <c r="J30" s="63"/>
      <c r="K30" s="64" t="s">
        <v>435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42882</v>
      </c>
      <c r="C31" s="30">
        <v>89440.1</v>
      </c>
      <c r="D31" s="238" t="s">
        <v>434</v>
      </c>
      <c r="E31" s="20">
        <v>42882</v>
      </c>
      <c r="F31" s="32">
        <v>90132.6</v>
      </c>
      <c r="G31" s="22"/>
      <c r="H31" s="23">
        <v>42882</v>
      </c>
      <c r="I31" s="55">
        <v>692.5</v>
      </c>
      <c r="J31" s="42"/>
      <c r="K31" s="199" t="s">
        <v>436</v>
      </c>
      <c r="L31" s="67">
        <v>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42883</v>
      </c>
      <c r="C32" s="30">
        <v>42036.34</v>
      </c>
      <c r="D32" s="238" t="s">
        <v>433</v>
      </c>
      <c r="E32" s="20">
        <v>42883</v>
      </c>
      <c r="F32" s="32">
        <v>45836.34</v>
      </c>
      <c r="G32" s="22"/>
      <c r="H32" s="23">
        <v>42883</v>
      </c>
      <c r="I32" s="55">
        <v>300</v>
      </c>
      <c r="J32" s="36"/>
      <c r="K32" s="64"/>
      <c r="L32" s="68"/>
      <c r="M32" s="39">
        <v>0</v>
      </c>
      <c r="N32" s="35">
        <v>0</v>
      </c>
      <c r="O32" s="22"/>
      <c r="P32" s="22"/>
      <c r="Q32" s="22"/>
    </row>
    <row r="33" spans="1:17" ht="15.75" thickBot="1" x14ac:dyDescent="0.3">
      <c r="A33" s="16"/>
      <c r="B33" s="17">
        <v>42884</v>
      </c>
      <c r="C33" s="30">
        <v>23365.47</v>
      </c>
      <c r="D33" s="240" t="s">
        <v>437</v>
      </c>
      <c r="E33" s="20">
        <v>42884</v>
      </c>
      <c r="F33" s="32">
        <v>23965.47</v>
      </c>
      <c r="G33" s="22"/>
      <c r="H33" s="23">
        <v>42884</v>
      </c>
      <c r="I33" s="55">
        <v>100</v>
      </c>
      <c r="J33" s="36"/>
      <c r="K33" s="69"/>
      <c r="L33" s="430">
        <v>0</v>
      </c>
      <c r="M33" s="39">
        <v>0</v>
      </c>
      <c r="N33" s="35">
        <v>0</v>
      </c>
      <c r="O33" s="22"/>
      <c r="P33" s="22"/>
      <c r="Q33" s="22"/>
    </row>
    <row r="34" spans="1:17" ht="15.75" thickBot="1" x14ac:dyDescent="0.3">
      <c r="A34" s="16"/>
      <c r="B34" s="17">
        <v>42885</v>
      </c>
      <c r="C34" s="30">
        <v>31250.69</v>
      </c>
      <c r="D34" s="238" t="s">
        <v>438</v>
      </c>
      <c r="E34" s="20">
        <v>42885</v>
      </c>
      <c r="F34" s="32">
        <v>31406.69</v>
      </c>
      <c r="G34" s="22"/>
      <c r="H34" s="23">
        <v>42885</v>
      </c>
      <c r="I34" s="55">
        <v>156</v>
      </c>
      <c r="J34" s="36"/>
      <c r="K34" s="69"/>
      <c r="L34" s="431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42886</v>
      </c>
      <c r="C35" s="30">
        <v>32706.74</v>
      </c>
      <c r="D35" s="278" t="s">
        <v>439</v>
      </c>
      <c r="E35" s="20">
        <v>42886</v>
      </c>
      <c r="F35" s="32">
        <v>32806.74</v>
      </c>
      <c r="G35" s="22"/>
      <c r="H35" s="23">
        <v>42886</v>
      </c>
      <c r="I35" s="55">
        <v>100</v>
      </c>
      <c r="J35" s="36"/>
      <c r="K35" s="432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30">
        <v>0</v>
      </c>
      <c r="D36" s="45"/>
      <c r="E36" s="74"/>
      <c r="F36" s="32">
        <v>0</v>
      </c>
      <c r="G36" s="22"/>
      <c r="H36" s="75"/>
      <c r="I36" s="76">
        <v>0</v>
      </c>
      <c r="J36" s="77"/>
      <c r="K36" s="432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1294269.6200000001</v>
      </c>
      <c r="E38" s="258" t="s">
        <v>60</v>
      </c>
      <c r="F38" s="94">
        <f>SUM(F5:F37)</f>
        <v>1322661.882</v>
      </c>
      <c r="H38" s="6" t="s">
        <v>60</v>
      </c>
      <c r="I38" s="4">
        <f>SUM(I5:I37)</f>
        <v>7956.59</v>
      </c>
      <c r="J38" s="4"/>
      <c r="K38" s="95" t="s">
        <v>60</v>
      </c>
      <c r="L38" s="96">
        <f>SUM(L5:L37)</f>
        <v>114834.63</v>
      </c>
    </row>
    <row r="40" spans="1:17" ht="15.75" x14ac:dyDescent="0.25">
      <c r="A40" s="97"/>
      <c r="B40" s="98"/>
      <c r="C40" s="36"/>
      <c r="D40" s="99"/>
      <c r="E40" s="100"/>
      <c r="F40" s="77"/>
      <c r="H40" s="421" t="s">
        <v>61</v>
      </c>
      <c r="I40" s="422"/>
      <c r="J40" s="257"/>
      <c r="K40" s="423">
        <f>I38+L38</f>
        <v>122791.22</v>
      </c>
      <c r="L40" s="424"/>
    </row>
    <row r="41" spans="1:17" ht="15.75" x14ac:dyDescent="0.25">
      <c r="B41" s="102"/>
      <c r="C41" s="77"/>
      <c r="D41" s="408" t="s">
        <v>62</v>
      </c>
      <c r="E41" s="408"/>
      <c r="F41" s="103">
        <f>F38-K40</f>
        <v>1199870.662</v>
      </c>
      <c r="I41" s="104"/>
      <c r="J41" s="104"/>
    </row>
    <row r="42" spans="1:17" ht="15.75" x14ac:dyDescent="0.25">
      <c r="D42" s="409" t="s">
        <v>63</v>
      </c>
      <c r="E42" s="409"/>
      <c r="F42" s="103">
        <v>-1353283.84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-153413.17800000007</v>
      </c>
      <c r="I44" s="410" t="s">
        <v>66</v>
      </c>
      <c r="J44" s="411"/>
      <c r="K44" s="414">
        <f>F48+L46</f>
        <v>62100.375999999931</v>
      </c>
      <c r="L44" s="415"/>
    </row>
    <row r="45" spans="1:17" ht="15.75" thickBot="1" x14ac:dyDescent="0.3">
      <c r="D45" s="108" t="s">
        <v>67</v>
      </c>
      <c r="E45" s="97" t="s">
        <v>68</v>
      </c>
      <c r="F45" s="4">
        <v>9697.384</v>
      </c>
      <c r="I45" s="412"/>
      <c r="J45" s="413"/>
      <c r="K45" s="416"/>
      <c r="L45" s="417"/>
    </row>
    <row r="46" spans="1:17" ht="17.25" thickTop="1" thickBot="1" x14ac:dyDescent="0.3">
      <c r="C46" s="94"/>
      <c r="D46" s="418" t="s">
        <v>69</v>
      </c>
      <c r="E46" s="418"/>
      <c r="F46" s="109">
        <v>205816.17</v>
      </c>
      <c r="I46" s="419"/>
      <c r="J46" s="419"/>
      <c r="K46" s="420"/>
      <c r="L46" s="110"/>
    </row>
    <row r="47" spans="1:17" ht="19.5" thickBot="1" x14ac:dyDescent="0.35">
      <c r="C47" s="94"/>
      <c r="D47" s="258"/>
      <c r="E47" s="258"/>
      <c r="F47" s="111"/>
      <c r="H47" s="112"/>
      <c r="I47" s="259" t="s">
        <v>275</v>
      </c>
      <c r="J47" s="259"/>
      <c r="K47" s="402">
        <f>-C4</f>
        <v>-190939.59</v>
      </c>
      <c r="L47" s="402"/>
      <c r="M47" s="114"/>
    </row>
    <row r="48" spans="1:17" ht="17.25" thickTop="1" thickBot="1" x14ac:dyDescent="0.3">
      <c r="E48" s="115" t="s">
        <v>71</v>
      </c>
      <c r="F48" s="116">
        <f>F44+F45+F46</f>
        <v>62100.375999999931</v>
      </c>
    </row>
    <row r="49" spans="2:14" ht="19.5" thickBot="1" x14ac:dyDescent="0.35">
      <c r="B49"/>
      <c r="C49"/>
      <c r="D49" s="403"/>
      <c r="E49" s="403"/>
      <c r="F49" s="77"/>
      <c r="I49" s="404" t="s">
        <v>274</v>
      </c>
      <c r="J49" s="405"/>
      <c r="K49" s="406">
        <f>K44+K47</f>
        <v>-128839.21400000007</v>
      </c>
      <c r="L49" s="40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Y76"/>
  <sheetViews>
    <sheetView workbookViewId="0">
      <selection activeCell="C3" sqref="C3:C1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4.7109375" style="22" bestFit="1" customWidth="1"/>
    <col min="9" max="9" width="13.85546875" bestFit="1" customWidth="1"/>
    <col min="11" max="11" width="14" customWidth="1"/>
    <col min="14" max="14" width="20.140625" bestFit="1" customWidth="1"/>
    <col min="15" max="15" width="13.140625" bestFit="1" customWidth="1"/>
    <col min="19" max="19" width="14.7109375" bestFit="1" customWidth="1"/>
    <col min="21" max="21" width="15.42578125" customWidth="1"/>
    <col min="24" max="24" width="20.140625" bestFit="1" customWidth="1"/>
    <col min="25" max="25" width="13.28515625" bestFit="1" customWidth="1"/>
  </cols>
  <sheetData>
    <row r="1" spans="1:25" ht="19.5" thickBot="1" x14ac:dyDescent="0.35">
      <c r="B1" s="118" t="s">
        <v>352</v>
      </c>
      <c r="C1" s="119"/>
      <c r="D1" s="120"/>
      <c r="E1" s="119"/>
      <c r="F1" s="121"/>
      <c r="G1" s="200"/>
      <c r="J1" t="s">
        <v>64</v>
      </c>
      <c r="K1" s="154" t="s">
        <v>105</v>
      </c>
      <c r="L1" s="155"/>
      <c r="M1" s="156"/>
      <c r="N1" s="182">
        <v>42868</v>
      </c>
      <c r="O1" s="158"/>
      <c r="T1" t="s">
        <v>64</v>
      </c>
      <c r="U1" s="154" t="s">
        <v>105</v>
      </c>
      <c r="V1" s="155"/>
      <c r="W1" s="156"/>
      <c r="X1" s="223">
        <v>42886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42856</v>
      </c>
      <c r="B3" s="126" t="s">
        <v>353</v>
      </c>
      <c r="C3" s="36">
        <v>32165</v>
      </c>
      <c r="D3" s="127">
        <v>42868</v>
      </c>
      <c r="E3" s="36">
        <v>32165</v>
      </c>
      <c r="F3" s="128">
        <f t="shared" ref="F3:F34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42857</v>
      </c>
      <c r="B4" s="126" t="s">
        <v>354</v>
      </c>
      <c r="C4" s="130">
        <v>67943.95</v>
      </c>
      <c r="D4" s="127">
        <v>42868</v>
      </c>
      <c r="E4" s="130">
        <v>67943.95</v>
      </c>
      <c r="F4" s="128">
        <f t="shared" si="0"/>
        <v>0</v>
      </c>
      <c r="G4" s="37"/>
      <c r="I4" s="164">
        <f>59351+50741.5</f>
        <v>110092.5</v>
      </c>
      <c r="J4" s="126" t="s">
        <v>320</v>
      </c>
      <c r="K4" s="36">
        <v>109347.54</v>
      </c>
      <c r="L4" s="165" t="s">
        <v>111</v>
      </c>
      <c r="M4" s="166" t="s">
        <v>113</v>
      </c>
      <c r="N4" s="167">
        <v>59351</v>
      </c>
      <c r="O4" s="168">
        <v>42857</v>
      </c>
      <c r="S4" s="164">
        <f>28915+1630.52</f>
        <v>30545.52</v>
      </c>
      <c r="T4" s="126" t="s">
        <v>390</v>
      </c>
      <c r="U4" s="36">
        <v>3903.29</v>
      </c>
      <c r="V4" s="165" t="s">
        <v>111</v>
      </c>
      <c r="W4" s="166" t="s">
        <v>113</v>
      </c>
      <c r="X4" s="167">
        <v>28916</v>
      </c>
      <c r="Y4" s="168">
        <v>42880</v>
      </c>
    </row>
    <row r="5" spans="1:25" ht="15.75" x14ac:dyDescent="0.25">
      <c r="A5" s="129">
        <v>42858</v>
      </c>
      <c r="B5" s="132" t="s">
        <v>355</v>
      </c>
      <c r="C5" s="36">
        <v>49458.52</v>
      </c>
      <c r="D5" s="127">
        <v>42868</v>
      </c>
      <c r="E5" s="36">
        <v>49458.52</v>
      </c>
      <c r="F5" s="128">
        <f t="shared" si="0"/>
        <v>0</v>
      </c>
      <c r="G5" s="201"/>
      <c r="I5" s="164">
        <f>17390.08+32671.55+21506.18</f>
        <v>71567.81</v>
      </c>
      <c r="J5" s="126" t="s">
        <v>339</v>
      </c>
      <c r="K5" s="130">
        <v>71567.81</v>
      </c>
      <c r="L5" s="165"/>
      <c r="M5" s="166" t="s">
        <v>113</v>
      </c>
      <c r="N5" s="167">
        <v>68131.5</v>
      </c>
      <c r="O5" s="168">
        <v>42857</v>
      </c>
      <c r="S5" s="164">
        <v>25013.7</v>
      </c>
      <c r="T5" s="126" t="s">
        <v>391</v>
      </c>
      <c r="U5" s="130">
        <v>25013.7</v>
      </c>
      <c r="V5" s="165"/>
      <c r="W5" s="166" t="s">
        <v>113</v>
      </c>
      <c r="X5" s="167">
        <v>28931.5</v>
      </c>
      <c r="Y5" s="168">
        <v>42880</v>
      </c>
    </row>
    <row r="6" spans="1:25" ht="15.75" x14ac:dyDescent="0.25">
      <c r="A6" s="129">
        <v>42859</v>
      </c>
      <c r="B6" s="126" t="s">
        <v>356</v>
      </c>
      <c r="C6" s="36">
        <v>98643.7</v>
      </c>
      <c r="D6" s="133" t="s">
        <v>410</v>
      </c>
      <c r="E6" s="36">
        <f>69893.91+28749.79</f>
        <v>98643.700000000012</v>
      </c>
      <c r="F6" s="128">
        <f t="shared" si="0"/>
        <v>0</v>
      </c>
      <c r="G6" s="176"/>
      <c r="I6" s="140">
        <f>8537.65+5538.12+36623.16+5567+50717.45+31174.5+4057.56+6161.94+17279.28</f>
        <v>165656.66</v>
      </c>
      <c r="J6" s="126" t="s">
        <v>340</v>
      </c>
      <c r="K6" s="130">
        <v>165656.38</v>
      </c>
      <c r="L6" s="165"/>
      <c r="M6" s="166" t="s">
        <v>113</v>
      </c>
      <c r="N6" s="167">
        <v>32671.5</v>
      </c>
      <c r="O6" s="168">
        <v>42857</v>
      </c>
      <c r="S6" s="140">
        <f>529.18+1758.59+41103.27+7912.03</f>
        <v>51303.069999999992</v>
      </c>
      <c r="T6" s="126" t="s">
        <v>392</v>
      </c>
      <c r="U6" s="130">
        <v>50773.62</v>
      </c>
      <c r="V6" s="165"/>
      <c r="W6" s="166" t="s">
        <v>113</v>
      </c>
      <c r="X6" s="4">
        <v>41103</v>
      </c>
      <c r="Y6" s="168">
        <v>42881</v>
      </c>
    </row>
    <row r="7" spans="1:25" ht="15.75" x14ac:dyDescent="0.25">
      <c r="A7" s="129">
        <v>42860</v>
      </c>
      <c r="B7" s="126" t="s">
        <v>357</v>
      </c>
      <c r="C7" s="130">
        <v>26281.02</v>
      </c>
      <c r="D7" s="127">
        <v>42879</v>
      </c>
      <c r="E7" s="130">
        <v>26281.02</v>
      </c>
      <c r="F7" s="128">
        <f t="shared" si="0"/>
        <v>0</v>
      </c>
      <c r="G7" s="176"/>
      <c r="I7" s="140">
        <f>16497+43944.74</f>
        <v>60441.74</v>
      </c>
      <c r="J7" s="126" t="s">
        <v>345</v>
      </c>
      <c r="K7" s="130">
        <v>60441.74</v>
      </c>
      <c r="L7" s="165"/>
      <c r="M7" s="166" t="s">
        <v>113</v>
      </c>
      <c r="N7" s="167">
        <v>30044</v>
      </c>
      <c r="O7" s="168">
        <v>42857</v>
      </c>
      <c r="S7" s="140">
        <f>27957.59+3457.12+4041.19+1962.52+1686.4+77373.87+42036.34+12887.43</f>
        <v>171402.46</v>
      </c>
      <c r="T7" s="126" t="s">
        <v>411</v>
      </c>
      <c r="U7" s="130">
        <v>171402.46</v>
      </c>
      <c r="V7" s="165"/>
      <c r="W7" s="166" t="s">
        <v>113</v>
      </c>
      <c r="X7" s="4">
        <v>35866.5</v>
      </c>
      <c r="Y7" s="168">
        <v>42882</v>
      </c>
    </row>
    <row r="8" spans="1:25" ht="16.5" thickBot="1" x14ac:dyDescent="0.3">
      <c r="A8" s="129">
        <v>42861</v>
      </c>
      <c r="B8" s="126" t="s">
        <v>358</v>
      </c>
      <c r="C8" s="130">
        <v>5790.1</v>
      </c>
      <c r="D8" s="127">
        <v>42879</v>
      </c>
      <c r="E8" s="130">
        <v>5790.1</v>
      </c>
      <c r="F8" s="128">
        <f t="shared" si="0"/>
        <v>0</v>
      </c>
      <c r="G8" s="176"/>
      <c r="I8" s="140">
        <v>6681.15</v>
      </c>
      <c r="J8" s="143" t="s">
        <v>346</v>
      </c>
      <c r="K8" s="144">
        <v>6681.15</v>
      </c>
      <c r="L8" s="165"/>
      <c r="M8" s="166" t="s">
        <v>113</v>
      </c>
      <c r="N8" s="167">
        <v>36623</v>
      </c>
      <c r="O8" s="168">
        <v>42858</v>
      </c>
      <c r="S8" s="140">
        <f>10105.54+31250.69</f>
        <v>41356.229999999996</v>
      </c>
      <c r="T8" s="126" t="s">
        <v>412</v>
      </c>
      <c r="U8" s="130">
        <v>42695.89</v>
      </c>
      <c r="V8" s="165" t="s">
        <v>125</v>
      </c>
      <c r="W8" s="166" t="s">
        <v>113</v>
      </c>
      <c r="X8" s="4">
        <v>3</v>
      </c>
      <c r="Y8" s="168">
        <v>42884</v>
      </c>
    </row>
    <row r="9" spans="1:25" ht="16.5" thickTop="1" x14ac:dyDescent="0.25">
      <c r="A9" s="129">
        <v>42862</v>
      </c>
      <c r="B9" s="126" t="s">
        <v>359</v>
      </c>
      <c r="C9" s="130">
        <v>3204.6</v>
      </c>
      <c r="D9" s="127">
        <v>42879</v>
      </c>
      <c r="E9" s="130">
        <v>3204.6</v>
      </c>
      <c r="F9" s="128">
        <f t="shared" si="0"/>
        <v>0</v>
      </c>
      <c r="G9" s="176"/>
      <c r="I9" s="140">
        <f>18361.92+13803.08</f>
        <v>32165</v>
      </c>
      <c r="J9" s="126" t="s">
        <v>353</v>
      </c>
      <c r="K9" s="36">
        <v>32165</v>
      </c>
      <c r="L9" s="165"/>
      <c r="M9" s="166" t="s">
        <v>113</v>
      </c>
      <c r="N9" s="167">
        <v>5567</v>
      </c>
      <c r="O9" s="168">
        <v>42857</v>
      </c>
      <c r="S9" s="140"/>
      <c r="T9" s="126"/>
      <c r="U9" s="130"/>
      <c r="V9" s="165"/>
      <c r="W9" s="166">
        <v>3797939</v>
      </c>
      <c r="X9" s="4">
        <v>77374</v>
      </c>
      <c r="Y9" s="168">
        <v>42884</v>
      </c>
    </row>
    <row r="10" spans="1:25" ht="15.75" x14ac:dyDescent="0.25">
      <c r="A10" s="129">
        <v>42863</v>
      </c>
      <c r="B10" s="126" t="s">
        <v>369</v>
      </c>
      <c r="C10" s="130">
        <v>99483.74</v>
      </c>
      <c r="D10" s="127">
        <v>42879</v>
      </c>
      <c r="E10" s="130">
        <v>99483.74</v>
      </c>
      <c r="F10" s="128">
        <f t="shared" si="0"/>
        <v>0</v>
      </c>
      <c r="G10" s="176"/>
      <c r="I10" s="140">
        <f>30274.05+33206.1+4463.3</f>
        <v>67943.45</v>
      </c>
      <c r="J10" s="126" t="s">
        <v>354</v>
      </c>
      <c r="K10" s="130">
        <v>67943.95</v>
      </c>
      <c r="L10" s="165"/>
      <c r="M10" s="166" t="s">
        <v>113</v>
      </c>
      <c r="N10" s="167">
        <v>5538</v>
      </c>
      <c r="O10" s="168">
        <v>42852</v>
      </c>
      <c r="S10" s="140"/>
      <c r="T10" s="126"/>
      <c r="U10" s="130"/>
      <c r="V10" s="165"/>
      <c r="W10" s="166" t="s">
        <v>113</v>
      </c>
      <c r="X10" s="167">
        <v>1686.5</v>
      </c>
      <c r="Y10" s="168">
        <v>42874</v>
      </c>
    </row>
    <row r="11" spans="1:25" ht="15.75" x14ac:dyDescent="0.25">
      <c r="A11" s="129">
        <v>42864</v>
      </c>
      <c r="B11" s="126" t="s">
        <v>370</v>
      </c>
      <c r="C11" s="130">
        <v>12710.4</v>
      </c>
      <c r="D11" s="127">
        <v>42879</v>
      </c>
      <c r="E11" s="130">
        <v>12710.4</v>
      </c>
      <c r="F11" s="128">
        <f t="shared" si="0"/>
        <v>0</v>
      </c>
      <c r="G11" s="176"/>
      <c r="I11" s="140">
        <f>33927.27+15531.25</f>
        <v>49458.52</v>
      </c>
      <c r="J11" s="132" t="s">
        <v>355</v>
      </c>
      <c r="K11" s="36">
        <v>49458.52</v>
      </c>
      <c r="L11" s="165"/>
      <c r="M11" s="166" t="s">
        <v>113</v>
      </c>
      <c r="N11" s="167">
        <v>50717</v>
      </c>
      <c r="O11" s="168">
        <v>42859</v>
      </c>
      <c r="S11" s="140"/>
      <c r="T11" s="126"/>
      <c r="U11" s="130"/>
      <c r="V11" s="165"/>
      <c r="W11" s="166" t="s">
        <v>113</v>
      </c>
      <c r="X11" s="167">
        <v>4041</v>
      </c>
      <c r="Y11" s="168">
        <v>42879</v>
      </c>
    </row>
    <row r="12" spans="1:25" ht="15.75" x14ac:dyDescent="0.25">
      <c r="A12" s="129">
        <v>42865</v>
      </c>
      <c r="B12" s="126" t="s">
        <v>371</v>
      </c>
      <c r="C12" s="130">
        <v>66354.42</v>
      </c>
      <c r="D12" s="127">
        <v>42879</v>
      </c>
      <c r="E12" s="130">
        <v>66354.42</v>
      </c>
      <c r="F12" s="128">
        <f t="shared" si="0"/>
        <v>0</v>
      </c>
      <c r="G12" s="176"/>
      <c r="I12" s="140">
        <f>27100.5+9792.5+32257.5</f>
        <v>69150.5</v>
      </c>
      <c r="J12" s="126" t="s">
        <v>356</v>
      </c>
      <c r="K12" s="36">
        <v>69893.91</v>
      </c>
      <c r="L12" s="183" t="s">
        <v>125</v>
      </c>
      <c r="M12" s="184" t="s">
        <v>113</v>
      </c>
      <c r="N12" s="185">
        <v>31174.5</v>
      </c>
      <c r="O12" s="186">
        <v>42861</v>
      </c>
      <c r="S12" s="151"/>
      <c r="T12" s="126"/>
      <c r="U12" s="130"/>
      <c r="V12" s="183"/>
      <c r="W12" s="184" t="s">
        <v>113</v>
      </c>
      <c r="X12" s="185">
        <v>1963</v>
      </c>
      <c r="Y12" s="186">
        <v>42880</v>
      </c>
    </row>
    <row r="13" spans="1:25" ht="15.75" x14ac:dyDescent="0.25">
      <c r="A13" s="129">
        <v>42866</v>
      </c>
      <c r="B13" s="126" t="s">
        <v>372</v>
      </c>
      <c r="C13" s="130">
        <v>46857.06</v>
      </c>
      <c r="D13" s="127">
        <v>42879</v>
      </c>
      <c r="E13" s="130">
        <v>46857.06</v>
      </c>
      <c r="F13" s="128">
        <f t="shared" ref="F13:F23" si="1">C13-E13</f>
        <v>0</v>
      </c>
      <c r="G13" s="176"/>
      <c r="I13" s="151"/>
      <c r="J13" s="126"/>
      <c r="K13" s="130"/>
      <c r="L13" s="235"/>
      <c r="M13" s="184" t="s">
        <v>113</v>
      </c>
      <c r="N13" s="225">
        <v>40457</v>
      </c>
      <c r="O13" s="186">
        <v>42863</v>
      </c>
      <c r="S13" s="151"/>
      <c r="T13" s="126"/>
      <c r="U13" s="130"/>
      <c r="V13" s="235"/>
      <c r="W13" s="184" t="s">
        <v>113</v>
      </c>
      <c r="X13" s="225">
        <v>3457</v>
      </c>
      <c r="Y13" s="186">
        <v>42875</v>
      </c>
    </row>
    <row r="14" spans="1:25" ht="15.75" x14ac:dyDescent="0.25">
      <c r="A14" s="129">
        <v>42868</v>
      </c>
      <c r="B14" s="126" t="s">
        <v>386</v>
      </c>
      <c r="C14" s="130">
        <v>57084.78</v>
      </c>
      <c r="D14" s="127">
        <v>42879</v>
      </c>
      <c r="E14" s="130">
        <v>57084.78</v>
      </c>
      <c r="F14" s="128">
        <f t="shared" si="1"/>
        <v>0</v>
      </c>
      <c r="G14" s="176"/>
      <c r="I14" s="151"/>
      <c r="J14" s="126"/>
      <c r="K14" s="130"/>
      <c r="L14" s="187"/>
      <c r="M14" s="184" t="s">
        <v>113</v>
      </c>
      <c r="N14" s="188">
        <v>6162</v>
      </c>
      <c r="O14" s="186">
        <v>42858</v>
      </c>
      <c r="S14" s="151"/>
      <c r="T14" s="126"/>
      <c r="U14" s="130"/>
      <c r="V14" s="187"/>
      <c r="W14" s="184" t="s">
        <v>294</v>
      </c>
      <c r="X14" s="188">
        <v>42036</v>
      </c>
      <c r="Y14" s="186">
        <v>42884</v>
      </c>
    </row>
    <row r="15" spans="1:25" ht="15.75" x14ac:dyDescent="0.25">
      <c r="A15" s="129">
        <v>42868</v>
      </c>
      <c r="B15" s="126" t="s">
        <v>387</v>
      </c>
      <c r="C15" s="130">
        <v>35329.480000000003</v>
      </c>
      <c r="D15" s="127">
        <v>42879</v>
      </c>
      <c r="E15" s="130">
        <v>35329.480000000003</v>
      </c>
      <c r="F15" s="128">
        <f t="shared" si="1"/>
        <v>0</v>
      </c>
      <c r="G15" s="176"/>
      <c r="I15" s="151"/>
      <c r="J15" s="126"/>
      <c r="K15" s="130"/>
      <c r="L15" s="187"/>
      <c r="M15" s="184" t="s">
        <v>113</v>
      </c>
      <c r="N15" s="188">
        <v>4057.5</v>
      </c>
      <c r="O15" s="186">
        <v>42859</v>
      </c>
      <c r="S15" s="164"/>
      <c r="T15" s="126"/>
      <c r="U15" s="130"/>
      <c r="V15" s="187"/>
      <c r="W15" s="184" t="s">
        <v>113</v>
      </c>
      <c r="X15" s="188">
        <v>22992.5</v>
      </c>
      <c r="Y15" s="186">
        <v>42885</v>
      </c>
    </row>
    <row r="16" spans="1:25" ht="15.75" x14ac:dyDescent="0.25">
      <c r="A16" s="129">
        <v>42870</v>
      </c>
      <c r="B16" s="126" t="s">
        <v>388</v>
      </c>
      <c r="C16" s="130">
        <v>48161</v>
      </c>
      <c r="D16" s="127">
        <v>42879</v>
      </c>
      <c r="E16" s="130">
        <v>48161</v>
      </c>
      <c r="F16" s="128">
        <f t="shared" si="1"/>
        <v>0</v>
      </c>
      <c r="G16" s="176"/>
      <c r="I16" s="151"/>
      <c r="J16" s="126"/>
      <c r="K16" s="36"/>
      <c r="L16" s="227"/>
      <c r="M16" s="184" t="s">
        <v>113</v>
      </c>
      <c r="N16" s="188">
        <v>62307</v>
      </c>
      <c r="O16" s="186">
        <v>42864</v>
      </c>
      <c r="S16" s="151"/>
      <c r="T16" s="126"/>
      <c r="U16" s="130"/>
      <c r="V16" s="227"/>
      <c r="W16" s="184" t="s">
        <v>113</v>
      </c>
      <c r="X16" s="188">
        <v>31251</v>
      </c>
      <c r="Y16" s="186">
        <v>42886</v>
      </c>
    </row>
    <row r="17" spans="1:25" ht="15.75" x14ac:dyDescent="0.25">
      <c r="A17" s="129">
        <v>42871</v>
      </c>
      <c r="B17" s="126" t="s">
        <v>389</v>
      </c>
      <c r="C17" s="130">
        <v>57472.36</v>
      </c>
      <c r="D17" s="127">
        <v>42879</v>
      </c>
      <c r="E17" s="130">
        <v>57472.36</v>
      </c>
      <c r="F17" s="128">
        <f t="shared" si="1"/>
        <v>0</v>
      </c>
      <c r="G17" s="176"/>
      <c r="I17" s="151"/>
      <c r="J17" s="187"/>
      <c r="K17" s="187"/>
      <c r="L17" s="187"/>
      <c r="M17" s="184" t="s">
        <v>113</v>
      </c>
      <c r="N17" s="188">
        <v>44077</v>
      </c>
      <c r="O17" s="186">
        <v>42863</v>
      </c>
      <c r="S17" s="151">
        <v>0</v>
      </c>
      <c r="T17" s="187">
        <v>0</v>
      </c>
      <c r="U17" s="209">
        <v>0</v>
      </c>
      <c r="V17" s="187"/>
      <c r="W17" s="184" t="s">
        <v>113</v>
      </c>
      <c r="X17" s="188"/>
      <c r="Y17" s="186"/>
    </row>
    <row r="18" spans="1:25" ht="15.75" x14ac:dyDescent="0.25">
      <c r="A18" s="129">
        <v>42872</v>
      </c>
      <c r="B18" s="126" t="s">
        <v>390</v>
      </c>
      <c r="C18" s="130">
        <v>32653.08</v>
      </c>
      <c r="D18" s="268" t="s">
        <v>445</v>
      </c>
      <c r="E18" s="130">
        <f>2917.75+3903.29+25832.04</f>
        <v>32653.08</v>
      </c>
      <c r="F18" s="128">
        <f t="shared" si="1"/>
        <v>0</v>
      </c>
      <c r="G18" s="271">
        <v>25832.04</v>
      </c>
      <c r="H18" s="272">
        <v>42880</v>
      </c>
      <c r="I18" s="151"/>
      <c r="J18" s="187"/>
      <c r="K18" s="187"/>
      <c r="L18" s="187"/>
      <c r="M18" s="184" t="s">
        <v>113</v>
      </c>
      <c r="N18" s="188">
        <v>33206</v>
      </c>
      <c r="O18" s="186">
        <v>42864</v>
      </c>
      <c r="S18" s="151"/>
      <c r="T18" s="187"/>
      <c r="U18" s="209">
        <v>0</v>
      </c>
      <c r="V18" s="187"/>
      <c r="W18" s="184" t="s">
        <v>113</v>
      </c>
      <c r="X18" s="188"/>
      <c r="Y18" s="186"/>
    </row>
    <row r="19" spans="1:25" ht="15.75" x14ac:dyDescent="0.25">
      <c r="A19" s="129">
        <v>42873</v>
      </c>
      <c r="B19" s="126" t="s">
        <v>391</v>
      </c>
      <c r="C19" s="130">
        <v>25013.7</v>
      </c>
      <c r="D19" s="127">
        <v>42887</v>
      </c>
      <c r="E19" s="130">
        <v>25013.7</v>
      </c>
      <c r="F19" s="128">
        <f t="shared" si="1"/>
        <v>0</v>
      </c>
      <c r="G19" s="37"/>
      <c r="I19" s="151"/>
      <c r="J19" s="187"/>
      <c r="K19" s="187"/>
      <c r="L19" s="187"/>
      <c r="M19" s="184" t="s">
        <v>113</v>
      </c>
      <c r="N19" s="188">
        <v>38390</v>
      </c>
      <c r="O19" s="186">
        <v>42865</v>
      </c>
      <c r="S19" s="151"/>
      <c r="T19" s="187"/>
      <c r="U19" s="209">
        <v>0</v>
      </c>
      <c r="V19" s="187"/>
      <c r="W19" s="184" t="s">
        <v>113</v>
      </c>
      <c r="X19" s="188"/>
      <c r="Y19" s="186"/>
    </row>
    <row r="20" spans="1:25" ht="15.75" x14ac:dyDescent="0.25">
      <c r="A20" s="129">
        <v>42874</v>
      </c>
      <c r="B20" s="126" t="s">
        <v>392</v>
      </c>
      <c r="C20" s="130">
        <v>50773.62</v>
      </c>
      <c r="D20" s="127">
        <v>42887</v>
      </c>
      <c r="E20" s="130">
        <v>50773.62</v>
      </c>
      <c r="F20" s="128">
        <f t="shared" si="1"/>
        <v>0</v>
      </c>
      <c r="I20" s="151"/>
      <c r="J20" s="187"/>
      <c r="K20" s="187"/>
      <c r="L20" s="187"/>
      <c r="M20" s="184" t="s">
        <v>113</v>
      </c>
      <c r="N20" s="188">
        <v>52424.5</v>
      </c>
      <c r="O20" s="186">
        <v>42866</v>
      </c>
      <c r="S20" s="151"/>
      <c r="T20" s="187"/>
      <c r="U20" s="209">
        <v>0</v>
      </c>
      <c r="V20" s="187"/>
      <c r="W20" s="184" t="s">
        <v>113</v>
      </c>
      <c r="X20" s="188"/>
      <c r="Y20" s="186"/>
    </row>
    <row r="21" spans="1:25" ht="16.5" thickBot="1" x14ac:dyDescent="0.3">
      <c r="A21" s="129">
        <v>42875</v>
      </c>
      <c r="B21" s="126" t="s">
        <v>411</v>
      </c>
      <c r="C21" s="130">
        <v>171402.46</v>
      </c>
      <c r="D21" s="127">
        <v>42887</v>
      </c>
      <c r="E21" s="130">
        <v>171402.46</v>
      </c>
      <c r="F21" s="128">
        <f t="shared" si="1"/>
        <v>0</v>
      </c>
      <c r="I21" s="151"/>
      <c r="J21" s="187"/>
      <c r="K21" s="187"/>
      <c r="L21" s="187"/>
      <c r="M21" s="184" t="s">
        <v>113</v>
      </c>
      <c r="N21" s="188">
        <v>32257.5</v>
      </c>
      <c r="O21" s="186">
        <v>42867</v>
      </c>
      <c r="S21" s="177">
        <f>SUM(S4:S20)</f>
        <v>319620.98</v>
      </c>
      <c r="T21" s="207"/>
      <c r="U21" s="270">
        <v>0</v>
      </c>
      <c r="V21" s="207"/>
      <c r="W21" s="184" t="s">
        <v>113</v>
      </c>
      <c r="X21" s="221">
        <v>0</v>
      </c>
      <c r="Y21" s="222"/>
    </row>
    <row r="22" spans="1:25" ht="17.25" thickTop="1" thickBot="1" x14ac:dyDescent="0.3">
      <c r="A22" s="129">
        <v>42879</v>
      </c>
      <c r="B22" s="126" t="s">
        <v>412</v>
      </c>
      <c r="C22" s="130">
        <v>124052.62</v>
      </c>
      <c r="D22" s="138" t="s">
        <v>470</v>
      </c>
      <c r="E22" s="137">
        <f>42695.89+81356.73</f>
        <v>124052.62</v>
      </c>
      <c r="F22" s="128">
        <f t="shared" si="1"/>
        <v>0</v>
      </c>
      <c r="I22" s="151"/>
      <c r="J22" s="187"/>
      <c r="K22" s="187"/>
      <c r="L22" s="187"/>
      <c r="M22" s="184" t="s">
        <v>113</v>
      </c>
      <c r="N22" s="188"/>
      <c r="O22" s="186"/>
      <c r="T22" s="177"/>
      <c r="U22" s="177">
        <f>SUM(U4:U21)</f>
        <v>293788.96000000002</v>
      </c>
      <c r="V22" s="178"/>
      <c r="W22" s="179"/>
      <c r="X22" s="204">
        <f>SUM(X4:X21)</f>
        <v>319621</v>
      </c>
      <c r="Y22" s="181"/>
    </row>
    <row r="23" spans="1:25" ht="16.5" thickBot="1" x14ac:dyDescent="0.3">
      <c r="A23" s="129">
        <v>42879</v>
      </c>
      <c r="B23" s="126" t="s">
        <v>413</v>
      </c>
      <c r="C23" s="130">
        <v>13140.58</v>
      </c>
      <c r="D23" s="138">
        <v>42901</v>
      </c>
      <c r="E23" s="137">
        <v>13140.58</v>
      </c>
      <c r="F23" s="128">
        <f t="shared" si="1"/>
        <v>0</v>
      </c>
      <c r="I23" s="177">
        <f>SUM(I4:I22)</f>
        <v>633157.32999999996</v>
      </c>
      <c r="J23" s="207"/>
      <c r="K23" s="207"/>
      <c r="L23" s="207"/>
      <c r="M23" s="184" t="s">
        <v>113</v>
      </c>
      <c r="N23" s="221">
        <v>0</v>
      </c>
      <c r="O23" s="222"/>
    </row>
    <row r="24" spans="1:25" ht="17.25" thickTop="1" thickBot="1" x14ac:dyDescent="0.3">
      <c r="A24" s="129">
        <v>42880</v>
      </c>
      <c r="B24" s="126" t="s">
        <v>414</v>
      </c>
      <c r="C24" s="130">
        <v>6555.2</v>
      </c>
      <c r="D24" s="138">
        <v>42901</v>
      </c>
      <c r="E24" s="137">
        <v>6555.2</v>
      </c>
      <c r="F24" s="128">
        <f t="shared" si="0"/>
        <v>0</v>
      </c>
      <c r="G24" s="149"/>
      <c r="J24" s="177"/>
      <c r="K24" s="177">
        <f>SUM(K4:K22)</f>
        <v>633156</v>
      </c>
      <c r="L24" s="178"/>
      <c r="M24" s="179"/>
      <c r="N24" s="204">
        <f>SUM(N4:N23)</f>
        <v>633156</v>
      </c>
      <c r="O24" s="181"/>
    </row>
    <row r="25" spans="1:25" x14ac:dyDescent="0.25">
      <c r="A25" s="129">
        <v>42881</v>
      </c>
      <c r="B25" s="126" t="s">
        <v>415</v>
      </c>
      <c r="C25" s="130">
        <v>94655</v>
      </c>
      <c r="D25" s="138">
        <v>42901</v>
      </c>
      <c r="E25" s="137">
        <v>94655</v>
      </c>
      <c r="F25" s="128">
        <f t="shared" si="0"/>
        <v>0</v>
      </c>
      <c r="G25" s="149"/>
      <c r="U25" s="273">
        <v>25832.04</v>
      </c>
      <c r="V25" s="274">
        <v>42880</v>
      </c>
      <c r="W25" s="97" t="s">
        <v>416</v>
      </c>
    </row>
    <row r="26" spans="1:25" x14ac:dyDescent="0.25">
      <c r="A26" s="129">
        <v>42885</v>
      </c>
      <c r="B26" s="126" t="s">
        <v>417</v>
      </c>
      <c r="C26" s="130">
        <v>63581</v>
      </c>
      <c r="D26" s="138">
        <v>42901</v>
      </c>
      <c r="E26" s="137">
        <v>63581</v>
      </c>
      <c r="F26" s="128">
        <f t="shared" si="0"/>
        <v>0</v>
      </c>
      <c r="G26" s="202"/>
    </row>
    <row r="27" spans="1:25" x14ac:dyDescent="0.25">
      <c r="A27" s="129">
        <v>42883</v>
      </c>
      <c r="B27" s="126" t="s">
        <v>423</v>
      </c>
      <c r="C27" s="130">
        <v>49727.18</v>
      </c>
      <c r="D27" s="138">
        <v>42901</v>
      </c>
      <c r="E27" s="137">
        <v>49727.18</v>
      </c>
      <c r="F27" s="128">
        <f t="shared" si="0"/>
        <v>0</v>
      </c>
    </row>
    <row r="28" spans="1:25" ht="15.75" thickBot="1" x14ac:dyDescent="0.3">
      <c r="A28" s="129">
        <v>42886</v>
      </c>
      <c r="B28" s="126" t="s">
        <v>422</v>
      </c>
      <c r="C28" s="130">
        <v>4258</v>
      </c>
      <c r="D28" s="138">
        <v>42901</v>
      </c>
      <c r="E28" s="137">
        <v>4258</v>
      </c>
      <c r="F28" s="128">
        <f t="shared" si="0"/>
        <v>0</v>
      </c>
    </row>
    <row r="29" spans="1:25" ht="19.5" thickBot="1" x14ac:dyDescent="0.35">
      <c r="A29" s="129"/>
      <c r="B29" s="126"/>
      <c r="C29" s="130"/>
      <c r="D29" s="127"/>
      <c r="E29" s="130"/>
      <c r="F29" s="128">
        <f t="shared" si="0"/>
        <v>0</v>
      </c>
      <c r="J29" t="s">
        <v>64</v>
      </c>
      <c r="K29" s="154" t="s">
        <v>105</v>
      </c>
      <c r="L29" s="155"/>
      <c r="M29" s="156"/>
      <c r="N29" s="182">
        <v>42879</v>
      </c>
      <c r="O29" s="158"/>
    </row>
    <row r="30" spans="1:25" ht="15.75" x14ac:dyDescent="0.25">
      <c r="A30" s="129"/>
      <c r="B30" s="126"/>
      <c r="C30" s="130"/>
      <c r="D30" s="127"/>
      <c r="E30" s="130"/>
      <c r="F30" s="128">
        <f t="shared" si="0"/>
        <v>0</v>
      </c>
      <c r="J30" s="159"/>
      <c r="K30" s="160"/>
      <c r="L30" s="159"/>
      <c r="M30" s="161"/>
      <c r="N30" s="160"/>
      <c r="O30" s="162"/>
    </row>
    <row r="31" spans="1:25" ht="15.75" x14ac:dyDescent="0.25">
      <c r="A31" s="236"/>
      <c r="B31" s="126"/>
      <c r="C31" s="130"/>
      <c r="D31" s="127"/>
      <c r="E31" s="130"/>
      <c r="F31" s="128">
        <f t="shared" si="0"/>
        <v>0</v>
      </c>
      <c r="J31" s="163" t="s">
        <v>106</v>
      </c>
      <c r="K31" s="160" t="s">
        <v>107</v>
      </c>
      <c r="L31" s="159"/>
      <c r="M31" s="161" t="s">
        <v>108</v>
      </c>
      <c r="N31" s="160" t="s">
        <v>109</v>
      </c>
      <c r="O31" s="162"/>
    </row>
    <row r="32" spans="1:25" ht="15.75" x14ac:dyDescent="0.25">
      <c r="A32" s="236"/>
      <c r="B32" s="126"/>
      <c r="C32" s="130"/>
      <c r="D32" s="127"/>
      <c r="E32" s="130"/>
      <c r="F32" s="128">
        <f t="shared" si="0"/>
        <v>0</v>
      </c>
      <c r="I32" s="164">
        <f>25817.66+3676.04</f>
        <v>29493.7</v>
      </c>
      <c r="J32" s="126" t="s">
        <v>356</v>
      </c>
      <c r="K32" s="36">
        <v>28749.79</v>
      </c>
      <c r="L32" s="165" t="s">
        <v>111</v>
      </c>
      <c r="M32" s="166" t="s">
        <v>113</v>
      </c>
      <c r="N32" s="167">
        <v>54252</v>
      </c>
      <c r="O32" s="168">
        <v>42870</v>
      </c>
    </row>
    <row r="33" spans="1:15" ht="15.75" x14ac:dyDescent="0.25">
      <c r="A33" s="236"/>
      <c r="B33" s="126"/>
      <c r="C33" s="130"/>
      <c r="D33" s="127"/>
      <c r="E33" s="130"/>
      <c r="F33" s="128">
        <f t="shared" si="0"/>
        <v>0</v>
      </c>
      <c r="I33" s="164">
        <f>15628.72+10652</f>
        <v>26280.720000000001</v>
      </c>
      <c r="J33" s="126" t="s">
        <v>357</v>
      </c>
      <c r="K33" s="130">
        <v>26281.02</v>
      </c>
      <c r="L33" s="165"/>
      <c r="M33" s="166" t="s">
        <v>113</v>
      </c>
      <c r="N33" s="167">
        <v>3676</v>
      </c>
      <c r="O33" s="168">
        <v>42864</v>
      </c>
    </row>
    <row r="34" spans="1:15" ht="16.5" thickBot="1" x14ac:dyDescent="0.3">
      <c r="A34" s="142"/>
      <c r="B34" s="143"/>
      <c r="C34" s="144"/>
      <c r="D34" s="145"/>
      <c r="E34" s="146"/>
      <c r="F34" s="147">
        <f t="shared" si="0"/>
        <v>0</v>
      </c>
      <c r="I34" s="140">
        <f>2154+3704.1</f>
        <v>5858.1</v>
      </c>
      <c r="J34" s="126" t="s">
        <v>358</v>
      </c>
      <c r="K34" s="130">
        <v>5790.1</v>
      </c>
      <c r="L34" s="165"/>
      <c r="M34" s="166" t="s">
        <v>113</v>
      </c>
      <c r="N34" s="4">
        <v>71901</v>
      </c>
      <c r="O34" s="168">
        <v>42870</v>
      </c>
    </row>
    <row r="35" spans="1:15" ht="16.5" thickTop="1" x14ac:dyDescent="0.25">
      <c r="B35" s="44"/>
      <c r="C35" s="130">
        <f>SUM(C3:C34)</f>
        <v>1342752.5699999998</v>
      </c>
      <c r="D35" s="148"/>
      <c r="E35" s="140">
        <f>SUM(E3:E34)</f>
        <v>1342752.5699999998</v>
      </c>
      <c r="F35" s="130">
        <f>SUM(F3:F34)</f>
        <v>0</v>
      </c>
      <c r="I35" s="140">
        <v>3204.9</v>
      </c>
      <c r="J35" s="126" t="s">
        <v>359</v>
      </c>
      <c r="K35" s="130">
        <v>3204.6</v>
      </c>
      <c r="L35" s="165"/>
      <c r="M35" s="166" t="s">
        <v>113</v>
      </c>
      <c r="N35" s="4">
        <v>5674.5</v>
      </c>
      <c r="O35" s="168">
        <v>42863</v>
      </c>
    </row>
    <row r="36" spans="1:15" ht="15.75" x14ac:dyDescent="0.25">
      <c r="A36"/>
      <c r="B36" s="16"/>
      <c r="C36" s="151"/>
      <c r="D36"/>
      <c r="E36"/>
      <c r="F36"/>
      <c r="G36"/>
      <c r="H36" s="140"/>
      <c r="I36" s="140">
        <f>5112.54+1996.88+5674.56+64991.91+21707.85</f>
        <v>99483.739999999991</v>
      </c>
      <c r="J36" s="126" t="s">
        <v>369</v>
      </c>
      <c r="K36" s="130">
        <v>99483.74</v>
      </c>
      <c r="L36" s="165"/>
      <c r="M36" s="166" t="s">
        <v>113</v>
      </c>
      <c r="N36" s="4">
        <v>1997</v>
      </c>
      <c r="O36" s="168">
        <v>42865</v>
      </c>
    </row>
    <row r="37" spans="1:15" ht="15.75" x14ac:dyDescent="0.25">
      <c r="A37"/>
      <c r="B37" s="16"/>
      <c r="C37" s="151"/>
      <c r="D37"/>
      <c r="E37"/>
      <c r="F37"/>
      <c r="G37"/>
      <c r="I37" s="140">
        <v>12710.4</v>
      </c>
      <c r="J37" s="126" t="s">
        <v>370</v>
      </c>
      <c r="K37" s="130">
        <v>12710.4</v>
      </c>
      <c r="L37" s="165"/>
      <c r="M37" s="166">
        <v>3797939</v>
      </c>
      <c r="N37" s="4">
        <v>5113</v>
      </c>
      <c r="O37" s="168">
        <v>42868</v>
      </c>
    </row>
    <row r="38" spans="1:15" ht="15.75" x14ac:dyDescent="0.25">
      <c r="A38"/>
      <c r="B38" s="149"/>
      <c r="D38" s="149"/>
      <c r="I38" s="140">
        <f>7299.82+1828.5+27986.3+31068.3</f>
        <v>68182.92</v>
      </c>
      <c r="J38" s="126" t="s">
        <v>371</v>
      </c>
      <c r="K38" s="130">
        <v>66354.42</v>
      </c>
      <c r="L38" s="165"/>
      <c r="M38" s="166" t="s">
        <v>113</v>
      </c>
      <c r="N38" s="167">
        <v>43545</v>
      </c>
      <c r="O38" s="168">
        <v>42870</v>
      </c>
    </row>
    <row r="39" spans="1:15" ht="15.75" x14ac:dyDescent="0.25">
      <c r="A39"/>
      <c r="B39" s="149"/>
      <c r="D39" s="149"/>
      <c r="I39" s="140">
        <f>10213.96+2816.64+19622.64+14204</f>
        <v>46857.24</v>
      </c>
      <c r="J39" s="126" t="s">
        <v>372</v>
      </c>
      <c r="K39" s="130">
        <v>46857.06</v>
      </c>
      <c r="L39" s="165"/>
      <c r="M39" s="166" t="s">
        <v>113</v>
      </c>
      <c r="N39" s="167">
        <v>27986</v>
      </c>
      <c r="O39" s="168">
        <v>42871</v>
      </c>
    </row>
    <row r="40" spans="1:15" ht="15.75" x14ac:dyDescent="0.25">
      <c r="A40"/>
      <c r="B40" s="149"/>
      <c r="D40" s="149"/>
      <c r="I40" s="151">
        <f>11163+45922</f>
        <v>57085</v>
      </c>
      <c r="J40" s="126" t="s">
        <v>386</v>
      </c>
      <c r="K40" s="130">
        <v>57084.78</v>
      </c>
      <c r="L40" s="183"/>
      <c r="M40" s="184" t="s">
        <v>113</v>
      </c>
      <c r="N40" s="185">
        <v>41282</v>
      </c>
      <c r="O40" s="186">
        <v>42872</v>
      </c>
    </row>
    <row r="41" spans="1:15" ht="15.75" x14ac:dyDescent="0.25">
      <c r="A41"/>
      <c r="B41" s="149"/>
      <c r="D41" s="149"/>
      <c r="I41" s="151">
        <f>17264.92+6189+11875.37</f>
        <v>35329.29</v>
      </c>
      <c r="J41" s="126" t="s">
        <v>387</v>
      </c>
      <c r="K41" s="130">
        <v>35329.480000000003</v>
      </c>
      <c r="L41" s="235"/>
      <c r="M41" s="184" t="s">
        <v>113</v>
      </c>
      <c r="N41" s="225">
        <v>2817</v>
      </c>
      <c r="O41" s="186">
        <v>42870</v>
      </c>
    </row>
    <row r="42" spans="1:15" ht="15.75" x14ac:dyDescent="0.25">
      <c r="A42"/>
      <c r="B42" s="149"/>
      <c r="D42" s="149"/>
      <c r="I42" s="151">
        <f>45585.61+2575.39</f>
        <v>48161</v>
      </c>
      <c r="J42" s="126" t="s">
        <v>388</v>
      </c>
      <c r="K42" s="130">
        <v>48161</v>
      </c>
      <c r="L42" s="187"/>
      <c r="M42" s="184" t="s">
        <v>113</v>
      </c>
      <c r="N42" s="188">
        <v>19623</v>
      </c>
      <c r="O42" s="186">
        <v>42874</v>
      </c>
    </row>
    <row r="43" spans="1:15" ht="15.75" x14ac:dyDescent="0.25">
      <c r="A43"/>
      <c r="B43" s="149"/>
      <c r="D43" s="149"/>
      <c r="I43" s="164">
        <f>30145.41+27326.95</f>
        <v>57472.36</v>
      </c>
      <c r="J43" s="126" t="s">
        <v>389</v>
      </c>
      <c r="K43" s="130">
        <v>57472.36</v>
      </c>
      <c r="L43" s="187"/>
      <c r="M43" s="184" t="s">
        <v>113</v>
      </c>
      <c r="N43" s="188">
        <v>25367</v>
      </c>
      <c r="O43" s="186">
        <v>42874</v>
      </c>
    </row>
    <row r="44" spans="1:15" ht="15.75" x14ac:dyDescent="0.25">
      <c r="A44"/>
      <c r="B44" s="149">
        <v>42856</v>
      </c>
      <c r="C44" s="140">
        <v>323.68</v>
      </c>
      <c r="D44" s="149" t="s">
        <v>367</v>
      </c>
      <c r="I44" s="151">
        <v>278.74</v>
      </c>
      <c r="J44" s="126" t="s">
        <v>390</v>
      </c>
      <c r="K44" s="130">
        <v>2917.75</v>
      </c>
      <c r="L44" s="227" t="s">
        <v>125</v>
      </c>
      <c r="M44" s="184" t="s">
        <v>113</v>
      </c>
      <c r="N44" s="188">
        <v>63187</v>
      </c>
      <c r="O44" s="186">
        <v>42877</v>
      </c>
    </row>
    <row r="45" spans="1:15" ht="15.75" x14ac:dyDescent="0.25">
      <c r="A45"/>
      <c r="B45" s="149">
        <v>42857</v>
      </c>
      <c r="C45" s="140">
        <v>0</v>
      </c>
      <c r="D45" s="149"/>
      <c r="I45" s="151">
        <v>0</v>
      </c>
      <c r="J45" s="187">
        <v>0</v>
      </c>
      <c r="K45" s="209">
        <v>0</v>
      </c>
      <c r="L45" s="187"/>
      <c r="M45" s="184" t="s">
        <v>113</v>
      </c>
      <c r="N45" s="188">
        <v>57461</v>
      </c>
      <c r="O45" s="186">
        <v>42878</v>
      </c>
    </row>
    <row r="46" spans="1:15" ht="15.75" x14ac:dyDescent="0.25">
      <c r="A46"/>
      <c r="B46" s="149">
        <v>42858</v>
      </c>
      <c r="C46" s="140">
        <v>0</v>
      </c>
      <c r="D46" s="149"/>
      <c r="F46"/>
      <c r="G46"/>
      <c r="I46" s="151"/>
      <c r="J46" s="187"/>
      <c r="K46" s="209">
        <v>0</v>
      </c>
      <c r="L46" s="187"/>
      <c r="M46" s="184" t="s">
        <v>113</v>
      </c>
      <c r="N46" s="188">
        <v>6189</v>
      </c>
      <c r="O46" s="186">
        <v>42873</v>
      </c>
    </row>
    <row r="47" spans="1:15" ht="15.75" x14ac:dyDescent="0.25">
      <c r="A47"/>
      <c r="B47" s="149">
        <v>42859</v>
      </c>
      <c r="C47" s="140">
        <v>319.5</v>
      </c>
      <c r="D47" s="149" t="s">
        <v>367</v>
      </c>
      <c r="F47"/>
      <c r="G47"/>
      <c r="I47" s="151"/>
      <c r="J47" s="187"/>
      <c r="K47" s="209">
        <v>0</v>
      </c>
      <c r="L47" s="187"/>
      <c r="M47" s="184" t="s">
        <v>113</v>
      </c>
      <c r="N47" s="188">
        <v>32720</v>
      </c>
      <c r="O47" s="186">
        <v>42877</v>
      </c>
    </row>
    <row r="48" spans="1:15" ht="15.75" x14ac:dyDescent="0.25">
      <c r="A48"/>
      <c r="B48" s="149">
        <v>42860</v>
      </c>
      <c r="C48" s="140">
        <v>0</v>
      </c>
      <c r="D48" s="149" t="s">
        <v>64</v>
      </c>
      <c r="F48"/>
      <c r="G48"/>
      <c r="I48" s="151"/>
      <c r="J48" s="187"/>
      <c r="K48" s="209">
        <v>0</v>
      </c>
      <c r="L48" s="187"/>
      <c r="M48" s="184" t="s">
        <v>113</v>
      </c>
      <c r="N48" s="188">
        <v>27606</v>
      </c>
      <c r="O48" s="186">
        <v>42878</v>
      </c>
    </row>
    <row r="49" spans="1:15" ht="16.5" thickBot="1" x14ac:dyDescent="0.3">
      <c r="A49"/>
      <c r="B49" s="149">
        <v>42861</v>
      </c>
      <c r="C49" s="140">
        <v>3767</v>
      </c>
      <c r="D49" s="149" t="s">
        <v>377</v>
      </c>
      <c r="F49"/>
      <c r="G49"/>
      <c r="I49" s="177">
        <f>SUM(I32:I48)</f>
        <v>490398.10999999993</v>
      </c>
      <c r="J49" s="207"/>
      <c r="K49" s="270">
        <v>0</v>
      </c>
      <c r="L49" s="207"/>
      <c r="M49" s="184" t="s">
        <v>113</v>
      </c>
      <c r="N49" s="221">
        <v>0</v>
      </c>
      <c r="O49" s="222"/>
    </row>
    <row r="50" spans="1:15" ht="17.25" thickTop="1" thickBot="1" x14ac:dyDescent="0.3">
      <c r="A50"/>
      <c r="B50" s="149">
        <v>42862</v>
      </c>
      <c r="C50" s="140">
        <v>0</v>
      </c>
      <c r="D50" s="149" t="s">
        <v>64</v>
      </c>
      <c r="F50"/>
      <c r="G50"/>
      <c r="J50" s="177"/>
      <c r="K50" s="177">
        <f>SUM(K32:K49)</f>
        <v>490396.5</v>
      </c>
      <c r="L50" s="178"/>
      <c r="M50" s="179"/>
      <c r="N50" s="204">
        <f>SUM(N32:N49)</f>
        <v>490396.5</v>
      </c>
      <c r="O50" s="181"/>
    </row>
    <row r="51" spans="1:15" x14ac:dyDescent="0.25">
      <c r="A51"/>
      <c r="B51" s="149">
        <v>42863</v>
      </c>
      <c r="C51" s="140">
        <v>0</v>
      </c>
      <c r="D51" s="149"/>
      <c r="F51"/>
      <c r="G51"/>
    </row>
    <row r="52" spans="1:15" x14ac:dyDescent="0.25">
      <c r="A52"/>
      <c r="B52" s="149">
        <v>42864</v>
      </c>
      <c r="C52" s="140">
        <v>0</v>
      </c>
      <c r="D52" s="149"/>
      <c r="F52"/>
      <c r="G52"/>
    </row>
    <row r="53" spans="1:15" x14ac:dyDescent="0.25">
      <c r="A53"/>
      <c r="B53" s="149">
        <v>42865</v>
      </c>
      <c r="C53" s="140">
        <v>1247.8499999999999</v>
      </c>
      <c r="D53" s="149" t="s">
        <v>97</v>
      </c>
      <c r="F53"/>
      <c r="G53"/>
    </row>
    <row r="54" spans="1:15" x14ac:dyDescent="0.25">
      <c r="A54"/>
      <c r="B54" s="149">
        <v>42866</v>
      </c>
      <c r="C54" s="140">
        <v>0</v>
      </c>
      <c r="D54" s="149"/>
      <c r="F54"/>
      <c r="G54"/>
    </row>
    <row r="55" spans="1:15" x14ac:dyDescent="0.25">
      <c r="A55"/>
      <c r="B55" s="149">
        <v>42867</v>
      </c>
      <c r="C55" s="140">
        <v>0</v>
      </c>
      <c r="D55" s="149"/>
      <c r="E55"/>
      <c r="F55"/>
      <c r="G55"/>
    </row>
    <row r="56" spans="1:15" x14ac:dyDescent="0.25">
      <c r="A56"/>
      <c r="B56" s="149">
        <v>42868</v>
      </c>
      <c r="C56" s="140">
        <v>136.91999999999999</v>
      </c>
      <c r="D56" t="s">
        <v>367</v>
      </c>
      <c r="E56"/>
      <c r="F56"/>
      <c r="G56"/>
    </row>
    <row r="57" spans="1:15" x14ac:dyDescent="0.25">
      <c r="A57"/>
      <c r="B57" s="149">
        <v>42869</v>
      </c>
      <c r="C57" s="140">
        <v>0</v>
      </c>
      <c r="D57"/>
      <c r="E57"/>
      <c r="F57"/>
      <c r="G57"/>
    </row>
    <row r="58" spans="1:15" x14ac:dyDescent="0.25">
      <c r="A58"/>
      <c r="B58" s="149">
        <v>42870</v>
      </c>
      <c r="C58" s="140">
        <v>1056</v>
      </c>
      <c r="D58" t="s">
        <v>365</v>
      </c>
      <c r="E58"/>
      <c r="F58"/>
      <c r="G58"/>
    </row>
    <row r="59" spans="1:15" x14ac:dyDescent="0.25">
      <c r="A59"/>
      <c r="B59" s="149">
        <v>42871</v>
      </c>
      <c r="C59" s="140">
        <v>0</v>
      </c>
      <c r="D59"/>
      <c r="E59"/>
      <c r="F59"/>
      <c r="G59"/>
    </row>
    <row r="60" spans="1:15" x14ac:dyDescent="0.25">
      <c r="A60"/>
      <c r="B60" s="149">
        <v>42872</v>
      </c>
      <c r="C60" s="140">
        <v>0</v>
      </c>
      <c r="D60"/>
      <c r="E60"/>
      <c r="F60"/>
      <c r="G60"/>
    </row>
    <row r="61" spans="1:15" x14ac:dyDescent="0.25">
      <c r="B61" s="149">
        <v>42873</v>
      </c>
      <c r="C61" s="140">
        <v>0</v>
      </c>
      <c r="D61"/>
      <c r="E61"/>
    </row>
    <row r="62" spans="1:15" x14ac:dyDescent="0.25">
      <c r="B62" s="149">
        <v>42874</v>
      </c>
      <c r="C62" s="140">
        <v>1149</v>
      </c>
      <c r="D62" t="s">
        <v>97</v>
      </c>
      <c r="E62"/>
    </row>
    <row r="63" spans="1:15" x14ac:dyDescent="0.25">
      <c r="B63" s="149">
        <v>42875</v>
      </c>
      <c r="C63" s="140">
        <v>0</v>
      </c>
      <c r="D63"/>
      <c r="E63"/>
    </row>
    <row r="64" spans="1:15" x14ac:dyDescent="0.25">
      <c r="B64" s="149">
        <v>42876</v>
      </c>
      <c r="C64" s="140">
        <v>0</v>
      </c>
      <c r="D64"/>
      <c r="E64"/>
    </row>
    <row r="65" spans="2:5" x14ac:dyDescent="0.25">
      <c r="B65" s="149">
        <v>42877</v>
      </c>
      <c r="C65" s="140">
        <v>0</v>
      </c>
      <c r="D65"/>
      <c r="E65"/>
    </row>
    <row r="66" spans="2:5" x14ac:dyDescent="0.25">
      <c r="B66" s="149">
        <v>42878</v>
      </c>
      <c r="C66" s="140">
        <v>376</v>
      </c>
      <c r="D66" t="s">
        <v>367</v>
      </c>
      <c r="E66"/>
    </row>
    <row r="67" spans="2:5" x14ac:dyDescent="0.25">
      <c r="B67" s="149">
        <v>42879</v>
      </c>
      <c r="C67" s="140">
        <v>520</v>
      </c>
      <c r="D67" t="s">
        <v>446</v>
      </c>
      <c r="E67"/>
    </row>
    <row r="68" spans="2:5" x14ac:dyDescent="0.25">
      <c r="B68" s="149">
        <v>42880</v>
      </c>
      <c r="C68" s="140">
        <v>0</v>
      </c>
      <c r="D68"/>
      <c r="E68"/>
    </row>
    <row r="69" spans="2:5" x14ac:dyDescent="0.25">
      <c r="B69" s="149">
        <v>42881</v>
      </c>
      <c r="C69" s="164">
        <v>0</v>
      </c>
      <c r="D69"/>
      <c r="E69"/>
    </row>
    <row r="70" spans="2:5" x14ac:dyDescent="0.25">
      <c r="B70" s="149">
        <v>42882</v>
      </c>
      <c r="C70" s="140">
        <v>919</v>
      </c>
      <c r="D70" s="22" t="s">
        <v>97</v>
      </c>
    </row>
    <row r="71" spans="2:5" x14ac:dyDescent="0.25">
      <c r="B71" s="149">
        <v>42883</v>
      </c>
      <c r="C71" s="140">
        <v>0</v>
      </c>
    </row>
    <row r="72" spans="2:5" x14ac:dyDescent="0.25">
      <c r="B72" s="149">
        <v>42884</v>
      </c>
      <c r="C72" s="140">
        <v>0</v>
      </c>
    </row>
    <row r="73" spans="2:5" x14ac:dyDescent="0.25">
      <c r="B73" s="149">
        <v>42885</v>
      </c>
      <c r="C73" s="140">
        <v>0</v>
      </c>
    </row>
    <row r="74" spans="2:5" x14ac:dyDescent="0.25">
      <c r="B74" s="149">
        <v>42886</v>
      </c>
      <c r="C74" s="140">
        <v>1040</v>
      </c>
      <c r="D74" s="22" t="s">
        <v>167</v>
      </c>
    </row>
    <row r="75" spans="2:5" x14ac:dyDescent="0.25">
      <c r="B75" s="149"/>
      <c r="C75" s="140">
        <v>0</v>
      </c>
    </row>
    <row r="76" spans="2:5" ht="18.75" x14ac:dyDescent="0.3">
      <c r="C76" s="215">
        <f>SUM(C47:C75)</f>
        <v>10531.27</v>
      </c>
    </row>
  </sheetData>
  <sortState ref="A13:F23">
    <sortCondition ref="B13:B23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S57"/>
  <sheetViews>
    <sheetView topLeftCell="A25" workbookViewId="0">
      <selection activeCell="K27" sqref="K27: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25" t="s">
        <v>419</v>
      </c>
      <c r="D1" s="425"/>
      <c r="E1" s="425"/>
      <c r="F1" s="425"/>
      <c r="G1" s="425"/>
      <c r="H1" s="425"/>
      <c r="I1" s="425"/>
      <c r="J1" s="425"/>
      <c r="K1" s="425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205816.17</v>
      </c>
      <c r="D4" s="13"/>
      <c r="E4" s="426" t="s">
        <v>4</v>
      </c>
      <c r="F4" s="427"/>
      <c r="I4" s="428" t="s">
        <v>5</v>
      </c>
      <c r="J4" s="429"/>
      <c r="K4" s="429"/>
      <c r="L4" s="429"/>
      <c r="M4" s="14" t="s">
        <v>6</v>
      </c>
      <c r="N4" s="15" t="s">
        <v>7</v>
      </c>
    </row>
    <row r="5" spans="1:19" ht="16.5" thickTop="1" thickBot="1" x14ac:dyDescent="0.3">
      <c r="A5" s="16"/>
      <c r="B5" s="285">
        <v>42887</v>
      </c>
      <c r="C5" s="286">
        <v>28873</v>
      </c>
      <c r="D5" s="238" t="s">
        <v>448</v>
      </c>
      <c r="E5" s="279">
        <v>42887</v>
      </c>
      <c r="F5" s="280">
        <v>28972.81</v>
      </c>
      <c r="G5" s="22"/>
      <c r="H5" s="23">
        <v>42887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287">
        <v>42888</v>
      </c>
      <c r="C6" s="288">
        <v>61684.52</v>
      </c>
      <c r="D6" s="239" t="s">
        <v>447</v>
      </c>
      <c r="E6" s="281">
        <v>42888</v>
      </c>
      <c r="F6" s="282">
        <v>61984.49</v>
      </c>
      <c r="G6" s="33"/>
      <c r="H6" s="23">
        <v>42888</v>
      </c>
      <c r="I6" s="292">
        <v>300</v>
      </c>
      <c r="J6" s="36"/>
      <c r="K6" s="37" t="s">
        <v>9</v>
      </c>
      <c r="L6" s="38">
        <v>574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287">
        <v>42889</v>
      </c>
      <c r="C7" s="288">
        <v>75569.149999999994</v>
      </c>
      <c r="D7" s="238" t="s">
        <v>449</v>
      </c>
      <c r="E7" s="281">
        <v>42889</v>
      </c>
      <c r="F7" s="282">
        <v>66576.460000000006</v>
      </c>
      <c r="G7" s="22"/>
      <c r="H7" s="23">
        <v>42889</v>
      </c>
      <c r="I7" s="292">
        <v>705.15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287">
        <v>42890</v>
      </c>
      <c r="C8" s="288">
        <v>40486.33</v>
      </c>
      <c r="D8" s="238" t="s">
        <v>451</v>
      </c>
      <c r="E8" s="281">
        <v>42890</v>
      </c>
      <c r="F8" s="282">
        <v>44436.33</v>
      </c>
      <c r="G8" s="22"/>
      <c r="H8" s="23">
        <v>42890</v>
      </c>
      <c r="I8" s="292">
        <v>450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287">
        <v>42891</v>
      </c>
      <c r="C9" s="288">
        <v>32363.8</v>
      </c>
      <c r="D9" s="238" t="s">
        <v>452</v>
      </c>
      <c r="E9" s="281">
        <v>42891</v>
      </c>
      <c r="F9" s="282">
        <v>32463.8</v>
      </c>
      <c r="G9" s="22"/>
      <c r="H9" s="23">
        <v>42891</v>
      </c>
      <c r="I9" s="292">
        <v>100</v>
      </c>
      <c r="J9" s="42" t="s">
        <v>534</v>
      </c>
      <c r="K9" s="37" t="s">
        <v>461</v>
      </c>
      <c r="L9" s="32">
        <v>16544.25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287">
        <v>42892</v>
      </c>
      <c r="C10" s="288">
        <v>30468</v>
      </c>
      <c r="D10" s="239" t="s">
        <v>453</v>
      </c>
      <c r="E10" s="281">
        <v>42892</v>
      </c>
      <c r="F10" s="282">
        <v>30651.81</v>
      </c>
      <c r="G10" s="22"/>
      <c r="H10" s="23">
        <v>42892</v>
      </c>
      <c r="I10" s="292">
        <v>184</v>
      </c>
      <c r="J10" s="42" t="s">
        <v>535</v>
      </c>
      <c r="K10" s="37" t="s">
        <v>462</v>
      </c>
      <c r="L10" s="32">
        <v>14451.56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287">
        <v>42893</v>
      </c>
      <c r="C11" s="288">
        <v>35675.06</v>
      </c>
      <c r="D11" s="240" t="s">
        <v>454</v>
      </c>
      <c r="E11" s="281">
        <v>42893</v>
      </c>
      <c r="F11" s="282">
        <v>35775.06</v>
      </c>
      <c r="G11" s="22"/>
      <c r="H11" s="23">
        <v>42893</v>
      </c>
      <c r="I11" s="292">
        <v>100</v>
      </c>
      <c r="J11" s="42" t="s">
        <v>536</v>
      </c>
      <c r="K11" s="37" t="s">
        <v>463</v>
      </c>
      <c r="L11" s="32">
        <v>13737.27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287">
        <v>42894</v>
      </c>
      <c r="C12" s="288">
        <v>25349.32</v>
      </c>
      <c r="D12" s="238" t="s">
        <v>455</v>
      </c>
      <c r="E12" s="281">
        <v>42894</v>
      </c>
      <c r="F12" s="282">
        <v>26419.32</v>
      </c>
      <c r="G12" s="22"/>
      <c r="H12" s="23">
        <v>42894</v>
      </c>
      <c r="I12" s="292">
        <v>200</v>
      </c>
      <c r="J12" s="42" t="s">
        <v>537</v>
      </c>
      <c r="K12" s="37" t="s">
        <v>533</v>
      </c>
      <c r="L12" s="32">
        <v>13637.27</v>
      </c>
      <c r="M12" s="39">
        <v>0</v>
      </c>
      <c r="N12" s="35">
        <v>100</v>
      </c>
      <c r="O12" s="44" t="s">
        <v>64</v>
      </c>
      <c r="P12" s="47"/>
      <c r="Q12" s="22"/>
    </row>
    <row r="13" spans="1:19" ht="15.75" thickBot="1" x14ac:dyDescent="0.3">
      <c r="A13" s="16"/>
      <c r="B13" s="287">
        <v>42895</v>
      </c>
      <c r="C13" s="288">
        <v>44950.85</v>
      </c>
      <c r="D13" s="240" t="s">
        <v>456</v>
      </c>
      <c r="E13" s="281">
        <v>42895</v>
      </c>
      <c r="F13" s="282">
        <v>51106.35</v>
      </c>
      <c r="G13" s="22"/>
      <c r="H13" s="23">
        <v>42895</v>
      </c>
      <c r="I13" s="292">
        <v>1130.3499999999999</v>
      </c>
      <c r="J13" s="42" t="s">
        <v>538</v>
      </c>
      <c r="K13" s="37" t="s">
        <v>550</v>
      </c>
      <c r="L13" s="32">
        <v>11840.34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287">
        <v>42896</v>
      </c>
      <c r="C14" s="288">
        <v>61663.35</v>
      </c>
      <c r="D14" s="238" t="s">
        <v>459</v>
      </c>
      <c r="E14" s="281">
        <v>42896</v>
      </c>
      <c r="F14" s="282">
        <v>64763.5</v>
      </c>
      <c r="G14" s="22"/>
      <c r="H14" s="23">
        <v>42896</v>
      </c>
      <c r="I14" s="292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287">
        <v>42897</v>
      </c>
      <c r="C15" s="288">
        <v>44549.66</v>
      </c>
      <c r="D15" s="238" t="s">
        <v>464</v>
      </c>
      <c r="E15" s="281">
        <v>42897</v>
      </c>
      <c r="F15" s="282">
        <v>47697.46</v>
      </c>
      <c r="G15" s="22"/>
      <c r="H15" s="23">
        <v>42897</v>
      </c>
      <c r="I15" s="292">
        <v>148</v>
      </c>
      <c r="J15" s="265"/>
      <c r="K15" s="49"/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thickBot="1" x14ac:dyDescent="0.3">
      <c r="A16" s="16"/>
      <c r="B16" s="287">
        <v>42898</v>
      </c>
      <c r="C16" s="288">
        <v>33605.35</v>
      </c>
      <c r="D16" s="238" t="s">
        <v>467</v>
      </c>
      <c r="E16" s="281">
        <v>42898</v>
      </c>
      <c r="F16" s="282">
        <v>31723.35</v>
      </c>
      <c r="G16" s="22"/>
      <c r="H16" s="23">
        <v>42898</v>
      </c>
      <c r="I16" s="292">
        <v>118</v>
      </c>
      <c r="J16" s="42"/>
      <c r="K16" s="433" t="s">
        <v>31</v>
      </c>
      <c r="L16" s="51">
        <v>10208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287">
        <v>42899</v>
      </c>
      <c r="C17" s="288">
        <v>39135.68</v>
      </c>
      <c r="D17" s="238" t="s">
        <v>468</v>
      </c>
      <c r="E17" s="281">
        <v>42899</v>
      </c>
      <c r="F17" s="282">
        <v>39735.68</v>
      </c>
      <c r="G17" s="22"/>
      <c r="H17" s="23">
        <v>42899</v>
      </c>
      <c r="I17" s="292">
        <v>100</v>
      </c>
      <c r="J17" s="42"/>
      <c r="K17" s="433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287">
        <v>42900</v>
      </c>
      <c r="C18" s="288">
        <v>39956.76</v>
      </c>
      <c r="D18" s="238" t="s">
        <v>479</v>
      </c>
      <c r="E18" s="281">
        <v>42900</v>
      </c>
      <c r="F18" s="282">
        <v>40056.76</v>
      </c>
      <c r="G18" s="22"/>
      <c r="H18" s="23">
        <v>42900</v>
      </c>
      <c r="I18" s="292">
        <v>100</v>
      </c>
      <c r="J18" s="42"/>
      <c r="K18" s="53"/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287">
        <v>42901</v>
      </c>
      <c r="C19" s="288">
        <v>3857</v>
      </c>
      <c r="D19" s="238" t="s">
        <v>480</v>
      </c>
      <c r="E19" s="281">
        <v>42901</v>
      </c>
      <c r="F19" s="282">
        <v>39087.49</v>
      </c>
      <c r="G19" s="22"/>
      <c r="H19" s="23">
        <v>42901</v>
      </c>
      <c r="I19" s="292">
        <v>580.6</v>
      </c>
      <c r="J19" s="42"/>
      <c r="K19" s="53"/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287">
        <v>42902</v>
      </c>
      <c r="C20" s="288">
        <v>78352.600000000006</v>
      </c>
      <c r="D20" s="239" t="s">
        <v>482</v>
      </c>
      <c r="E20" s="281">
        <v>42902</v>
      </c>
      <c r="F20" s="282">
        <v>78452.69</v>
      </c>
      <c r="G20" s="22"/>
      <c r="H20" s="23">
        <v>42902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287">
        <v>42903</v>
      </c>
      <c r="C21" s="288">
        <v>72259.95</v>
      </c>
      <c r="D21" s="238" t="s">
        <v>486</v>
      </c>
      <c r="E21" s="281">
        <v>42903</v>
      </c>
      <c r="F21" s="282">
        <v>75860.070000000007</v>
      </c>
      <c r="G21" s="22"/>
      <c r="H21" s="23">
        <v>42903</v>
      </c>
      <c r="I21" s="292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287">
        <v>42904</v>
      </c>
      <c r="C22" s="288">
        <v>72259.95</v>
      </c>
      <c r="D22" s="238" t="s">
        <v>486</v>
      </c>
      <c r="E22" s="281">
        <v>42904</v>
      </c>
      <c r="F22" s="282">
        <v>75860.070000000007</v>
      </c>
      <c r="G22" s="22"/>
      <c r="H22" s="23">
        <v>42904</v>
      </c>
      <c r="I22" s="292">
        <v>100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287">
        <v>42905</v>
      </c>
      <c r="C23" s="288">
        <v>42590.89</v>
      </c>
      <c r="D23" s="241" t="s">
        <v>501</v>
      </c>
      <c r="E23" s="281">
        <v>42905</v>
      </c>
      <c r="F23" s="282">
        <v>35625.949999999997</v>
      </c>
      <c r="G23" s="22"/>
      <c r="H23" s="23">
        <v>42905</v>
      </c>
      <c r="I23" s="292">
        <v>100</v>
      </c>
      <c r="J23" s="36"/>
      <c r="K23" s="61">
        <v>42894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287">
        <v>42906</v>
      </c>
      <c r="C24" s="288">
        <v>24891.54</v>
      </c>
      <c r="D24" s="238" t="s">
        <v>502</v>
      </c>
      <c r="E24" s="281">
        <v>42906</v>
      </c>
      <c r="F24" s="282">
        <v>25013.54</v>
      </c>
      <c r="G24" s="22"/>
      <c r="H24" s="23">
        <v>42906</v>
      </c>
      <c r="I24" s="292">
        <v>622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287">
        <v>42907</v>
      </c>
      <c r="C25" s="288">
        <v>33751.96</v>
      </c>
      <c r="D25" s="241" t="s">
        <v>503</v>
      </c>
      <c r="E25" s="281">
        <v>42907</v>
      </c>
      <c r="F25" s="282">
        <v>33851.96</v>
      </c>
      <c r="G25" s="22"/>
      <c r="H25" s="23">
        <v>42907</v>
      </c>
      <c r="I25" s="292">
        <v>100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287">
        <v>42908</v>
      </c>
      <c r="C26" s="288">
        <v>35072.68</v>
      </c>
      <c r="D26" s="238" t="s">
        <v>504</v>
      </c>
      <c r="E26" s="281">
        <v>42908</v>
      </c>
      <c r="F26" s="282">
        <v>35252.68</v>
      </c>
      <c r="G26" s="22"/>
      <c r="H26" s="23">
        <v>42908</v>
      </c>
      <c r="I26" s="292">
        <v>180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287">
        <v>42909</v>
      </c>
      <c r="C27" s="288">
        <v>72548.88</v>
      </c>
      <c r="D27" s="238" t="s">
        <v>505</v>
      </c>
      <c r="E27" s="281">
        <v>42909</v>
      </c>
      <c r="F27" s="282">
        <v>72704.88</v>
      </c>
      <c r="G27" s="22"/>
      <c r="H27" s="23">
        <v>42909</v>
      </c>
      <c r="I27" s="292">
        <v>156</v>
      </c>
      <c r="J27" s="36"/>
      <c r="K27" s="64" t="s">
        <v>450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287">
        <v>42910</v>
      </c>
      <c r="C28" s="288">
        <v>74849.16</v>
      </c>
      <c r="D28" s="238" t="s">
        <v>506</v>
      </c>
      <c r="E28" s="281">
        <v>42910</v>
      </c>
      <c r="F28" s="282">
        <v>74992.210000000006</v>
      </c>
      <c r="G28" s="22"/>
      <c r="H28" s="23">
        <v>42910</v>
      </c>
      <c r="I28" s="292">
        <v>143</v>
      </c>
      <c r="J28" s="36"/>
      <c r="K28" s="64" t="s">
        <v>457</v>
      </c>
      <c r="L28" s="51">
        <v>5000</v>
      </c>
      <c r="M28" s="39">
        <v>0</v>
      </c>
      <c r="N28" s="35">
        <v>100</v>
      </c>
      <c r="O28" s="22"/>
      <c r="P28" s="22"/>
      <c r="Q28" s="22"/>
    </row>
    <row r="29" spans="1:18" ht="16.5" thickBot="1" x14ac:dyDescent="0.3">
      <c r="A29" s="16"/>
      <c r="B29" s="287">
        <v>42911</v>
      </c>
      <c r="C29" s="288">
        <v>51562.3</v>
      </c>
      <c r="D29" s="238" t="s">
        <v>507</v>
      </c>
      <c r="E29" s="281">
        <v>42911</v>
      </c>
      <c r="F29" s="282">
        <v>51662.19</v>
      </c>
      <c r="G29" s="22"/>
      <c r="H29" s="23">
        <v>42911</v>
      </c>
      <c r="I29" s="292">
        <v>100</v>
      </c>
      <c r="J29" s="36"/>
      <c r="K29" s="294" t="s">
        <v>458</v>
      </c>
      <c r="L29" s="51">
        <v>3000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287">
        <v>42912</v>
      </c>
      <c r="C30" s="288">
        <v>47223.05</v>
      </c>
      <c r="D30" s="238" t="s">
        <v>531</v>
      </c>
      <c r="E30" s="281">
        <v>42912</v>
      </c>
      <c r="F30" s="282">
        <v>54423.05</v>
      </c>
      <c r="G30" s="22"/>
      <c r="H30" s="23">
        <v>42912</v>
      </c>
      <c r="I30" s="292">
        <v>100</v>
      </c>
      <c r="J30" s="63" t="s">
        <v>64</v>
      </c>
      <c r="K30" s="64" t="s">
        <v>465</v>
      </c>
      <c r="L30" s="65">
        <v>3000</v>
      </c>
      <c r="M30" s="39">
        <v>0</v>
      </c>
      <c r="N30" s="35">
        <v>0</v>
      </c>
      <c r="O30" s="22"/>
      <c r="P30" s="22"/>
      <c r="Q30" s="22"/>
    </row>
    <row r="31" spans="1:18" ht="15.75" thickBot="1" x14ac:dyDescent="0.3">
      <c r="A31" s="16"/>
      <c r="B31" s="287">
        <v>42913</v>
      </c>
      <c r="C31" s="288">
        <v>30952.799999999999</v>
      </c>
      <c r="D31" s="238" t="s">
        <v>527</v>
      </c>
      <c r="E31" s="281">
        <v>42913</v>
      </c>
      <c r="F31" s="282">
        <v>33402</v>
      </c>
      <c r="G31" s="22"/>
      <c r="H31" s="23">
        <v>42913</v>
      </c>
      <c r="I31" s="292">
        <v>0</v>
      </c>
      <c r="J31" s="42"/>
      <c r="K31" s="66" t="s">
        <v>485</v>
      </c>
      <c r="L31" s="67">
        <v>3500</v>
      </c>
      <c r="M31" s="39">
        <v>0</v>
      </c>
      <c r="N31" s="35">
        <v>100</v>
      </c>
      <c r="O31" s="316">
        <v>2449</v>
      </c>
      <c r="P31" s="22"/>
      <c r="Q31" s="22"/>
    </row>
    <row r="32" spans="1:18" ht="15.75" thickBot="1" x14ac:dyDescent="0.3">
      <c r="A32" s="16"/>
      <c r="B32" s="287">
        <v>42914</v>
      </c>
      <c r="C32" s="288">
        <v>41598.160000000003</v>
      </c>
      <c r="D32" s="238" t="s">
        <v>528</v>
      </c>
      <c r="E32" s="281">
        <v>42914</v>
      </c>
      <c r="F32" s="282">
        <v>41698.160000000003</v>
      </c>
      <c r="G32" s="22"/>
      <c r="H32" s="23">
        <v>42914</v>
      </c>
      <c r="I32" s="292">
        <v>100</v>
      </c>
      <c r="J32" s="36"/>
      <c r="K32" s="64" t="s">
        <v>529</v>
      </c>
      <c r="L32" s="68">
        <v>3500</v>
      </c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287">
        <v>42915</v>
      </c>
      <c r="C33" s="288">
        <v>34120.300000000003</v>
      </c>
      <c r="D33" s="240" t="s">
        <v>528</v>
      </c>
      <c r="E33" s="281">
        <v>42915</v>
      </c>
      <c r="F33" s="282">
        <v>34650.730000000003</v>
      </c>
      <c r="G33" s="22"/>
      <c r="H33" s="23">
        <v>42915</v>
      </c>
      <c r="I33" s="292">
        <v>530</v>
      </c>
      <c r="J33" s="36"/>
      <c r="K33" s="69" t="s">
        <v>530</v>
      </c>
      <c r="L33" s="232">
        <v>3600</v>
      </c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287">
        <v>42916</v>
      </c>
      <c r="C34" s="289">
        <v>94286.21</v>
      </c>
      <c r="D34" s="238" t="s">
        <v>532</v>
      </c>
      <c r="E34" s="281">
        <v>42916</v>
      </c>
      <c r="F34" s="282">
        <v>94386.21</v>
      </c>
      <c r="G34" s="22"/>
      <c r="H34" s="23">
        <v>42916</v>
      </c>
      <c r="I34" s="292">
        <v>100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83"/>
      <c r="F35" s="284"/>
      <c r="G35" s="22"/>
      <c r="H35" s="23"/>
      <c r="I35" s="292"/>
      <c r="J35" s="36"/>
      <c r="K35" s="432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32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1404508.26</v>
      </c>
      <c r="E38" s="276" t="s">
        <v>60</v>
      </c>
      <c r="F38" s="94">
        <f>SUM(F5:F37)</f>
        <v>1459287.06</v>
      </c>
      <c r="H38" s="6" t="s">
        <v>60</v>
      </c>
      <c r="I38" s="4">
        <f>SUM(I5:I37)</f>
        <v>6947.1</v>
      </c>
      <c r="J38" s="4"/>
      <c r="K38" s="95" t="s">
        <v>60</v>
      </c>
      <c r="L38" s="96">
        <f>SUM(L5:L37)</f>
        <v>135712.69</v>
      </c>
    </row>
    <row r="40" spans="1:17" ht="15.75" x14ac:dyDescent="0.25">
      <c r="A40" s="97"/>
      <c r="B40" s="98"/>
      <c r="C40" s="36"/>
      <c r="D40" s="99"/>
      <c r="E40" s="100"/>
      <c r="F40" s="77"/>
      <c r="H40" s="421" t="s">
        <v>61</v>
      </c>
      <c r="I40" s="422"/>
      <c r="J40" s="275"/>
      <c r="K40" s="423">
        <f>I38+L38</f>
        <v>142659.79</v>
      </c>
      <c r="L40" s="424"/>
    </row>
    <row r="41" spans="1:17" ht="15.75" x14ac:dyDescent="0.25">
      <c r="B41" s="102"/>
      <c r="C41" s="77"/>
      <c r="D41" s="408" t="s">
        <v>62</v>
      </c>
      <c r="E41" s="408"/>
      <c r="F41" s="103">
        <f>F38-K40</f>
        <v>1316627.27</v>
      </c>
      <c r="I41" s="104"/>
      <c r="J41" s="104"/>
    </row>
    <row r="42" spans="1:17" ht="15.75" x14ac:dyDescent="0.25">
      <c r="D42" s="409" t="s">
        <v>63</v>
      </c>
      <c r="E42" s="409"/>
      <c r="F42" s="103">
        <v>-1316450.67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176.60000000009313</v>
      </c>
      <c r="I44" s="410" t="s">
        <v>66</v>
      </c>
      <c r="J44" s="411"/>
      <c r="K44" s="414">
        <f>F48+L46</f>
        <v>184318.88000000009</v>
      </c>
      <c r="L44" s="415"/>
    </row>
    <row r="45" spans="1:17" ht="15.75" thickBot="1" x14ac:dyDescent="0.3">
      <c r="D45" s="108" t="s">
        <v>67</v>
      </c>
      <c r="E45" s="97" t="s">
        <v>68</v>
      </c>
      <c r="F45" s="4"/>
      <c r="I45" s="412"/>
      <c r="J45" s="413"/>
      <c r="K45" s="416"/>
      <c r="L45" s="417"/>
    </row>
    <row r="46" spans="1:17" ht="17.25" thickTop="1" thickBot="1" x14ac:dyDescent="0.3">
      <c r="C46" s="94"/>
      <c r="D46" s="418" t="s">
        <v>69</v>
      </c>
      <c r="E46" s="418"/>
      <c r="F46" s="109">
        <v>184142.28</v>
      </c>
      <c r="I46" s="419"/>
      <c r="J46" s="419"/>
      <c r="K46" s="420"/>
      <c r="L46" s="110"/>
    </row>
    <row r="47" spans="1:17" ht="19.5" thickBot="1" x14ac:dyDescent="0.35">
      <c r="C47" s="94"/>
      <c r="D47" s="276"/>
      <c r="E47" s="276"/>
      <c r="F47" s="111"/>
      <c r="H47" s="112"/>
      <c r="I47" s="277" t="s">
        <v>275</v>
      </c>
      <c r="J47" s="277"/>
      <c r="K47" s="402">
        <f>-C4</f>
        <v>-205816.17</v>
      </c>
      <c r="L47" s="402"/>
      <c r="M47" s="114"/>
    </row>
    <row r="48" spans="1:17" ht="17.25" thickTop="1" thickBot="1" x14ac:dyDescent="0.3">
      <c r="E48" s="115" t="s">
        <v>71</v>
      </c>
      <c r="F48" s="116">
        <f>F44+F45+F46</f>
        <v>184318.88000000009</v>
      </c>
    </row>
    <row r="49" spans="2:14" ht="19.5" thickBot="1" x14ac:dyDescent="0.35">
      <c r="B49"/>
      <c r="C49"/>
      <c r="D49" s="403"/>
      <c r="E49" s="403"/>
      <c r="F49" s="77"/>
      <c r="I49" s="434" t="s">
        <v>274</v>
      </c>
      <c r="J49" s="435"/>
      <c r="K49" s="406">
        <f>K44+K47</f>
        <v>-21497.289999999921</v>
      </c>
      <c r="L49" s="40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  <mergeCell ref="K16:K1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76"/>
  <sheetViews>
    <sheetView workbookViewId="0">
      <selection activeCell="C3" sqref="C3:C19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4.85546875" customWidth="1"/>
    <col min="14" max="14" width="11.85546875" customWidth="1"/>
    <col min="15" max="15" width="20.140625" bestFit="1" customWidth="1"/>
    <col min="16" max="16" width="13.28515625" bestFit="1" customWidth="1"/>
    <col min="18" max="18" width="14.7109375" bestFit="1" customWidth="1"/>
  </cols>
  <sheetData>
    <row r="1" spans="1:16" ht="19.5" thickBot="1" x14ac:dyDescent="0.35">
      <c r="B1" s="118" t="s">
        <v>420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82">
        <v>42901</v>
      </c>
      <c r="P1" s="158"/>
    </row>
    <row r="2" spans="1:1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</row>
    <row r="3" spans="1:16" ht="15.75" x14ac:dyDescent="0.25">
      <c r="A3" s="125">
        <v>42887</v>
      </c>
      <c r="B3" s="126" t="s">
        <v>421</v>
      </c>
      <c r="C3" s="36">
        <v>105363.08</v>
      </c>
      <c r="D3" s="127">
        <v>42901</v>
      </c>
      <c r="E3" s="36">
        <v>105363.08</v>
      </c>
      <c r="F3" s="128">
        <f t="shared" ref="F3:F41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6" ht="15.75" x14ac:dyDescent="0.25">
      <c r="A4" s="129">
        <v>42888</v>
      </c>
      <c r="B4" s="126" t="s">
        <v>424</v>
      </c>
      <c r="C4" s="130">
        <v>17370.900000000001</v>
      </c>
      <c r="D4" s="127">
        <v>42901</v>
      </c>
      <c r="E4" s="130">
        <v>17370.900000000001</v>
      </c>
      <c r="F4" s="128">
        <f t="shared" si="0"/>
        <v>0</v>
      </c>
      <c r="J4" s="164">
        <f>31666.74+28873+22156.85</f>
        <v>82696.59</v>
      </c>
      <c r="K4" s="126" t="s">
        <v>412</v>
      </c>
      <c r="L4" s="130">
        <v>81356.73</v>
      </c>
      <c r="M4" s="165" t="s">
        <v>111</v>
      </c>
      <c r="N4" s="166" t="s">
        <v>113</v>
      </c>
      <c r="O4" s="167">
        <v>31667</v>
      </c>
      <c r="P4" s="168">
        <v>42887</v>
      </c>
    </row>
    <row r="5" spans="1:16" ht="15.75" x14ac:dyDescent="0.25">
      <c r="A5" s="129">
        <v>42889</v>
      </c>
      <c r="B5" s="132" t="s">
        <v>425</v>
      </c>
      <c r="C5" s="36">
        <v>27945.360000000001</v>
      </c>
      <c r="D5" s="127">
        <v>42901</v>
      </c>
      <c r="E5" s="36">
        <v>27945.360000000001</v>
      </c>
      <c r="F5" s="128">
        <f t="shared" si="0"/>
        <v>0</v>
      </c>
      <c r="J5" s="164">
        <v>13140.58</v>
      </c>
      <c r="K5" s="126" t="s">
        <v>413</v>
      </c>
      <c r="L5" s="130">
        <v>13140.58</v>
      </c>
      <c r="M5" s="165"/>
      <c r="N5" s="166" t="s">
        <v>113</v>
      </c>
      <c r="O5" s="296">
        <v>28873</v>
      </c>
      <c r="P5" s="168">
        <v>42888</v>
      </c>
    </row>
    <row r="6" spans="1:16" ht="15.75" x14ac:dyDescent="0.25">
      <c r="A6" s="129">
        <v>42890</v>
      </c>
      <c r="B6" s="126" t="s">
        <v>426</v>
      </c>
      <c r="C6" s="36">
        <v>23947.3</v>
      </c>
      <c r="D6" s="127">
        <v>42901</v>
      </c>
      <c r="E6" s="36">
        <v>23947.3</v>
      </c>
      <c r="F6" s="128">
        <f t="shared" si="0"/>
        <v>0</v>
      </c>
      <c r="J6" s="140">
        <v>6555.2</v>
      </c>
      <c r="K6" s="126" t="s">
        <v>414</v>
      </c>
      <c r="L6" s="130">
        <v>6555.2</v>
      </c>
      <c r="M6" s="165"/>
      <c r="N6" s="166" t="s">
        <v>113</v>
      </c>
      <c r="O6" s="296">
        <v>61349.5</v>
      </c>
      <c r="P6" s="168">
        <v>42889</v>
      </c>
    </row>
    <row r="7" spans="1:16" ht="15.75" x14ac:dyDescent="0.25">
      <c r="A7" s="129">
        <v>42891</v>
      </c>
      <c r="B7" s="126" t="s">
        <v>427</v>
      </c>
      <c r="C7" s="130">
        <v>8990.6</v>
      </c>
      <c r="D7" s="127">
        <v>42901</v>
      </c>
      <c r="E7" s="130">
        <v>8990.6</v>
      </c>
      <c r="F7" s="128">
        <f t="shared" si="0"/>
        <v>0</v>
      </c>
      <c r="J7" s="140">
        <f>19496.89+3812.8+2418.32+5855+63051.84</f>
        <v>94634.849999999991</v>
      </c>
      <c r="K7" s="126" t="s">
        <v>415</v>
      </c>
      <c r="L7" s="130">
        <v>94655</v>
      </c>
      <c r="M7" s="165"/>
      <c r="N7" s="166" t="s">
        <v>113</v>
      </c>
      <c r="O7" s="296">
        <v>63451</v>
      </c>
      <c r="P7" s="168">
        <v>42892</v>
      </c>
    </row>
    <row r="8" spans="1:16" ht="15.75" x14ac:dyDescent="0.25">
      <c r="A8" s="129">
        <v>42892</v>
      </c>
      <c r="B8" s="126" t="s">
        <v>428</v>
      </c>
      <c r="C8" s="130">
        <v>39602.699999999997</v>
      </c>
      <c r="D8" s="127">
        <v>42901</v>
      </c>
      <c r="E8" s="130">
        <v>39602.699999999997</v>
      </c>
      <c r="F8" s="128">
        <f t="shared" si="0"/>
        <v>0</v>
      </c>
      <c r="J8" s="140">
        <f>23524.14+29854+10202.86</f>
        <v>63581</v>
      </c>
      <c r="K8" s="126" t="s">
        <v>417</v>
      </c>
      <c r="L8" s="130">
        <v>63581</v>
      </c>
      <c r="M8" s="165"/>
      <c r="N8" s="166" t="s">
        <v>113</v>
      </c>
      <c r="O8" s="296">
        <v>5885.5</v>
      </c>
      <c r="P8" s="168">
        <v>42887</v>
      </c>
    </row>
    <row r="9" spans="1:16" ht="15.75" x14ac:dyDescent="0.25">
      <c r="A9" s="129">
        <v>42893</v>
      </c>
      <c r="B9" s="126" t="s">
        <v>440</v>
      </c>
      <c r="C9" s="130">
        <v>42671.86</v>
      </c>
      <c r="D9" s="127">
        <v>42901</v>
      </c>
      <c r="E9" s="130">
        <v>42671.86</v>
      </c>
      <c r="F9" s="128">
        <f t="shared" si="0"/>
        <v>0</v>
      </c>
      <c r="J9" s="140">
        <f>401.19+40486.33+8839.66</f>
        <v>49727.180000000008</v>
      </c>
      <c r="K9" s="126" t="s">
        <v>423</v>
      </c>
      <c r="L9" s="130">
        <v>49727.18</v>
      </c>
      <c r="M9" s="165"/>
      <c r="N9" s="166" t="s">
        <v>113</v>
      </c>
      <c r="O9" s="296">
        <v>2418</v>
      </c>
      <c r="P9" s="168">
        <v>42887</v>
      </c>
    </row>
    <row r="10" spans="1:16" ht="15.75" x14ac:dyDescent="0.25">
      <c r="A10" s="129">
        <v>42895</v>
      </c>
      <c r="B10" s="126" t="s">
        <v>441</v>
      </c>
      <c r="C10" s="130">
        <v>57699.78</v>
      </c>
      <c r="D10" s="133" t="s">
        <v>488</v>
      </c>
      <c r="E10" s="130">
        <f>3552.51+54147.27</f>
        <v>57699.78</v>
      </c>
      <c r="F10" s="128">
        <f t="shared" si="0"/>
        <v>0</v>
      </c>
      <c r="J10" s="140">
        <f>3093.2+1165</f>
        <v>4258.2</v>
      </c>
      <c r="K10" s="126" t="s">
        <v>422</v>
      </c>
      <c r="L10" s="130">
        <v>4258</v>
      </c>
      <c r="M10" s="165"/>
      <c r="N10" s="166" t="s">
        <v>113</v>
      </c>
      <c r="O10" s="296">
        <v>3813</v>
      </c>
      <c r="P10" s="168">
        <v>42884</v>
      </c>
    </row>
    <row r="11" spans="1:16" ht="15.75" x14ac:dyDescent="0.25">
      <c r="A11" s="129">
        <v>42895</v>
      </c>
      <c r="B11" s="126" t="s">
        <v>442</v>
      </c>
      <c r="C11" s="130">
        <v>2640.4</v>
      </c>
      <c r="D11" s="127">
        <v>42909</v>
      </c>
      <c r="E11" s="130">
        <v>2640.4</v>
      </c>
      <c r="F11" s="128">
        <f t="shared" si="0"/>
        <v>0</v>
      </c>
      <c r="J11" s="140">
        <f>18000+3214+24705.32+44726.85+14317</f>
        <v>104963.17</v>
      </c>
      <c r="K11" s="126" t="s">
        <v>421</v>
      </c>
      <c r="L11" s="36">
        <v>105363.08</v>
      </c>
      <c r="M11" s="165"/>
      <c r="N11" s="166" t="s">
        <v>113</v>
      </c>
      <c r="O11" s="296">
        <v>40486</v>
      </c>
      <c r="P11" s="168">
        <v>42891</v>
      </c>
    </row>
    <row r="12" spans="1:16" ht="15.75" x14ac:dyDescent="0.25">
      <c r="A12" s="129">
        <v>42895</v>
      </c>
      <c r="B12" s="126" t="s">
        <v>443</v>
      </c>
      <c r="C12" s="130">
        <v>38957.660000000003</v>
      </c>
      <c r="D12" s="127">
        <v>42909</v>
      </c>
      <c r="E12" s="130">
        <v>38957.660000000003</v>
      </c>
      <c r="F12" s="128">
        <f t="shared" si="0"/>
        <v>0</v>
      </c>
      <c r="J12" s="140">
        <v>17370.900000000001</v>
      </c>
      <c r="K12" s="126" t="s">
        <v>424</v>
      </c>
      <c r="L12" s="130">
        <v>17370.900000000001</v>
      </c>
      <c r="M12" s="183"/>
      <c r="N12" s="184" t="s">
        <v>113</v>
      </c>
      <c r="O12" s="297">
        <v>32364</v>
      </c>
      <c r="P12" s="186">
        <v>42892</v>
      </c>
    </row>
    <row r="13" spans="1:16" ht="15.75" x14ac:dyDescent="0.25">
      <c r="A13" s="129">
        <v>42896</v>
      </c>
      <c r="B13" s="126" t="s">
        <v>444</v>
      </c>
      <c r="C13" s="130">
        <v>43825.34</v>
      </c>
      <c r="D13" s="127">
        <v>42909</v>
      </c>
      <c r="E13" s="130">
        <v>43825.34</v>
      </c>
      <c r="F13" s="128">
        <f t="shared" si="0"/>
        <v>0</v>
      </c>
      <c r="J13" s="164">
        <v>29013.599999999999</v>
      </c>
      <c r="K13" s="132" t="s">
        <v>425</v>
      </c>
      <c r="L13" s="36">
        <v>27945.360000000001</v>
      </c>
      <c r="M13" s="235"/>
      <c r="N13" s="184" t="s">
        <v>113</v>
      </c>
      <c r="O13" s="298">
        <v>29854</v>
      </c>
      <c r="P13" s="186">
        <v>42893</v>
      </c>
    </row>
    <row r="14" spans="1:16" ht="15.75" x14ac:dyDescent="0.25">
      <c r="A14" s="129">
        <v>42896</v>
      </c>
      <c r="B14" s="126" t="s">
        <v>471</v>
      </c>
      <c r="C14" s="130">
        <v>6086.6</v>
      </c>
      <c r="D14" s="127">
        <v>42909</v>
      </c>
      <c r="E14" s="130">
        <v>6086.6</v>
      </c>
      <c r="F14" s="128">
        <f t="shared" si="0"/>
        <v>0</v>
      </c>
      <c r="J14" s="164">
        <v>22879.06</v>
      </c>
      <c r="K14" s="126" t="s">
        <v>426</v>
      </c>
      <c r="L14" s="36">
        <v>23947.3</v>
      </c>
      <c r="M14" s="187"/>
      <c r="N14" s="184" t="s">
        <v>113</v>
      </c>
      <c r="O14" s="299">
        <v>32982</v>
      </c>
      <c r="P14" s="186">
        <v>42894</v>
      </c>
    </row>
    <row r="15" spans="1:16" ht="15.75" x14ac:dyDescent="0.25">
      <c r="A15" s="129">
        <v>42898</v>
      </c>
      <c r="B15" s="126" t="s">
        <v>472</v>
      </c>
      <c r="C15" s="130">
        <v>16787.12</v>
      </c>
      <c r="D15" s="127">
        <v>42909</v>
      </c>
      <c r="E15" s="130">
        <v>16787.12</v>
      </c>
      <c r="F15" s="128">
        <f t="shared" si="0"/>
        <v>0</v>
      </c>
      <c r="J15" s="164">
        <v>8990.6</v>
      </c>
      <c r="K15" s="126" t="s">
        <v>427</v>
      </c>
      <c r="L15" s="130">
        <v>8990.6</v>
      </c>
      <c r="M15" s="187"/>
      <c r="N15" s="184" t="s">
        <v>113</v>
      </c>
      <c r="O15" s="299">
        <v>3093</v>
      </c>
      <c r="P15" s="186">
        <v>42891</v>
      </c>
    </row>
    <row r="16" spans="1:16" ht="15.75" x14ac:dyDescent="0.25">
      <c r="A16" s="129">
        <v>42898</v>
      </c>
      <c r="B16" s="126" t="s">
        <v>473</v>
      </c>
      <c r="C16" s="130">
        <v>71189.759999999995</v>
      </c>
      <c r="D16" s="127">
        <v>42909</v>
      </c>
      <c r="E16" s="130">
        <v>71189.759999999995</v>
      </c>
      <c r="F16" s="128">
        <f t="shared" si="0"/>
        <v>0</v>
      </c>
      <c r="J16" s="164">
        <f>12680+26923</f>
        <v>39603</v>
      </c>
      <c r="K16" s="126" t="s">
        <v>428</v>
      </c>
      <c r="L16" s="130">
        <v>39602.699999999997</v>
      </c>
      <c r="M16" s="227"/>
      <c r="N16" s="184" t="s">
        <v>113</v>
      </c>
      <c r="O16" s="295">
        <v>24705</v>
      </c>
      <c r="P16" s="186">
        <v>42895</v>
      </c>
    </row>
    <row r="17" spans="1:18" ht="15.75" x14ac:dyDescent="0.25">
      <c r="A17" s="129">
        <v>42898</v>
      </c>
      <c r="B17" s="126" t="s">
        <v>474</v>
      </c>
      <c r="C17" s="130">
        <v>6115</v>
      </c>
      <c r="D17" s="127">
        <v>42909</v>
      </c>
      <c r="E17" s="130">
        <v>6115</v>
      </c>
      <c r="F17" s="128">
        <f t="shared" si="0"/>
        <v>0</v>
      </c>
      <c r="J17" s="151">
        <f>6682.35+34298.94</f>
        <v>40981.29</v>
      </c>
      <c r="K17" s="126" t="s">
        <v>440</v>
      </c>
      <c r="L17" s="130">
        <v>42671.86</v>
      </c>
      <c r="M17" s="187"/>
      <c r="N17" s="184" t="s">
        <v>113</v>
      </c>
      <c r="O17" s="295">
        <v>44727</v>
      </c>
      <c r="P17" s="186">
        <v>42898</v>
      </c>
    </row>
    <row r="18" spans="1:18" ht="15.75" x14ac:dyDescent="0.25">
      <c r="A18" s="129">
        <v>42900</v>
      </c>
      <c r="B18" s="126" t="s">
        <v>475</v>
      </c>
      <c r="C18" s="130">
        <v>43813.1</v>
      </c>
      <c r="D18" s="127">
        <v>42909</v>
      </c>
      <c r="E18" s="130">
        <v>43813.1</v>
      </c>
      <c r="F18" s="128">
        <f t="shared" si="0"/>
        <v>0</v>
      </c>
      <c r="J18" s="151">
        <v>4294.74</v>
      </c>
      <c r="K18" s="126" t="s">
        <v>441</v>
      </c>
      <c r="L18" s="130">
        <v>3552.51</v>
      </c>
      <c r="M18" s="227" t="s">
        <v>202</v>
      </c>
      <c r="N18" s="184" t="s">
        <v>113</v>
      </c>
      <c r="O18" s="295">
        <v>60701.5</v>
      </c>
      <c r="P18" s="186">
        <v>42899</v>
      </c>
    </row>
    <row r="19" spans="1:18" ht="15.75" x14ac:dyDescent="0.25">
      <c r="A19" s="129">
        <v>42901</v>
      </c>
      <c r="B19" s="126" t="s">
        <v>476</v>
      </c>
      <c r="C19" s="130">
        <v>17937.16</v>
      </c>
      <c r="D19" s="127">
        <v>42909</v>
      </c>
      <c r="E19" s="130">
        <v>17937.16</v>
      </c>
      <c r="F19" s="128">
        <f t="shared" si="0"/>
        <v>0</v>
      </c>
      <c r="J19" s="151"/>
      <c r="K19" s="126"/>
      <c r="L19" s="130"/>
      <c r="M19" s="187"/>
      <c r="N19" s="184" t="s">
        <v>113</v>
      </c>
      <c r="O19" s="295">
        <v>44549.5</v>
      </c>
      <c r="P19" s="186">
        <v>42899</v>
      </c>
    </row>
    <row r="20" spans="1:18" ht="15.75" x14ac:dyDescent="0.25">
      <c r="A20" s="129">
        <v>42902</v>
      </c>
      <c r="B20" s="126" t="s">
        <v>477</v>
      </c>
      <c r="C20" s="130">
        <v>52460.67</v>
      </c>
      <c r="D20" s="127" t="s">
        <v>509</v>
      </c>
      <c r="E20" s="130">
        <f>2921.09+49539.58</f>
        <v>52460.67</v>
      </c>
      <c r="F20" s="128">
        <f t="shared" si="0"/>
        <v>0</v>
      </c>
      <c r="J20" s="151"/>
      <c r="K20" s="126"/>
      <c r="L20" s="130"/>
      <c r="M20" s="187"/>
      <c r="N20" s="184" t="s">
        <v>113</v>
      </c>
      <c r="O20" s="188">
        <v>33605</v>
      </c>
      <c r="P20" s="186">
        <v>42899</v>
      </c>
    </row>
    <row r="21" spans="1:18" ht="15.75" x14ac:dyDescent="0.25">
      <c r="A21" s="129">
        <v>42903</v>
      </c>
      <c r="B21" s="126" t="s">
        <v>489</v>
      </c>
      <c r="C21" s="130">
        <v>114738.84</v>
      </c>
      <c r="D21" s="127">
        <v>42915</v>
      </c>
      <c r="E21" s="130">
        <v>114738.84</v>
      </c>
      <c r="F21" s="128">
        <f t="shared" si="0"/>
        <v>0</v>
      </c>
      <c r="J21" s="151"/>
      <c r="K21" s="126"/>
      <c r="L21" s="130"/>
      <c r="M21" s="187"/>
      <c r="N21" s="184" t="s">
        <v>113</v>
      </c>
      <c r="O21" s="188">
        <v>4295</v>
      </c>
      <c r="P21" s="186">
        <v>42893</v>
      </c>
    </row>
    <row r="22" spans="1:18" ht="15.75" x14ac:dyDescent="0.25">
      <c r="A22" s="129">
        <v>42904</v>
      </c>
      <c r="B22" s="126" t="s">
        <v>478</v>
      </c>
      <c r="C22" s="130">
        <v>42579.040000000001</v>
      </c>
      <c r="D22" s="127">
        <v>42915</v>
      </c>
      <c r="E22" s="130">
        <v>42579.040000000001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33899</v>
      </c>
      <c r="P22" s="186">
        <v>42900</v>
      </c>
    </row>
    <row r="23" spans="1:18" ht="16.5" thickBot="1" x14ac:dyDescent="0.3">
      <c r="A23" s="129">
        <v>42905</v>
      </c>
      <c r="B23" s="126" t="s">
        <v>490</v>
      </c>
      <c r="C23" s="130">
        <v>32095.5</v>
      </c>
      <c r="D23" s="127">
        <v>42915</v>
      </c>
      <c r="E23" s="130">
        <v>32095.5</v>
      </c>
      <c r="F23" s="128">
        <f t="shared" si="0"/>
        <v>0</v>
      </c>
      <c r="J23" s="177">
        <f>SUM(J4:J22)</f>
        <v>582689.96</v>
      </c>
      <c r="K23" s="207"/>
      <c r="L23" s="207"/>
      <c r="M23" s="207"/>
      <c r="N23" s="184" t="s">
        <v>113</v>
      </c>
      <c r="O23" s="221">
        <v>0</v>
      </c>
      <c r="P23" s="222"/>
    </row>
    <row r="24" spans="1:18" ht="17.25" thickTop="1" thickBot="1" x14ac:dyDescent="0.3">
      <c r="A24" s="129">
        <v>42907</v>
      </c>
      <c r="B24" s="126" t="s">
        <v>491</v>
      </c>
      <c r="C24" s="130">
        <v>31599.8</v>
      </c>
      <c r="D24" s="138">
        <v>42934</v>
      </c>
      <c r="E24" s="137">
        <v>31599.8</v>
      </c>
      <c r="F24" s="128">
        <f t="shared" si="0"/>
        <v>0</v>
      </c>
      <c r="K24" s="177"/>
      <c r="L24" s="177">
        <f>SUM(L4:L22)</f>
        <v>582718</v>
      </c>
      <c r="M24" s="178"/>
      <c r="N24" s="179"/>
      <c r="O24" s="204">
        <f>SUM(O4:O23)</f>
        <v>582718</v>
      </c>
      <c r="P24" s="181"/>
    </row>
    <row r="25" spans="1:18" x14ac:dyDescent="0.25">
      <c r="A25" s="129">
        <v>42907</v>
      </c>
      <c r="B25" s="126" t="s">
        <v>492</v>
      </c>
      <c r="C25" s="130">
        <v>32050.400000000001</v>
      </c>
      <c r="D25" s="127">
        <v>42915</v>
      </c>
      <c r="E25" s="130">
        <v>32050.400000000001</v>
      </c>
      <c r="F25" s="128">
        <f t="shared" si="0"/>
        <v>0</v>
      </c>
    </row>
    <row r="26" spans="1:18" x14ac:dyDescent="0.25">
      <c r="A26" s="129">
        <v>42907</v>
      </c>
      <c r="B26" s="126" t="s">
        <v>493</v>
      </c>
      <c r="C26" s="130">
        <v>995.5</v>
      </c>
      <c r="D26" s="127">
        <v>42915</v>
      </c>
      <c r="E26" s="130">
        <v>995.5</v>
      </c>
      <c r="F26" s="128">
        <f t="shared" si="0"/>
        <v>0</v>
      </c>
    </row>
    <row r="27" spans="1:18" x14ac:dyDescent="0.25">
      <c r="A27" s="129">
        <v>42908</v>
      </c>
      <c r="B27" s="126" t="s">
        <v>494</v>
      </c>
      <c r="C27" s="130">
        <v>28295.82</v>
      </c>
      <c r="D27" s="127">
        <v>42915</v>
      </c>
      <c r="E27" s="130">
        <v>28295.82</v>
      </c>
      <c r="F27" s="128">
        <f t="shared" si="0"/>
        <v>0</v>
      </c>
    </row>
    <row r="28" spans="1:18" ht="15.75" thickBot="1" x14ac:dyDescent="0.3">
      <c r="A28" s="129">
        <v>42908</v>
      </c>
      <c r="B28" s="126" t="s">
        <v>495</v>
      </c>
      <c r="C28" s="130">
        <v>17916.599999999999</v>
      </c>
      <c r="D28" s="127">
        <v>42915</v>
      </c>
      <c r="E28" s="130">
        <v>17916.599999999999</v>
      </c>
      <c r="F28" s="128">
        <f t="shared" si="0"/>
        <v>0</v>
      </c>
    </row>
    <row r="29" spans="1:18" ht="19.5" thickBot="1" x14ac:dyDescent="0.35">
      <c r="A29" s="129">
        <v>42909</v>
      </c>
      <c r="B29" s="126" t="s">
        <v>496</v>
      </c>
      <c r="C29" s="130">
        <v>23772.98</v>
      </c>
      <c r="D29" s="138">
        <v>42934</v>
      </c>
      <c r="E29" s="137">
        <v>23772.98</v>
      </c>
      <c r="F29" s="128">
        <f t="shared" si="0"/>
        <v>0</v>
      </c>
      <c r="K29" t="s">
        <v>64</v>
      </c>
      <c r="L29" s="154" t="s">
        <v>105</v>
      </c>
      <c r="M29" s="155"/>
      <c r="N29" s="156"/>
      <c r="O29" s="242">
        <v>42909</v>
      </c>
      <c r="P29" s="158"/>
    </row>
    <row r="30" spans="1:18" ht="15.75" x14ac:dyDescent="0.25">
      <c r="A30" s="129">
        <v>42909</v>
      </c>
      <c r="B30" s="126" t="s">
        <v>497</v>
      </c>
      <c r="C30" s="130">
        <v>67096.800000000003</v>
      </c>
      <c r="D30" s="138" t="s">
        <v>584</v>
      </c>
      <c r="E30" s="137">
        <f>14519.22+52577.58</f>
        <v>67096.800000000003</v>
      </c>
      <c r="F30" s="128">
        <f t="shared" si="0"/>
        <v>0</v>
      </c>
      <c r="K30" s="159"/>
      <c r="L30" s="160"/>
      <c r="M30" s="159"/>
      <c r="N30" s="161"/>
      <c r="O30" s="160"/>
      <c r="P30" s="162"/>
    </row>
    <row r="31" spans="1:18" ht="15.75" x14ac:dyDescent="0.25">
      <c r="A31" s="236">
        <v>42909</v>
      </c>
      <c r="B31" s="126" t="s">
        <v>498</v>
      </c>
      <c r="C31" s="130">
        <v>690</v>
      </c>
      <c r="D31" s="138">
        <v>42934</v>
      </c>
      <c r="E31" s="137">
        <v>690</v>
      </c>
      <c r="F31" s="128">
        <f t="shared" si="0"/>
        <v>0</v>
      </c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18" ht="15.75" x14ac:dyDescent="0.25">
      <c r="A32" s="236">
        <v>42910</v>
      </c>
      <c r="B32" s="126" t="s">
        <v>499</v>
      </c>
      <c r="C32" s="130">
        <v>83003.5</v>
      </c>
      <c r="D32" s="138">
        <v>42934</v>
      </c>
      <c r="E32" s="137">
        <v>83003.5</v>
      </c>
      <c r="F32" s="128">
        <f t="shared" si="0"/>
        <v>0</v>
      </c>
      <c r="J32" s="164">
        <f>39436.76+15659</f>
        <v>55095.76</v>
      </c>
      <c r="K32" s="126" t="s">
        <v>441</v>
      </c>
      <c r="L32" s="130">
        <v>54147.27</v>
      </c>
      <c r="M32" s="165" t="s">
        <v>111</v>
      </c>
      <c r="N32" s="166" t="s">
        <v>113</v>
      </c>
      <c r="O32" s="306">
        <v>39436.5</v>
      </c>
      <c r="P32" s="168">
        <v>42901</v>
      </c>
      <c r="R32" s="100"/>
    </row>
    <row r="33" spans="1:18" ht="15.75" x14ac:dyDescent="0.25">
      <c r="A33" s="236">
        <v>42911</v>
      </c>
      <c r="B33" s="126" t="s">
        <v>500</v>
      </c>
      <c r="C33" s="130">
        <v>52491</v>
      </c>
      <c r="D33" s="138">
        <v>42934</v>
      </c>
      <c r="E33" s="137">
        <v>52491</v>
      </c>
      <c r="F33" s="128">
        <f t="shared" si="0"/>
        <v>0</v>
      </c>
      <c r="J33" s="164">
        <v>2640.5</v>
      </c>
      <c r="K33" s="126" t="s">
        <v>442</v>
      </c>
      <c r="L33" s="130">
        <v>2640.4</v>
      </c>
      <c r="M33" s="165"/>
      <c r="N33" s="166" t="s">
        <v>113</v>
      </c>
      <c r="O33" s="167">
        <v>38209</v>
      </c>
      <c r="P33" s="168">
        <v>42902</v>
      </c>
      <c r="R33" s="307"/>
    </row>
    <row r="34" spans="1:18" ht="15.75" x14ac:dyDescent="0.25">
      <c r="A34" s="236">
        <v>42914</v>
      </c>
      <c r="B34" s="126" t="s">
        <v>510</v>
      </c>
      <c r="C34" s="130">
        <v>91267.56</v>
      </c>
      <c r="D34" s="138">
        <v>42934</v>
      </c>
      <c r="E34" s="137">
        <v>91267.56</v>
      </c>
      <c r="F34" s="128">
        <f t="shared" si="0"/>
        <v>0</v>
      </c>
      <c r="J34" s="140">
        <f>19909.5+19048.16</f>
        <v>38957.660000000003</v>
      </c>
      <c r="K34" s="126" t="s">
        <v>443</v>
      </c>
      <c r="L34" s="130">
        <v>38957.660000000003</v>
      </c>
      <c r="M34" s="165"/>
      <c r="N34" s="166" t="s">
        <v>113</v>
      </c>
      <c r="O34" s="167">
        <v>76681</v>
      </c>
      <c r="P34" s="168">
        <v>42903</v>
      </c>
      <c r="R34" s="307"/>
    </row>
    <row r="35" spans="1:18" ht="15.75" x14ac:dyDescent="0.25">
      <c r="A35" s="236">
        <v>42914</v>
      </c>
      <c r="B35" s="126" t="s">
        <v>511</v>
      </c>
      <c r="C35" s="130">
        <v>3753.94</v>
      </c>
      <c r="D35" s="138">
        <v>42934</v>
      </c>
      <c r="E35" s="137">
        <v>3753.94</v>
      </c>
      <c r="F35" s="128">
        <f t="shared" si="0"/>
        <v>0</v>
      </c>
      <c r="J35" s="140">
        <v>43825.34</v>
      </c>
      <c r="K35" s="126" t="s">
        <v>444</v>
      </c>
      <c r="L35" s="130">
        <v>43825.34</v>
      </c>
      <c r="M35" s="165"/>
      <c r="N35" s="166" t="s">
        <v>113</v>
      </c>
      <c r="O35" s="167">
        <v>78502</v>
      </c>
      <c r="P35" s="168">
        <v>42905</v>
      </c>
      <c r="R35" s="307"/>
    </row>
    <row r="36" spans="1:18" ht="15.75" x14ac:dyDescent="0.25">
      <c r="A36" s="236">
        <v>42914</v>
      </c>
      <c r="B36" s="126" t="s">
        <v>512</v>
      </c>
      <c r="C36" s="4">
        <v>1495.2</v>
      </c>
      <c r="D36" s="138">
        <v>42934</v>
      </c>
      <c r="E36" s="92">
        <v>1495.2</v>
      </c>
      <c r="F36" s="128">
        <f t="shared" si="0"/>
        <v>0</v>
      </c>
      <c r="J36" s="140">
        <v>6086.6</v>
      </c>
      <c r="K36" s="126" t="s">
        <v>471</v>
      </c>
      <c r="L36" s="130">
        <v>6086.6</v>
      </c>
      <c r="M36" s="165"/>
      <c r="N36" s="166" t="s">
        <v>113</v>
      </c>
      <c r="O36" s="167">
        <v>71592</v>
      </c>
      <c r="P36" s="168">
        <v>42905</v>
      </c>
      <c r="R36" s="307"/>
    </row>
    <row r="37" spans="1:18" ht="15.75" x14ac:dyDescent="0.25">
      <c r="A37" s="236">
        <v>42916</v>
      </c>
      <c r="B37" s="126" t="s">
        <v>513</v>
      </c>
      <c r="C37" s="4">
        <v>59685.9</v>
      </c>
      <c r="D37" s="138">
        <v>42934</v>
      </c>
      <c r="E37" s="92">
        <v>59685.9</v>
      </c>
      <c r="F37" s="128">
        <f t="shared" si="0"/>
        <v>0</v>
      </c>
      <c r="J37" s="140">
        <f>7720.5+9066.62</f>
        <v>16787.120000000003</v>
      </c>
      <c r="K37" s="126" t="s">
        <v>472</v>
      </c>
      <c r="L37" s="130">
        <v>16787.12</v>
      </c>
      <c r="M37" s="165"/>
      <c r="N37" s="166" t="s">
        <v>113</v>
      </c>
      <c r="O37" s="167"/>
      <c r="P37" s="168"/>
      <c r="R37" s="100"/>
    </row>
    <row r="38" spans="1:18" ht="15.75" x14ac:dyDescent="0.25">
      <c r="A38" s="236"/>
      <c r="B38" s="126"/>
      <c r="C38" s="130"/>
      <c r="D38" s="202"/>
      <c r="E38" s="130"/>
      <c r="F38" s="128">
        <f t="shared" si="0"/>
        <v>0</v>
      </c>
      <c r="J38" s="140">
        <f>63320.5+7869.29</f>
        <v>71189.789999999994</v>
      </c>
      <c r="K38" s="126" t="s">
        <v>473</v>
      </c>
      <c r="L38" s="130">
        <v>71189.759999999995</v>
      </c>
      <c r="M38" s="165"/>
      <c r="N38" s="166" t="s">
        <v>113</v>
      </c>
      <c r="O38" s="167"/>
      <c r="P38" s="168"/>
      <c r="R38" s="100"/>
    </row>
    <row r="39" spans="1:18" ht="15.75" x14ac:dyDescent="0.25">
      <c r="A39" s="236"/>
      <c r="B39" s="126"/>
      <c r="C39" s="130"/>
      <c r="D39" s="202"/>
      <c r="E39" s="130"/>
      <c r="F39" s="128">
        <f t="shared" si="0"/>
        <v>0</v>
      </c>
      <c r="J39" s="140">
        <v>6115</v>
      </c>
      <c r="K39" s="126" t="s">
        <v>474</v>
      </c>
      <c r="L39" s="130">
        <v>6115</v>
      </c>
      <c r="M39" s="165"/>
      <c r="N39" s="166" t="s">
        <v>113</v>
      </c>
      <c r="O39" s="167"/>
      <c r="P39" s="168"/>
    </row>
    <row r="40" spans="1:18" ht="15.75" x14ac:dyDescent="0.25">
      <c r="A40" s="236"/>
      <c r="B40" s="126"/>
      <c r="C40" s="130"/>
      <c r="D40" s="202"/>
      <c r="E40" s="130"/>
      <c r="F40" s="128">
        <f t="shared" si="0"/>
        <v>0</v>
      </c>
      <c r="J40" s="140">
        <v>43813</v>
      </c>
      <c r="K40" s="126" t="s">
        <v>475</v>
      </c>
      <c r="L40" s="130">
        <v>43813.1</v>
      </c>
      <c r="M40" s="183"/>
      <c r="N40" s="184" t="s">
        <v>113</v>
      </c>
      <c r="O40" s="185"/>
      <c r="P40" s="186"/>
    </row>
    <row r="41" spans="1:18" ht="16.5" thickBot="1" x14ac:dyDescent="0.3">
      <c r="A41" s="308"/>
      <c r="B41" s="143"/>
      <c r="C41" s="144"/>
      <c r="D41" s="145"/>
      <c r="E41" s="144"/>
      <c r="F41" s="128">
        <f t="shared" si="0"/>
        <v>0</v>
      </c>
      <c r="J41" s="164">
        <v>17937.16</v>
      </c>
      <c r="K41" s="126" t="s">
        <v>476</v>
      </c>
      <c r="L41" s="130">
        <v>17937.16</v>
      </c>
      <c r="M41" s="235"/>
      <c r="N41" s="184" t="s">
        <v>113</v>
      </c>
      <c r="O41" s="301"/>
      <c r="P41" s="186"/>
    </row>
    <row r="42" spans="1:18" ht="16.5" thickTop="1" x14ac:dyDescent="0.25">
      <c r="B42" s="44"/>
      <c r="C42" s="130">
        <f>SUM(C3:C41)</f>
        <v>1306932.7699999998</v>
      </c>
      <c r="D42" s="148"/>
      <c r="E42" s="140">
        <f>SUM(E3:E41)</f>
        <v>1306932.7699999998</v>
      </c>
      <c r="F42" s="130">
        <f>SUM(F3:F41)</f>
        <v>0</v>
      </c>
      <c r="J42" s="164">
        <v>1971.5</v>
      </c>
      <c r="K42" s="126" t="s">
        <v>477</v>
      </c>
      <c r="L42" s="130">
        <v>2921.09</v>
      </c>
      <c r="M42" s="227" t="s">
        <v>202</v>
      </c>
      <c r="N42" s="184" t="s">
        <v>113</v>
      </c>
      <c r="O42" s="302"/>
      <c r="P42" s="186"/>
    </row>
    <row r="43" spans="1:18" ht="15.75" x14ac:dyDescent="0.25">
      <c r="A43"/>
      <c r="B43" s="149"/>
      <c r="D43" s="149"/>
      <c r="J43" s="164"/>
      <c r="K43" s="126"/>
      <c r="L43" s="130"/>
      <c r="M43" s="187"/>
      <c r="N43" s="184" t="s">
        <v>113</v>
      </c>
      <c r="O43" s="302"/>
      <c r="P43" s="186"/>
    </row>
    <row r="44" spans="1:18" ht="16.5" thickBot="1" x14ac:dyDescent="0.3">
      <c r="A44"/>
      <c r="B44" s="149">
        <v>42887</v>
      </c>
      <c r="C44" s="140">
        <v>0</v>
      </c>
      <c r="D44" s="149"/>
      <c r="J44" s="177">
        <f>SUM(J32:J43)</f>
        <v>304419.43</v>
      </c>
      <c r="K44" s="207"/>
      <c r="L44" s="224"/>
      <c r="M44" s="207"/>
      <c r="N44" s="184" t="s">
        <v>113</v>
      </c>
      <c r="O44" s="221">
        <v>0</v>
      </c>
      <c r="P44" s="222"/>
    </row>
    <row r="45" spans="1:18" ht="17.25" thickTop="1" thickBot="1" x14ac:dyDescent="0.3">
      <c r="A45"/>
      <c r="B45" s="149">
        <v>42888</v>
      </c>
      <c r="C45" s="140">
        <v>335</v>
      </c>
      <c r="D45" s="149" t="s">
        <v>367</v>
      </c>
      <c r="K45" s="177"/>
      <c r="L45" s="305">
        <f>SUM(L32:L44)</f>
        <v>304420.49999999994</v>
      </c>
      <c r="M45" s="178"/>
      <c r="N45" s="179"/>
      <c r="O45" s="304">
        <f>SUM(O32:O44)</f>
        <v>304420.5</v>
      </c>
      <c r="P45" s="181"/>
    </row>
    <row r="46" spans="1:18" ht="15.75" x14ac:dyDescent="0.25">
      <c r="A46"/>
      <c r="B46" s="149">
        <v>42889</v>
      </c>
      <c r="C46" s="140">
        <v>0</v>
      </c>
      <c r="D46" s="149"/>
      <c r="F46"/>
      <c r="J46" s="248"/>
      <c r="K46" s="176"/>
      <c r="L46" s="36"/>
      <c r="M46" s="246"/>
      <c r="N46" s="244"/>
      <c r="O46" s="303"/>
      <c r="P46" s="245"/>
      <c r="Q46" s="100"/>
    </row>
    <row r="47" spans="1:18" ht="15.75" x14ac:dyDescent="0.25">
      <c r="A47"/>
      <c r="B47" s="149">
        <v>42890</v>
      </c>
      <c r="C47" s="140">
        <v>0</v>
      </c>
      <c r="D47" s="149"/>
      <c r="F47"/>
      <c r="J47" s="248"/>
      <c r="K47" s="176"/>
      <c r="L47" s="36"/>
      <c r="M47" s="100"/>
      <c r="N47" s="244"/>
      <c r="O47" s="303"/>
      <c r="P47" s="245"/>
      <c r="Q47" s="100"/>
    </row>
    <row r="48" spans="1:18" ht="15.75" x14ac:dyDescent="0.25">
      <c r="A48"/>
      <c r="B48" s="149">
        <v>42891</v>
      </c>
      <c r="C48" s="140">
        <v>0</v>
      </c>
      <c r="D48" s="149"/>
      <c r="F48"/>
      <c r="J48" s="248"/>
      <c r="K48" s="176"/>
      <c r="L48" s="36"/>
      <c r="M48" s="100"/>
      <c r="N48" s="244"/>
      <c r="O48" s="303"/>
      <c r="P48" s="245"/>
      <c r="Q48" s="100"/>
    </row>
    <row r="49" spans="1:17" ht="15.75" x14ac:dyDescent="0.25">
      <c r="A49"/>
      <c r="B49" s="149">
        <v>42892</v>
      </c>
      <c r="C49" s="140">
        <v>614</v>
      </c>
      <c r="D49" s="149" t="s">
        <v>97</v>
      </c>
      <c r="F49"/>
      <c r="J49" s="248"/>
      <c r="K49" s="176"/>
      <c r="L49" s="36"/>
      <c r="M49" s="100"/>
      <c r="N49" s="244"/>
      <c r="O49" s="303"/>
      <c r="P49" s="245"/>
      <c r="Q49" s="100"/>
    </row>
    <row r="50" spans="1:17" ht="16.5" thickBot="1" x14ac:dyDescent="0.3">
      <c r="A50"/>
      <c r="B50" s="149">
        <v>42893</v>
      </c>
      <c r="C50" s="140">
        <v>0</v>
      </c>
      <c r="D50" s="149"/>
      <c r="F50"/>
      <c r="J50" s="248"/>
      <c r="K50" s="100"/>
      <c r="L50" s="100"/>
      <c r="M50" s="100"/>
      <c r="N50" s="244"/>
      <c r="O50" s="303"/>
      <c r="P50" s="245"/>
      <c r="Q50" s="100"/>
    </row>
    <row r="51" spans="1:17" ht="19.5" thickBot="1" x14ac:dyDescent="0.35">
      <c r="A51"/>
      <c r="B51" s="149">
        <v>42894</v>
      </c>
      <c r="C51" s="140">
        <v>644</v>
      </c>
      <c r="D51" s="149" t="s">
        <v>97</v>
      </c>
      <c r="F51"/>
      <c r="K51" t="s">
        <v>64</v>
      </c>
      <c r="L51" s="154" t="s">
        <v>105</v>
      </c>
      <c r="M51" s="155"/>
      <c r="N51" s="156"/>
      <c r="O51" s="231">
        <v>42915</v>
      </c>
      <c r="P51" s="158"/>
      <c r="Q51" s="100"/>
    </row>
    <row r="52" spans="1:17" ht="15.75" x14ac:dyDescent="0.25">
      <c r="A52"/>
      <c r="B52" s="149">
        <v>42895</v>
      </c>
      <c r="C52" s="140">
        <v>224</v>
      </c>
      <c r="D52" s="149" t="s">
        <v>367</v>
      </c>
      <c r="F52"/>
      <c r="K52" s="159"/>
      <c r="L52" s="160"/>
      <c r="M52" s="159"/>
      <c r="N52" s="161"/>
      <c r="O52" s="160"/>
      <c r="P52" s="162"/>
      <c r="Q52" s="100"/>
    </row>
    <row r="53" spans="1:17" ht="15.75" x14ac:dyDescent="0.25">
      <c r="A53"/>
      <c r="B53" s="149">
        <v>42896</v>
      </c>
      <c r="C53" s="140">
        <v>962</v>
      </c>
      <c r="D53" s="149" t="s">
        <v>167</v>
      </c>
      <c r="F53"/>
      <c r="K53" s="163" t="s">
        <v>106</v>
      </c>
      <c r="L53" s="160" t="s">
        <v>107</v>
      </c>
      <c r="M53" s="159"/>
      <c r="N53" s="161" t="s">
        <v>108</v>
      </c>
      <c r="O53" s="160" t="s">
        <v>109</v>
      </c>
      <c r="P53" s="162"/>
    </row>
    <row r="54" spans="1:17" ht="15.75" x14ac:dyDescent="0.25">
      <c r="A54"/>
      <c r="B54" s="149">
        <v>42897</v>
      </c>
      <c r="C54" s="140">
        <v>0</v>
      </c>
      <c r="D54" s="149"/>
      <c r="F54"/>
      <c r="J54" s="164">
        <f>42260.59+8228.67</f>
        <v>50489.259999999995</v>
      </c>
      <c r="K54" s="126" t="s">
        <v>477</v>
      </c>
      <c r="L54" s="130">
        <v>49539.58</v>
      </c>
      <c r="M54" s="165" t="s">
        <v>111</v>
      </c>
      <c r="N54" s="166" t="s">
        <v>113</v>
      </c>
      <c r="O54" s="167">
        <v>42260.5</v>
      </c>
      <c r="P54" s="168">
        <v>42906</v>
      </c>
    </row>
    <row r="55" spans="1:17" ht="15.75" x14ac:dyDescent="0.25">
      <c r="A55"/>
      <c r="B55" s="149">
        <v>42898</v>
      </c>
      <c r="C55" s="140">
        <v>0</v>
      </c>
      <c r="D55" s="149"/>
      <c r="E55"/>
      <c r="F55"/>
      <c r="J55" s="164">
        <f>15503.87+500+33231.96+35052.68+30451</f>
        <v>114739.51000000001</v>
      </c>
      <c r="K55" s="126" t="s">
        <v>489</v>
      </c>
      <c r="L55" s="130">
        <v>114738.84</v>
      </c>
      <c r="M55" s="165"/>
      <c r="N55" s="166" t="s">
        <v>294</v>
      </c>
      <c r="O55" s="167">
        <v>24232.5</v>
      </c>
      <c r="P55" s="168">
        <v>42907</v>
      </c>
    </row>
    <row r="56" spans="1:17" ht="15.75" x14ac:dyDescent="0.25">
      <c r="A56"/>
      <c r="B56" s="149">
        <v>42899</v>
      </c>
      <c r="C56" s="140">
        <v>542</v>
      </c>
      <c r="D56" s="149" t="s">
        <v>469</v>
      </c>
      <c r="E56"/>
      <c r="F56"/>
      <c r="J56" s="140">
        <f>41848.88+731.16</f>
        <v>42580.04</v>
      </c>
      <c r="K56" s="126" t="s">
        <v>478</v>
      </c>
      <c r="L56" s="130">
        <v>42579.040000000001</v>
      </c>
      <c r="M56" s="165"/>
      <c r="N56" s="166" t="s">
        <v>113</v>
      </c>
      <c r="O56" s="167">
        <v>33232</v>
      </c>
      <c r="P56" s="168">
        <v>42908</v>
      </c>
    </row>
    <row r="57" spans="1:17" ht="15.75" x14ac:dyDescent="0.25">
      <c r="A57"/>
      <c r="B57" s="149">
        <v>42900</v>
      </c>
      <c r="C57" s="140">
        <v>520</v>
      </c>
      <c r="D57" s="149" t="s">
        <v>167</v>
      </c>
      <c r="E57"/>
      <c r="F57"/>
      <c r="J57" s="140">
        <v>32095.5</v>
      </c>
      <c r="K57" s="126" t="s">
        <v>490</v>
      </c>
      <c r="L57" s="130">
        <v>32095.5</v>
      </c>
      <c r="M57" s="165"/>
      <c r="N57" s="166" t="s">
        <v>113</v>
      </c>
      <c r="O57" s="167">
        <v>35052.5</v>
      </c>
      <c r="P57" s="168">
        <v>42909</v>
      </c>
    </row>
    <row r="58" spans="1:17" ht="15.75" x14ac:dyDescent="0.25">
      <c r="A58"/>
      <c r="B58" s="149">
        <v>42901</v>
      </c>
      <c r="C58" s="140">
        <v>298</v>
      </c>
      <c r="D58" s="149" t="s">
        <v>481</v>
      </c>
      <c r="E58"/>
      <c r="F58"/>
      <c r="J58" s="140">
        <v>32050.400000000001</v>
      </c>
      <c r="K58" s="126" t="s">
        <v>492</v>
      </c>
      <c r="L58" s="130">
        <v>32050.400000000001</v>
      </c>
      <c r="M58" s="165"/>
      <c r="N58" s="166" t="s">
        <v>113</v>
      </c>
      <c r="O58" s="167">
        <v>72299</v>
      </c>
      <c r="P58" s="168">
        <v>42912</v>
      </c>
    </row>
    <row r="59" spans="1:17" ht="15.75" x14ac:dyDescent="0.25">
      <c r="A59"/>
      <c r="B59" s="149">
        <v>42902</v>
      </c>
      <c r="C59" s="140">
        <v>1672</v>
      </c>
      <c r="D59" s="149" t="s">
        <v>483</v>
      </c>
      <c r="E59"/>
      <c r="F59"/>
      <c r="J59" s="140">
        <v>995.5</v>
      </c>
      <c r="K59" s="126" t="s">
        <v>493</v>
      </c>
      <c r="L59" s="130">
        <v>995.5</v>
      </c>
      <c r="M59" s="165"/>
      <c r="N59" s="166" t="s">
        <v>113</v>
      </c>
      <c r="O59" s="167">
        <v>74848</v>
      </c>
      <c r="P59" s="168">
        <v>42912</v>
      </c>
    </row>
    <row r="60" spans="1:17" ht="15.75" x14ac:dyDescent="0.25">
      <c r="A60"/>
      <c r="B60" s="149">
        <v>42903</v>
      </c>
      <c r="C60" s="140">
        <v>48</v>
      </c>
      <c r="D60" s="149" t="s">
        <v>484</v>
      </c>
      <c r="E60"/>
      <c r="F60"/>
      <c r="J60" s="140">
        <f>8976.6+19319.22</f>
        <v>28295.82</v>
      </c>
      <c r="K60" s="126" t="s">
        <v>494</v>
      </c>
      <c r="L60" s="130">
        <v>28295.82</v>
      </c>
      <c r="M60" s="165"/>
      <c r="N60" s="166" t="s">
        <v>113</v>
      </c>
      <c r="O60" s="167">
        <v>50806</v>
      </c>
      <c r="P60" s="168">
        <v>42912</v>
      </c>
    </row>
    <row r="61" spans="1:17" ht="15.75" x14ac:dyDescent="0.25">
      <c r="B61" s="149">
        <v>42904</v>
      </c>
      <c r="C61" s="140">
        <v>669</v>
      </c>
      <c r="D61" s="149" t="s">
        <v>487</v>
      </c>
      <c r="E61"/>
      <c r="J61" s="140">
        <v>17916.599999999999</v>
      </c>
      <c r="K61" s="126" t="s">
        <v>495</v>
      </c>
      <c r="L61" s="130">
        <v>17916.599999999999</v>
      </c>
      <c r="M61" s="165"/>
      <c r="N61" s="166" t="s">
        <v>113</v>
      </c>
      <c r="O61" s="167">
        <v>0</v>
      </c>
      <c r="P61" s="168"/>
    </row>
    <row r="62" spans="1:17" ht="15.75" x14ac:dyDescent="0.25">
      <c r="B62" s="149">
        <v>42905</v>
      </c>
      <c r="C62" s="140">
        <v>330.4</v>
      </c>
      <c r="D62" s="149" t="s">
        <v>367</v>
      </c>
      <c r="E62"/>
      <c r="J62" s="164">
        <v>13569.98</v>
      </c>
      <c r="K62" s="205" t="s">
        <v>497</v>
      </c>
      <c r="L62" s="130">
        <v>14519.22</v>
      </c>
      <c r="M62" s="183" t="s">
        <v>125</v>
      </c>
      <c r="N62" s="184" t="s">
        <v>113</v>
      </c>
      <c r="O62" s="185">
        <v>0</v>
      </c>
      <c r="P62" s="186"/>
    </row>
    <row r="63" spans="1:17" ht="16.5" thickBot="1" x14ac:dyDescent="0.3">
      <c r="B63" s="149">
        <v>42906</v>
      </c>
      <c r="C63" s="140">
        <v>659</v>
      </c>
      <c r="D63" s="149" t="s">
        <v>97</v>
      </c>
      <c r="E63"/>
      <c r="J63" s="177">
        <f ca="1">SUM(J54:J65)</f>
        <v>332732.61</v>
      </c>
      <c r="K63" s="309"/>
      <c r="L63" s="313">
        <v>0</v>
      </c>
      <c r="M63" s="309"/>
      <c r="N63" s="310" t="s">
        <v>113</v>
      </c>
      <c r="O63" s="311">
        <v>0</v>
      </c>
      <c r="P63" s="312"/>
    </row>
    <row r="64" spans="1:17" ht="17.25" thickTop="1" thickBot="1" x14ac:dyDescent="0.3">
      <c r="B64" s="149">
        <v>42907</v>
      </c>
      <c r="C64" s="140">
        <v>520</v>
      </c>
      <c r="D64" s="149" t="s">
        <v>167</v>
      </c>
      <c r="E64"/>
      <c r="K64" s="177"/>
      <c r="L64" s="305">
        <f>SUM(L54:L63)</f>
        <v>332730.49999999994</v>
      </c>
      <c r="M64" s="178"/>
      <c r="N64" s="179"/>
      <c r="O64" s="304">
        <f>SUM(O54:O63)</f>
        <v>332730.5</v>
      </c>
      <c r="P64" s="181"/>
    </row>
    <row r="65" spans="2:16" ht="15.75" x14ac:dyDescent="0.25">
      <c r="B65" s="149">
        <v>42908</v>
      </c>
      <c r="C65" s="140">
        <v>20</v>
      </c>
      <c r="D65" s="149" t="s">
        <v>508</v>
      </c>
      <c r="E65"/>
      <c r="J65" s="164"/>
      <c r="K65" s="176"/>
      <c r="L65" s="36"/>
      <c r="M65" s="100"/>
      <c r="N65" s="244"/>
      <c r="O65" s="303"/>
      <c r="P65" s="245"/>
    </row>
    <row r="66" spans="2:16" x14ac:dyDescent="0.25">
      <c r="B66" s="149">
        <v>42909</v>
      </c>
      <c r="C66" s="140">
        <v>249</v>
      </c>
      <c r="D66" s="149" t="s">
        <v>104</v>
      </c>
      <c r="E66"/>
    </row>
    <row r="67" spans="2:16" x14ac:dyDescent="0.25">
      <c r="B67" s="149">
        <v>42910</v>
      </c>
      <c r="C67" s="140">
        <v>0</v>
      </c>
      <c r="D67" s="149"/>
      <c r="E67"/>
    </row>
    <row r="68" spans="2:16" ht="15.75" x14ac:dyDescent="0.25">
      <c r="B68" s="149">
        <v>42911</v>
      </c>
      <c r="C68" s="140">
        <v>756.5</v>
      </c>
      <c r="D68" s="149" t="s">
        <v>97</v>
      </c>
      <c r="E68">
        <v>0</v>
      </c>
      <c r="J68" s="248"/>
      <c r="K68" s="176"/>
      <c r="L68" s="36"/>
      <c r="M68" s="246"/>
      <c r="N68" s="244"/>
      <c r="O68" s="303"/>
      <c r="P68" s="245"/>
    </row>
    <row r="69" spans="2:16" ht="15.75" x14ac:dyDescent="0.25">
      <c r="B69" s="149">
        <v>42912</v>
      </c>
      <c r="C69" s="164">
        <v>185</v>
      </c>
      <c r="D69" s="149" t="s">
        <v>508</v>
      </c>
      <c r="E69"/>
      <c r="J69" s="248"/>
      <c r="K69" s="176"/>
      <c r="L69" s="36"/>
      <c r="M69" s="100"/>
      <c r="N69" s="244"/>
      <c r="O69" s="303"/>
      <c r="P69" s="245"/>
    </row>
    <row r="70" spans="2:16" x14ac:dyDescent="0.25">
      <c r="B70" s="149">
        <v>42913</v>
      </c>
      <c r="C70" s="140">
        <v>0</v>
      </c>
    </row>
    <row r="71" spans="2:16" x14ac:dyDescent="0.25">
      <c r="B71" s="149">
        <v>42914</v>
      </c>
      <c r="C71" s="140">
        <v>0</v>
      </c>
    </row>
    <row r="72" spans="2:16" x14ac:dyDescent="0.25">
      <c r="B72" s="149">
        <v>42915</v>
      </c>
      <c r="C72" s="140">
        <v>46</v>
      </c>
      <c r="D72" s="22" t="s">
        <v>508</v>
      </c>
    </row>
    <row r="73" spans="2:16" x14ac:dyDescent="0.25">
      <c r="B73" s="149">
        <v>42916</v>
      </c>
      <c r="C73" s="140">
        <v>744</v>
      </c>
      <c r="D73" s="22" t="s">
        <v>97</v>
      </c>
    </row>
    <row r="74" spans="2:16" x14ac:dyDescent="0.25">
      <c r="B74" s="149"/>
    </row>
    <row r="75" spans="2:16" x14ac:dyDescent="0.25">
      <c r="B75" s="149"/>
    </row>
    <row r="76" spans="2:16" ht="18.75" x14ac:dyDescent="0.3">
      <c r="C76" s="215">
        <f>SUM(C47:C75)</f>
        <v>9702.9</v>
      </c>
    </row>
  </sheetData>
  <sortState ref="J57:L64">
    <sortCondition ref="K57:K64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B76"/>
  <sheetViews>
    <sheetView workbookViewId="0">
      <selection activeCell="L7" sqref="L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8" max="18" width="13.85546875" bestFit="1" customWidth="1"/>
    <col min="19" max="19" width="4.28515625" customWidth="1"/>
    <col min="21" max="21" width="14.28515625" customWidth="1"/>
    <col min="22" max="22" width="5" customWidth="1"/>
    <col min="24" max="24" width="15.28515625" customWidth="1"/>
    <col min="28" max="28" width="12.5703125" bestFit="1" customWidth="1"/>
  </cols>
  <sheetData>
    <row r="1" spans="1:28" ht="24" thickBot="1" x14ac:dyDescent="0.4">
      <c r="C1" s="425" t="s">
        <v>514</v>
      </c>
      <c r="D1" s="425"/>
      <c r="E1" s="425"/>
      <c r="F1" s="425"/>
      <c r="G1" s="425"/>
      <c r="H1" s="425"/>
      <c r="I1" s="425"/>
      <c r="J1" s="425"/>
      <c r="K1" s="425"/>
      <c r="L1" s="2" t="s">
        <v>1</v>
      </c>
    </row>
    <row r="2" spans="1:28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  <c r="Q2" s="436" t="s">
        <v>580</v>
      </c>
      <c r="R2" s="437"/>
      <c r="S2" s="437"/>
      <c r="T2" s="437"/>
      <c r="U2" s="437"/>
      <c r="V2" s="437"/>
      <c r="W2" s="437"/>
      <c r="X2" s="438"/>
    </row>
    <row r="3" spans="1:28" ht="16.5" thickBot="1" x14ac:dyDescent="0.3">
      <c r="C3" s="8" t="s">
        <v>2</v>
      </c>
      <c r="D3" s="9"/>
      <c r="K3" s="318" t="s">
        <v>568</v>
      </c>
      <c r="L3" s="318"/>
    </row>
    <row r="4" spans="1:28" ht="20.25" thickTop="1" thickBot="1" x14ac:dyDescent="0.35">
      <c r="A4" s="10" t="s">
        <v>3</v>
      </c>
      <c r="B4" s="11"/>
      <c r="C4" s="12">
        <v>184142.28</v>
      </c>
      <c r="D4" s="13"/>
      <c r="E4" s="426" t="s">
        <v>4</v>
      </c>
      <c r="F4" s="427"/>
      <c r="I4" s="428" t="s">
        <v>5</v>
      </c>
      <c r="J4" s="429"/>
      <c r="K4" s="429"/>
      <c r="L4" s="429"/>
      <c r="M4" s="14" t="s">
        <v>6</v>
      </c>
      <c r="N4" s="15" t="s">
        <v>7</v>
      </c>
      <c r="Q4" s="112"/>
      <c r="R4" s="106" t="s">
        <v>583</v>
      </c>
      <c r="U4" s="97" t="s">
        <v>583</v>
      </c>
      <c r="X4" s="97" t="s">
        <v>583</v>
      </c>
    </row>
    <row r="5" spans="1:28" ht="16.5" thickTop="1" thickBot="1" x14ac:dyDescent="0.3">
      <c r="A5" s="16"/>
      <c r="B5" s="285">
        <v>42917</v>
      </c>
      <c r="C5" s="286">
        <v>98471.16</v>
      </c>
      <c r="D5" s="238" t="s">
        <v>556</v>
      </c>
      <c r="E5" s="279">
        <v>42917</v>
      </c>
      <c r="F5" s="280">
        <v>101785.16</v>
      </c>
      <c r="G5" s="22"/>
      <c r="H5" s="23">
        <v>42917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  <c r="Q5" s="333">
        <v>42856</v>
      </c>
      <c r="R5" s="337">
        <v>30867.51</v>
      </c>
      <c r="S5" s="22"/>
      <c r="T5" s="279">
        <v>42887</v>
      </c>
      <c r="U5" s="280">
        <v>28972.81</v>
      </c>
      <c r="W5" s="279">
        <v>42917</v>
      </c>
      <c r="X5" s="280">
        <v>101785.16</v>
      </c>
      <c r="AA5" s="74"/>
      <c r="AB5" s="32"/>
    </row>
    <row r="6" spans="1:28" ht="15.75" thickBot="1" x14ac:dyDescent="0.3">
      <c r="A6" s="16"/>
      <c r="B6" s="287">
        <v>42918</v>
      </c>
      <c r="C6" s="288">
        <v>53851.99</v>
      </c>
      <c r="D6" s="239" t="s">
        <v>558</v>
      </c>
      <c r="E6" s="281">
        <v>42918</v>
      </c>
      <c r="F6" s="282">
        <v>57494.99</v>
      </c>
      <c r="G6" s="33"/>
      <c r="H6" s="23">
        <v>42918</v>
      </c>
      <c r="I6" s="292">
        <v>143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  <c r="Q6" s="334">
        <v>42857</v>
      </c>
      <c r="R6" s="332">
        <v>37243.160000000003</v>
      </c>
      <c r="S6" s="22"/>
      <c r="T6" s="281">
        <v>42888</v>
      </c>
      <c r="U6" s="282">
        <v>61984.49</v>
      </c>
      <c r="W6" s="281">
        <v>42918</v>
      </c>
      <c r="X6" s="282">
        <v>57494.99</v>
      </c>
      <c r="AA6" s="74"/>
      <c r="AB6" s="32"/>
    </row>
    <row r="7" spans="1:28" ht="15.75" thickBot="1" x14ac:dyDescent="0.3">
      <c r="A7" s="16"/>
      <c r="B7" s="287">
        <v>42919</v>
      </c>
      <c r="C7" s="288">
        <v>50406.71</v>
      </c>
      <c r="D7" s="238" t="s">
        <v>559</v>
      </c>
      <c r="E7" s="281">
        <v>42919</v>
      </c>
      <c r="F7" s="282">
        <v>50406.71</v>
      </c>
      <c r="G7" s="22"/>
      <c r="H7" s="23">
        <v>42919</v>
      </c>
      <c r="I7" s="292">
        <v>0</v>
      </c>
      <c r="J7" s="36"/>
      <c r="K7" s="40" t="s">
        <v>131</v>
      </c>
      <c r="L7" s="38">
        <v>20846</v>
      </c>
      <c r="M7" s="39">
        <v>0</v>
      </c>
      <c r="N7" s="35">
        <v>0</v>
      </c>
      <c r="O7" s="22"/>
      <c r="P7" s="335"/>
      <c r="Q7" s="334">
        <v>42858</v>
      </c>
      <c r="R7" s="332">
        <v>51492.02</v>
      </c>
      <c r="S7" s="22"/>
      <c r="T7" s="281">
        <v>42889</v>
      </c>
      <c r="U7" s="282">
        <v>66576.460000000006</v>
      </c>
      <c r="W7" s="281">
        <v>42919</v>
      </c>
      <c r="X7" s="282">
        <v>50406.71</v>
      </c>
      <c r="AA7" s="74"/>
      <c r="AB7" s="32"/>
    </row>
    <row r="8" spans="1:28" ht="15.75" thickBot="1" x14ac:dyDescent="0.3">
      <c r="A8" s="16"/>
      <c r="B8" s="287">
        <v>42920</v>
      </c>
      <c r="C8" s="288">
        <v>32836.660000000003</v>
      </c>
      <c r="D8" s="238" t="s">
        <v>560</v>
      </c>
      <c r="E8" s="281">
        <v>42920</v>
      </c>
      <c r="F8" s="282">
        <v>33292.660000000003</v>
      </c>
      <c r="G8" s="22"/>
      <c r="H8" s="23">
        <v>42920</v>
      </c>
      <c r="I8" s="292">
        <v>456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335"/>
      <c r="Q8" s="334">
        <v>42859</v>
      </c>
      <c r="R8" s="332">
        <v>31593.87</v>
      </c>
      <c r="S8" s="22"/>
      <c r="T8" s="281">
        <v>42890</v>
      </c>
      <c r="U8" s="282">
        <v>44436.33</v>
      </c>
      <c r="W8" s="281">
        <v>42920</v>
      </c>
      <c r="X8" s="282">
        <v>33292.660000000003</v>
      </c>
      <c r="AA8" s="74"/>
      <c r="AB8" s="32"/>
    </row>
    <row r="9" spans="1:28" ht="15.75" thickBot="1" x14ac:dyDescent="0.3">
      <c r="A9" s="16"/>
      <c r="B9" s="287">
        <v>42921</v>
      </c>
      <c r="C9" s="288">
        <v>49935.09</v>
      </c>
      <c r="D9" s="238" t="s">
        <v>561</v>
      </c>
      <c r="E9" s="281">
        <v>42921</v>
      </c>
      <c r="F9" s="282">
        <v>50125.09</v>
      </c>
      <c r="G9" s="22"/>
      <c r="H9" s="23">
        <v>42921</v>
      </c>
      <c r="I9" s="292">
        <v>190</v>
      </c>
      <c r="J9" s="42" t="s">
        <v>585</v>
      </c>
      <c r="K9" s="37" t="s">
        <v>551</v>
      </c>
      <c r="L9" s="32">
        <v>12783.2</v>
      </c>
      <c r="M9" s="39">
        <v>0</v>
      </c>
      <c r="N9" s="35">
        <v>100</v>
      </c>
      <c r="O9" s="44"/>
      <c r="P9" s="335"/>
      <c r="Q9" s="334">
        <v>42860</v>
      </c>
      <c r="R9" s="332">
        <v>50176.05</v>
      </c>
      <c r="S9" s="22"/>
      <c r="T9" s="281">
        <v>42891</v>
      </c>
      <c r="U9" s="282">
        <v>32463.8</v>
      </c>
      <c r="W9" s="281">
        <v>42921</v>
      </c>
      <c r="X9" s="282">
        <v>50125.09</v>
      </c>
      <c r="AA9" s="74"/>
      <c r="AB9" s="32"/>
    </row>
    <row r="10" spans="1:28" ht="15.75" thickBot="1" x14ac:dyDescent="0.3">
      <c r="A10" s="16"/>
      <c r="B10" s="287">
        <v>42922</v>
      </c>
      <c r="C10" s="288">
        <v>45850.86</v>
      </c>
      <c r="D10" s="239" t="s">
        <v>563</v>
      </c>
      <c r="E10" s="281">
        <v>42922</v>
      </c>
      <c r="F10" s="282">
        <v>47190.86</v>
      </c>
      <c r="G10" s="22"/>
      <c r="H10" s="23">
        <v>42922</v>
      </c>
      <c r="I10" s="292">
        <v>470</v>
      </c>
      <c r="J10" s="42" t="s">
        <v>586</v>
      </c>
      <c r="K10" s="37" t="s">
        <v>552</v>
      </c>
      <c r="L10" s="32">
        <f>11224.17+800</f>
        <v>12024.17</v>
      </c>
      <c r="M10" s="39">
        <v>0</v>
      </c>
      <c r="N10" s="35">
        <v>100</v>
      </c>
      <c r="O10" s="22"/>
      <c r="P10" s="335"/>
      <c r="Q10" s="334">
        <v>42861</v>
      </c>
      <c r="R10" s="332">
        <v>66329.66</v>
      </c>
      <c r="S10" s="22"/>
      <c r="T10" s="281">
        <v>42892</v>
      </c>
      <c r="U10" s="282">
        <v>30651.81</v>
      </c>
      <c r="W10" s="281">
        <v>42922</v>
      </c>
      <c r="X10" s="282">
        <v>47190.86</v>
      </c>
      <c r="AA10" s="74"/>
      <c r="AB10" s="32"/>
    </row>
    <row r="11" spans="1:28" ht="15.75" thickBot="1" x14ac:dyDescent="0.3">
      <c r="A11" s="16"/>
      <c r="B11" s="287">
        <v>42923</v>
      </c>
      <c r="C11" s="288">
        <v>76920.479999999996</v>
      </c>
      <c r="D11" s="240" t="s">
        <v>564</v>
      </c>
      <c r="E11" s="281">
        <v>42923</v>
      </c>
      <c r="F11" s="282">
        <v>77020.479999999996</v>
      </c>
      <c r="G11" s="22"/>
      <c r="H11" s="23">
        <v>42923</v>
      </c>
      <c r="I11" s="292">
        <v>100</v>
      </c>
      <c r="J11" s="42" t="s">
        <v>609</v>
      </c>
      <c r="K11" s="37" t="s">
        <v>553</v>
      </c>
      <c r="L11" s="32">
        <f>1400+15547.48</f>
        <v>16947.48</v>
      </c>
      <c r="M11" s="39">
        <v>0</v>
      </c>
      <c r="N11" s="35">
        <v>100</v>
      </c>
      <c r="O11" s="36"/>
      <c r="P11" s="335"/>
      <c r="Q11" s="334">
        <v>42862</v>
      </c>
      <c r="R11" s="332">
        <v>45001.36</v>
      </c>
      <c r="S11" s="22"/>
      <c r="T11" s="281">
        <v>42893</v>
      </c>
      <c r="U11" s="282">
        <v>35775.06</v>
      </c>
      <c r="W11" s="281">
        <v>42923</v>
      </c>
      <c r="X11" s="282">
        <v>77020.479999999996</v>
      </c>
      <c r="AA11" s="74"/>
      <c r="AB11" s="32"/>
    </row>
    <row r="12" spans="1:28" ht="15.75" thickBot="1" x14ac:dyDescent="0.3">
      <c r="A12" s="16"/>
      <c r="B12" s="287">
        <v>42924</v>
      </c>
      <c r="C12" s="288">
        <v>89084.24</v>
      </c>
      <c r="D12" s="238" t="s">
        <v>565</v>
      </c>
      <c r="E12" s="281">
        <v>42924</v>
      </c>
      <c r="F12" s="282">
        <v>89184.24</v>
      </c>
      <c r="G12" s="22"/>
      <c r="H12" s="23">
        <v>42924</v>
      </c>
      <c r="I12" s="292">
        <v>100</v>
      </c>
      <c r="J12" s="42" t="s">
        <v>637</v>
      </c>
      <c r="K12" s="37" t="s">
        <v>554</v>
      </c>
      <c r="L12" s="32">
        <v>14038.01</v>
      </c>
      <c r="M12" s="39">
        <v>0</v>
      </c>
      <c r="N12" s="35">
        <v>100</v>
      </c>
      <c r="O12" s="44" t="s">
        <v>64</v>
      </c>
      <c r="P12" s="336"/>
      <c r="Q12" s="334">
        <v>42863</v>
      </c>
      <c r="R12" s="332">
        <v>33306.1</v>
      </c>
      <c r="S12" s="47"/>
      <c r="T12" s="281">
        <v>42894</v>
      </c>
      <c r="U12" s="282">
        <v>26419.32</v>
      </c>
      <c r="W12" s="281">
        <v>42924</v>
      </c>
      <c r="X12" s="282">
        <v>89184.24</v>
      </c>
      <c r="AA12" s="74"/>
      <c r="AB12" s="32"/>
    </row>
    <row r="13" spans="1:28" ht="15.75" thickBot="1" x14ac:dyDescent="0.3">
      <c r="A13" s="16"/>
      <c r="B13" s="287">
        <v>42925</v>
      </c>
      <c r="C13" s="288">
        <v>48719.96</v>
      </c>
      <c r="D13" s="240" t="s">
        <v>566</v>
      </c>
      <c r="E13" s="281">
        <v>42925</v>
      </c>
      <c r="F13" s="282">
        <v>52619.96</v>
      </c>
      <c r="G13" s="22"/>
      <c r="H13" s="23">
        <v>42925</v>
      </c>
      <c r="I13" s="292">
        <v>400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  <c r="Q13" s="334">
        <v>42864</v>
      </c>
      <c r="R13" s="332">
        <v>39095.57</v>
      </c>
      <c r="S13" s="22"/>
      <c r="T13" s="281">
        <v>42895</v>
      </c>
      <c r="U13" s="282">
        <v>51106.35</v>
      </c>
      <c r="W13" s="281">
        <v>42925</v>
      </c>
      <c r="X13" s="282">
        <v>52619.96</v>
      </c>
      <c r="AA13" s="74"/>
      <c r="AB13" s="32"/>
    </row>
    <row r="14" spans="1:28" ht="15.75" thickBot="1" x14ac:dyDescent="0.3">
      <c r="A14" s="16"/>
      <c r="B14" s="287">
        <v>42926</v>
      </c>
      <c r="C14" s="288">
        <v>35507.449999999997</v>
      </c>
      <c r="D14" s="238" t="s">
        <v>570</v>
      </c>
      <c r="E14" s="281">
        <v>42926</v>
      </c>
      <c r="F14" s="282">
        <v>35676.449999999997</v>
      </c>
      <c r="G14" s="22"/>
      <c r="H14" s="23">
        <v>42926</v>
      </c>
      <c r="I14" s="292">
        <v>169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335"/>
      <c r="Q14" s="334">
        <v>42865</v>
      </c>
      <c r="R14" s="332">
        <v>54642.2</v>
      </c>
      <c r="S14" s="22"/>
      <c r="T14" s="281">
        <v>42896</v>
      </c>
      <c r="U14" s="282">
        <v>64763.5</v>
      </c>
      <c r="W14" s="281">
        <v>42926</v>
      </c>
      <c r="X14" s="282">
        <v>35676.449999999997</v>
      </c>
      <c r="AA14" s="74"/>
      <c r="AB14" s="32"/>
    </row>
    <row r="15" spans="1:28" ht="15.75" thickBot="1" x14ac:dyDescent="0.3">
      <c r="A15" s="16"/>
      <c r="B15" s="287">
        <v>42927</v>
      </c>
      <c r="C15" s="288">
        <v>51457.35</v>
      </c>
      <c r="D15" s="238" t="s">
        <v>571</v>
      </c>
      <c r="E15" s="281">
        <v>42927</v>
      </c>
      <c r="F15" s="282">
        <v>52757.35</v>
      </c>
      <c r="G15" s="22"/>
      <c r="H15" s="23">
        <v>42927</v>
      </c>
      <c r="I15" s="292">
        <v>100</v>
      </c>
      <c r="J15" s="265"/>
      <c r="K15" s="49"/>
      <c r="L15" s="32">
        <v>0</v>
      </c>
      <c r="M15" s="39">
        <v>0</v>
      </c>
      <c r="N15" s="35">
        <v>100</v>
      </c>
      <c r="O15" s="22"/>
      <c r="P15" s="335"/>
      <c r="Q15" s="334">
        <v>42866</v>
      </c>
      <c r="R15" s="332">
        <v>32257.5</v>
      </c>
      <c r="S15" s="22"/>
      <c r="T15" s="281">
        <v>42897</v>
      </c>
      <c r="U15" s="282">
        <v>47697.46</v>
      </c>
      <c r="W15" s="281">
        <v>42927</v>
      </c>
      <c r="X15" s="282">
        <v>52757.35</v>
      </c>
      <c r="AA15" s="74"/>
      <c r="AB15" s="32"/>
    </row>
    <row r="16" spans="1:28" ht="15.75" thickBot="1" x14ac:dyDescent="0.3">
      <c r="A16" s="16"/>
      <c r="B16" s="287">
        <v>42928</v>
      </c>
      <c r="C16" s="288">
        <v>49633.55</v>
      </c>
      <c r="D16" s="238" t="s">
        <v>573</v>
      </c>
      <c r="E16" s="281">
        <v>42928</v>
      </c>
      <c r="F16" s="282">
        <v>49733.55</v>
      </c>
      <c r="G16" s="22"/>
      <c r="H16" s="23">
        <v>42928</v>
      </c>
      <c r="I16" s="292">
        <v>100</v>
      </c>
      <c r="J16" s="42"/>
      <c r="K16" s="49" t="s">
        <v>31</v>
      </c>
      <c r="L16" s="51">
        <v>10208</v>
      </c>
      <c r="M16" s="39">
        <v>0</v>
      </c>
      <c r="N16" s="35">
        <v>100</v>
      </c>
      <c r="O16" s="22"/>
      <c r="P16" s="335"/>
      <c r="Q16" s="334">
        <v>42867</v>
      </c>
      <c r="R16" s="332">
        <v>86852.851999999999</v>
      </c>
      <c r="S16" s="22"/>
      <c r="T16" s="281">
        <v>42898</v>
      </c>
      <c r="U16" s="282">
        <v>31723.35</v>
      </c>
      <c r="W16" s="281">
        <v>42928</v>
      </c>
      <c r="X16" s="282">
        <v>49733.55</v>
      </c>
      <c r="AA16" s="74"/>
      <c r="AB16" s="32"/>
    </row>
    <row r="17" spans="1:28" ht="15.75" thickBot="1" x14ac:dyDescent="0.3">
      <c r="A17" s="16"/>
      <c r="B17" s="287">
        <v>42929</v>
      </c>
      <c r="C17" s="288">
        <v>55222.5</v>
      </c>
      <c r="D17" s="238" t="s">
        <v>575</v>
      </c>
      <c r="E17" s="281">
        <v>42929</v>
      </c>
      <c r="F17" s="282">
        <v>65530.32</v>
      </c>
      <c r="G17" s="22"/>
      <c r="H17" s="23">
        <v>42929</v>
      </c>
      <c r="I17" s="292">
        <v>100</v>
      </c>
      <c r="J17" s="42"/>
      <c r="K17" s="52" t="s">
        <v>574</v>
      </c>
      <c r="L17" s="32">
        <v>0</v>
      </c>
      <c r="M17" s="39">
        <v>0</v>
      </c>
      <c r="N17" s="35">
        <v>100</v>
      </c>
      <c r="O17" s="44"/>
      <c r="P17" s="335"/>
      <c r="Q17" s="334">
        <v>42868</v>
      </c>
      <c r="R17" s="332">
        <v>52475.17</v>
      </c>
      <c r="S17" s="22"/>
      <c r="T17" s="281">
        <v>42899</v>
      </c>
      <c r="U17" s="282">
        <v>39735.68</v>
      </c>
      <c r="W17" s="281">
        <v>42929</v>
      </c>
      <c r="X17" s="282">
        <v>65530.32</v>
      </c>
      <c r="AA17" s="74"/>
      <c r="AB17" s="32"/>
    </row>
    <row r="18" spans="1:28" ht="15.75" thickBot="1" x14ac:dyDescent="0.3">
      <c r="A18" s="16"/>
      <c r="B18" s="287">
        <v>42930</v>
      </c>
      <c r="C18" s="288">
        <v>105007.7</v>
      </c>
      <c r="D18" s="238" t="s">
        <v>581</v>
      </c>
      <c r="E18" s="281">
        <v>42930</v>
      </c>
      <c r="F18" s="282">
        <v>105107.7</v>
      </c>
      <c r="G18" s="22"/>
      <c r="H18" s="23">
        <v>42930</v>
      </c>
      <c r="I18" s="292">
        <v>100</v>
      </c>
      <c r="J18" s="42"/>
      <c r="K18" s="53" t="s">
        <v>569</v>
      </c>
      <c r="L18" s="32">
        <v>1200</v>
      </c>
      <c r="M18" s="39">
        <v>0</v>
      </c>
      <c r="N18" s="35">
        <v>100</v>
      </c>
      <c r="O18" s="44"/>
      <c r="P18" s="335"/>
      <c r="Q18" s="334">
        <v>42869</v>
      </c>
      <c r="R18" s="332">
        <v>29042.36</v>
      </c>
      <c r="S18" s="22"/>
      <c r="T18" s="281">
        <v>42900</v>
      </c>
      <c r="U18" s="282">
        <v>40056.76</v>
      </c>
      <c r="W18" s="281">
        <v>42930</v>
      </c>
      <c r="X18" s="282">
        <v>105107.7</v>
      </c>
      <c r="AA18" s="74"/>
      <c r="AB18" s="32"/>
    </row>
    <row r="19" spans="1:28" ht="15.75" thickBot="1" x14ac:dyDescent="0.3">
      <c r="A19" s="16"/>
      <c r="B19" s="287">
        <v>42931</v>
      </c>
      <c r="C19" s="288">
        <v>100061.31</v>
      </c>
      <c r="D19" s="238" t="s">
        <v>582</v>
      </c>
      <c r="E19" s="281">
        <v>42931</v>
      </c>
      <c r="F19" s="282">
        <v>100221.31</v>
      </c>
      <c r="G19" s="22"/>
      <c r="H19" s="23">
        <v>42931</v>
      </c>
      <c r="I19" s="292">
        <v>160</v>
      </c>
      <c r="J19" s="42"/>
      <c r="K19" s="53">
        <v>42927</v>
      </c>
      <c r="L19" s="54">
        <v>0</v>
      </c>
      <c r="M19" s="39">
        <v>0</v>
      </c>
      <c r="N19" s="35">
        <v>100</v>
      </c>
      <c r="O19" s="22"/>
      <c r="P19" s="335"/>
      <c r="Q19" s="334">
        <v>42870</v>
      </c>
      <c r="R19" s="332">
        <v>34507.47</v>
      </c>
      <c r="S19" s="22"/>
      <c r="T19" s="281">
        <v>42901</v>
      </c>
      <c r="U19" s="282">
        <v>39087.49</v>
      </c>
      <c r="W19" s="281">
        <v>42931</v>
      </c>
      <c r="X19" s="282">
        <v>100221.31</v>
      </c>
      <c r="AA19" s="74"/>
      <c r="AB19" s="32"/>
    </row>
    <row r="20" spans="1:28" ht="15.75" thickBot="1" x14ac:dyDescent="0.3">
      <c r="A20" s="16"/>
      <c r="B20" s="287">
        <v>42932</v>
      </c>
      <c r="C20" s="288">
        <v>62706.07</v>
      </c>
      <c r="D20" s="239" t="s">
        <v>595</v>
      </c>
      <c r="E20" s="281">
        <v>42932</v>
      </c>
      <c r="F20" s="282">
        <v>67421.070000000007</v>
      </c>
      <c r="G20" s="22"/>
      <c r="H20" s="23">
        <v>42932</v>
      </c>
      <c r="I20" s="292">
        <v>415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/>
      <c r="Q20" s="320"/>
      <c r="R20" s="319">
        <v>0</v>
      </c>
      <c r="S20" s="22"/>
      <c r="T20" s="326"/>
      <c r="U20" s="282">
        <v>0</v>
      </c>
      <c r="W20" s="327"/>
      <c r="X20" s="328">
        <v>0</v>
      </c>
      <c r="AB20" s="321"/>
    </row>
    <row r="21" spans="1:28" ht="16.5" thickBot="1" x14ac:dyDescent="0.3">
      <c r="A21" s="16"/>
      <c r="B21" s="287">
        <v>42933</v>
      </c>
      <c r="C21" s="288">
        <v>66421.73</v>
      </c>
      <c r="D21" s="238" t="s">
        <v>596</v>
      </c>
      <c r="E21" s="281">
        <v>42933</v>
      </c>
      <c r="F21" s="282">
        <v>66548.73</v>
      </c>
      <c r="G21" s="22"/>
      <c r="H21" s="23">
        <v>42933</v>
      </c>
      <c r="I21" s="292">
        <v>127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329">
        <f>SUM(R5:R20)</f>
        <v>674882.85199999996</v>
      </c>
      <c r="S21" s="44"/>
      <c r="T21" s="44"/>
      <c r="U21" s="329">
        <f>SUM(U5:U20)</f>
        <v>641450.67000000004</v>
      </c>
      <c r="X21" s="153">
        <f>SUM(X5:X20)</f>
        <v>968146.82999999984</v>
      </c>
    </row>
    <row r="22" spans="1:28" ht="15.75" thickBot="1" x14ac:dyDescent="0.3">
      <c r="A22" s="16"/>
      <c r="B22" s="287">
        <v>42934</v>
      </c>
      <c r="C22" s="288">
        <v>38078.15</v>
      </c>
      <c r="D22" s="238" t="s">
        <v>597</v>
      </c>
      <c r="E22" s="281">
        <v>42934</v>
      </c>
      <c r="F22" s="282">
        <v>38505.15</v>
      </c>
      <c r="G22" s="22"/>
      <c r="H22" s="23">
        <v>42934</v>
      </c>
      <c r="I22" s="292">
        <v>427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  <c r="R22" s="22"/>
      <c r="S22" s="22"/>
      <c r="T22" s="22"/>
    </row>
    <row r="23" spans="1:28" ht="15.75" thickBot="1" x14ac:dyDescent="0.3">
      <c r="A23" s="16"/>
      <c r="B23" s="287">
        <v>42935</v>
      </c>
      <c r="C23" s="288">
        <v>50389.57</v>
      </c>
      <c r="D23" s="241" t="s">
        <v>598</v>
      </c>
      <c r="E23" s="281">
        <v>42935</v>
      </c>
      <c r="F23" s="282">
        <v>50545.07</v>
      </c>
      <c r="G23" s="22"/>
      <c r="H23" s="23">
        <v>42935</v>
      </c>
      <c r="I23" s="292">
        <v>155.5</v>
      </c>
      <c r="J23" s="36"/>
      <c r="K23" s="61">
        <v>42922</v>
      </c>
      <c r="L23" s="51">
        <v>0</v>
      </c>
      <c r="M23" s="39">
        <v>0</v>
      </c>
      <c r="N23" s="35">
        <v>100</v>
      </c>
      <c r="P23" s="22"/>
      <c r="Q23" s="22" t="s">
        <v>576</v>
      </c>
      <c r="R23" s="32">
        <v>11892</v>
      </c>
      <c r="S23" s="22"/>
      <c r="T23" s="22" t="s">
        <v>576</v>
      </c>
      <c r="U23" s="32">
        <v>16544.25</v>
      </c>
      <c r="W23" s="22" t="s">
        <v>576</v>
      </c>
      <c r="X23" s="36">
        <v>12783.2</v>
      </c>
    </row>
    <row r="24" spans="1:28" ht="15.75" thickBot="1" x14ac:dyDescent="0.3">
      <c r="A24" s="16"/>
      <c r="B24" s="287">
        <v>42936</v>
      </c>
      <c r="C24" s="288">
        <v>29061.98</v>
      </c>
      <c r="D24" s="238" t="s">
        <v>600</v>
      </c>
      <c r="E24" s="281">
        <v>42936</v>
      </c>
      <c r="F24" s="282">
        <v>29183.96</v>
      </c>
      <c r="G24" s="22"/>
      <c r="H24" s="23">
        <v>42936</v>
      </c>
      <c r="I24" s="292">
        <v>122</v>
      </c>
      <c r="J24" s="42"/>
      <c r="K24" s="214"/>
      <c r="L24" s="197">
        <v>0</v>
      </c>
      <c r="M24" s="39">
        <v>0</v>
      </c>
      <c r="N24" s="35">
        <v>100</v>
      </c>
      <c r="P24" s="22"/>
      <c r="Q24" s="322" t="s">
        <v>576</v>
      </c>
      <c r="R24" s="323">
        <v>11207</v>
      </c>
      <c r="S24" s="22"/>
      <c r="T24" s="324" t="s">
        <v>576</v>
      </c>
      <c r="U24" s="325">
        <v>14451.56</v>
      </c>
      <c r="W24" s="322" t="s">
        <v>576</v>
      </c>
      <c r="X24" s="331">
        <v>11224.17</v>
      </c>
    </row>
    <row r="25" spans="1:28" ht="16.5" thickBot="1" x14ac:dyDescent="0.3">
      <c r="A25" s="16"/>
      <c r="B25" s="287">
        <v>42937</v>
      </c>
      <c r="C25" s="288">
        <v>91658.5</v>
      </c>
      <c r="D25" s="241" t="s">
        <v>601</v>
      </c>
      <c r="E25" s="281">
        <v>42937</v>
      </c>
      <c r="F25" s="282">
        <v>91942.89</v>
      </c>
      <c r="G25" s="22"/>
      <c r="H25" s="23">
        <v>42937</v>
      </c>
      <c r="I25" s="292">
        <v>156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330" t="s">
        <v>578</v>
      </c>
      <c r="R25" s="329">
        <f>SUM(R23:R24)</f>
        <v>23099</v>
      </c>
      <c r="S25" s="330"/>
      <c r="T25" s="330" t="s">
        <v>579</v>
      </c>
      <c r="U25" s="153">
        <f>SUM(U23:U24)</f>
        <v>30995.809999999998</v>
      </c>
      <c r="V25" s="163"/>
      <c r="W25" s="163" t="s">
        <v>578</v>
      </c>
      <c r="X25" s="153">
        <f>SUM(X23:X24)</f>
        <v>24007.370000000003</v>
      </c>
    </row>
    <row r="26" spans="1:28" ht="15.75" thickBot="1" x14ac:dyDescent="0.3">
      <c r="A26" s="16"/>
      <c r="B26" s="287">
        <v>42938</v>
      </c>
      <c r="C26" s="288">
        <v>82440.56</v>
      </c>
      <c r="D26" s="238" t="s">
        <v>608</v>
      </c>
      <c r="E26" s="281">
        <v>42938</v>
      </c>
      <c r="F26" s="282">
        <v>82910.559999999998</v>
      </c>
      <c r="G26" s="22"/>
      <c r="H26" s="23">
        <v>42938</v>
      </c>
      <c r="I26" s="292">
        <v>470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47"/>
      <c r="R26" s="47"/>
      <c r="S26" s="47"/>
      <c r="T26" s="22"/>
    </row>
    <row r="27" spans="1:28" ht="16.5" thickBot="1" x14ac:dyDescent="0.3">
      <c r="A27" s="16"/>
      <c r="B27" s="287">
        <v>42939</v>
      </c>
      <c r="C27" s="288">
        <v>62494.5</v>
      </c>
      <c r="D27" s="238" t="s">
        <v>611</v>
      </c>
      <c r="E27" s="281">
        <v>42939</v>
      </c>
      <c r="F27" s="282">
        <v>67874.62</v>
      </c>
      <c r="G27" s="22"/>
      <c r="H27" s="23">
        <v>42939</v>
      </c>
      <c r="I27" s="292">
        <v>480</v>
      </c>
      <c r="J27" s="36"/>
      <c r="K27" s="64" t="s">
        <v>557</v>
      </c>
      <c r="L27" s="51">
        <v>3500</v>
      </c>
      <c r="M27" s="39">
        <v>0</v>
      </c>
      <c r="N27" s="35">
        <v>100</v>
      </c>
      <c r="O27" s="22"/>
      <c r="P27" s="22"/>
      <c r="Q27" s="44" t="s">
        <v>2</v>
      </c>
      <c r="R27" s="44">
        <v>649467.77</v>
      </c>
      <c r="S27" s="44"/>
      <c r="T27" s="348" t="s">
        <v>2</v>
      </c>
      <c r="U27" s="4">
        <v>570943.72</v>
      </c>
      <c r="V27" s="97"/>
      <c r="W27" s="348" t="s">
        <v>2</v>
      </c>
      <c r="X27" s="160">
        <v>989538.47</v>
      </c>
    </row>
    <row r="28" spans="1:28" ht="15.75" thickBot="1" x14ac:dyDescent="0.3">
      <c r="A28" s="16"/>
      <c r="B28" s="287">
        <v>42940</v>
      </c>
      <c r="C28" s="288">
        <v>43227.17</v>
      </c>
      <c r="D28" s="238" t="s">
        <v>613</v>
      </c>
      <c r="E28" s="281">
        <v>42940</v>
      </c>
      <c r="F28" s="282">
        <v>43227.17</v>
      </c>
      <c r="G28" s="22"/>
      <c r="H28" s="23">
        <v>42940</v>
      </c>
      <c r="I28" s="292">
        <v>100</v>
      </c>
      <c r="J28" s="36"/>
      <c r="K28" s="64" t="s">
        <v>577</v>
      </c>
      <c r="L28" s="51">
        <v>3500</v>
      </c>
      <c r="M28" s="39">
        <v>0</v>
      </c>
      <c r="N28" s="35">
        <v>100</v>
      </c>
      <c r="O28" s="44"/>
      <c r="P28" s="22"/>
      <c r="Q28" s="22"/>
      <c r="R28" s="22"/>
      <c r="S28" s="22"/>
      <c r="T28" s="22"/>
    </row>
    <row r="29" spans="1:28" ht="16.5" thickBot="1" x14ac:dyDescent="0.3">
      <c r="A29" s="16"/>
      <c r="B29" s="287">
        <v>42941</v>
      </c>
      <c r="C29" s="288">
        <v>29569.759999999998</v>
      </c>
      <c r="D29" s="238" t="s">
        <v>613</v>
      </c>
      <c r="E29" s="281">
        <v>42941</v>
      </c>
      <c r="F29" s="282">
        <v>30304.76</v>
      </c>
      <c r="G29" s="22"/>
      <c r="H29" s="23">
        <v>42941</v>
      </c>
      <c r="I29" s="292">
        <v>100</v>
      </c>
      <c r="J29" s="36"/>
      <c r="K29" s="350" t="s">
        <v>594</v>
      </c>
      <c r="L29" s="51">
        <v>3500</v>
      </c>
      <c r="M29" s="39">
        <v>0</v>
      </c>
      <c r="N29" s="35">
        <v>100</v>
      </c>
      <c r="O29" s="44"/>
      <c r="P29" s="44"/>
      <c r="Q29" s="22"/>
      <c r="R29" s="22"/>
      <c r="S29" s="22"/>
      <c r="T29" s="22"/>
    </row>
    <row r="30" spans="1:28" ht="15.75" thickBot="1" x14ac:dyDescent="0.3">
      <c r="A30" s="16"/>
      <c r="B30" s="287">
        <v>42942</v>
      </c>
      <c r="C30" s="288">
        <v>40311</v>
      </c>
      <c r="D30" s="238" t="s">
        <v>614</v>
      </c>
      <c r="E30" s="281">
        <v>42942</v>
      </c>
      <c r="F30" s="282">
        <v>40511</v>
      </c>
      <c r="G30" s="22"/>
      <c r="H30" s="23">
        <v>42942</v>
      </c>
      <c r="I30" s="292">
        <v>200</v>
      </c>
      <c r="J30" s="63"/>
      <c r="K30" s="64" t="s">
        <v>610</v>
      </c>
      <c r="L30" s="365">
        <v>3500</v>
      </c>
      <c r="M30" s="39">
        <v>0</v>
      </c>
      <c r="N30" s="35">
        <v>100</v>
      </c>
      <c r="O30" s="22"/>
      <c r="P30" s="22"/>
      <c r="Q30" s="22"/>
      <c r="R30" s="22"/>
      <c r="S30" s="22"/>
      <c r="T30" s="22"/>
    </row>
    <row r="31" spans="1:28" ht="15.75" thickBot="1" x14ac:dyDescent="0.3">
      <c r="A31" s="16"/>
      <c r="B31" s="287">
        <v>42943</v>
      </c>
      <c r="C31" s="288">
        <v>14159.66</v>
      </c>
      <c r="D31" s="238" t="s">
        <v>620</v>
      </c>
      <c r="E31" s="281">
        <v>42943</v>
      </c>
      <c r="F31" s="282">
        <v>35705.660000000003</v>
      </c>
      <c r="G31" s="22"/>
      <c r="H31" s="23">
        <v>42943</v>
      </c>
      <c r="I31" s="292">
        <v>100</v>
      </c>
      <c r="J31" s="42"/>
      <c r="K31" s="66" t="s">
        <v>612</v>
      </c>
      <c r="L31" s="366">
        <v>500</v>
      </c>
      <c r="M31" s="39">
        <v>0</v>
      </c>
      <c r="N31" s="35">
        <v>100</v>
      </c>
      <c r="O31" s="44"/>
      <c r="P31" s="44"/>
      <c r="Q31" s="22"/>
      <c r="R31" s="22"/>
      <c r="S31" s="22"/>
      <c r="T31" s="22"/>
    </row>
    <row r="32" spans="1:28" ht="15.75" thickBot="1" x14ac:dyDescent="0.3">
      <c r="A32" s="16"/>
      <c r="B32" s="287">
        <v>42944</v>
      </c>
      <c r="C32" s="288">
        <v>67361.210000000006</v>
      </c>
      <c r="D32" s="238" t="s">
        <v>621</v>
      </c>
      <c r="E32" s="281">
        <v>42944</v>
      </c>
      <c r="F32" s="282">
        <v>67486.210000000006</v>
      </c>
      <c r="G32" s="22"/>
      <c r="H32" s="23">
        <v>42944</v>
      </c>
      <c r="I32" s="292">
        <v>125</v>
      </c>
      <c r="J32" s="36"/>
      <c r="K32" s="64" t="s">
        <v>625</v>
      </c>
      <c r="L32" s="68">
        <v>3500</v>
      </c>
      <c r="M32" s="39">
        <v>0</v>
      </c>
      <c r="N32" s="35">
        <v>100</v>
      </c>
      <c r="O32" s="22"/>
      <c r="P32" s="22"/>
      <c r="Q32" s="22"/>
      <c r="R32" s="22"/>
      <c r="S32" s="22"/>
      <c r="T32" s="22"/>
    </row>
    <row r="33" spans="1:20" ht="15.75" thickBot="1" x14ac:dyDescent="0.3">
      <c r="A33" s="16"/>
      <c r="B33" s="287">
        <v>42945</v>
      </c>
      <c r="C33" s="288">
        <v>86507.66</v>
      </c>
      <c r="D33" s="240" t="s">
        <v>622</v>
      </c>
      <c r="E33" s="281">
        <v>42945</v>
      </c>
      <c r="F33" s="282">
        <v>86894.34</v>
      </c>
      <c r="G33" s="22"/>
      <c r="H33" s="23">
        <v>42945</v>
      </c>
      <c r="I33" s="292">
        <v>386.68</v>
      </c>
      <c r="J33" s="36"/>
      <c r="K33" s="69" t="s">
        <v>626</v>
      </c>
      <c r="L33" s="430">
        <v>0</v>
      </c>
      <c r="M33" s="39">
        <v>0</v>
      </c>
      <c r="N33" s="35">
        <v>100</v>
      </c>
      <c r="O33" s="22"/>
      <c r="P33" s="22"/>
      <c r="Q33" s="22"/>
      <c r="R33" s="22"/>
      <c r="S33" s="22"/>
      <c r="T33" s="22"/>
    </row>
    <row r="34" spans="1:20" ht="15.75" thickBot="1" x14ac:dyDescent="0.3">
      <c r="A34" s="16"/>
      <c r="B34" s="287">
        <v>42946</v>
      </c>
      <c r="C34" s="289">
        <v>43935.62</v>
      </c>
      <c r="D34" s="238" t="s">
        <v>623</v>
      </c>
      <c r="E34" s="281">
        <v>42946</v>
      </c>
      <c r="F34" s="282">
        <v>47835.62</v>
      </c>
      <c r="G34" s="22"/>
      <c r="H34" s="23">
        <v>42946</v>
      </c>
      <c r="I34" s="292">
        <v>400</v>
      </c>
      <c r="J34" s="36"/>
      <c r="K34" s="69"/>
      <c r="L34" s="431"/>
      <c r="M34" s="39">
        <v>0</v>
      </c>
      <c r="N34" s="35">
        <v>100</v>
      </c>
      <c r="O34" s="22"/>
    </row>
    <row r="35" spans="1:20" ht="15.75" thickBot="1" x14ac:dyDescent="0.3">
      <c r="A35" s="16"/>
      <c r="B35" s="287">
        <v>42947</v>
      </c>
      <c r="C35" s="30">
        <v>46282.06</v>
      </c>
      <c r="D35" s="240" t="s">
        <v>632</v>
      </c>
      <c r="E35" s="281">
        <v>42947</v>
      </c>
      <c r="F35" s="284">
        <v>46382.06</v>
      </c>
      <c r="G35" s="22"/>
      <c r="H35" s="23">
        <v>42947</v>
      </c>
      <c r="I35" s="292">
        <v>100</v>
      </c>
      <c r="J35" s="36"/>
      <c r="K35" s="432"/>
      <c r="L35" s="38">
        <v>0</v>
      </c>
      <c r="M35" s="39">
        <v>0</v>
      </c>
      <c r="N35" s="70">
        <v>100</v>
      </c>
    </row>
    <row r="36" spans="1:20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32"/>
      <c r="L36" s="41"/>
      <c r="M36" s="78">
        <v>0</v>
      </c>
      <c r="N36" s="79">
        <f>SUM(N5:N35)</f>
        <v>3000</v>
      </c>
      <c r="P36" s="80"/>
      <c r="Q36" s="80"/>
      <c r="R36" s="80"/>
      <c r="S36" s="80"/>
      <c r="T36" s="80"/>
    </row>
    <row r="37" spans="1:20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20" x14ac:dyDescent="0.25">
      <c r="B38" s="91" t="s">
        <v>60</v>
      </c>
      <c r="C38" s="92">
        <f>SUM(C5:C37)</f>
        <v>1797572.2099999997</v>
      </c>
      <c r="E38" s="315" t="s">
        <v>60</v>
      </c>
      <c r="F38" s="94">
        <f>SUM(F5:F37)</f>
        <v>1861425.7</v>
      </c>
      <c r="H38" s="6" t="s">
        <v>60</v>
      </c>
      <c r="I38" s="4">
        <f>SUM(I5:I37)</f>
        <v>6552.18</v>
      </c>
      <c r="J38" s="4"/>
      <c r="K38" s="95" t="s">
        <v>60</v>
      </c>
      <c r="L38" s="96">
        <f>SUM(L5:L37)</f>
        <v>136215.85999999999</v>
      </c>
    </row>
    <row r="40" spans="1:20" ht="15.75" x14ac:dyDescent="0.25">
      <c r="A40" s="97"/>
      <c r="B40" s="98"/>
      <c r="C40" s="36"/>
      <c r="D40" s="99"/>
      <c r="E40" s="100"/>
      <c r="F40" s="77"/>
      <c r="H40" s="421" t="s">
        <v>61</v>
      </c>
      <c r="I40" s="422"/>
      <c r="J40" s="314"/>
      <c r="K40" s="423">
        <f>I38+L38</f>
        <v>142768.03999999998</v>
      </c>
      <c r="L40" s="424"/>
    </row>
    <row r="41" spans="1:20" ht="16.5" thickBot="1" x14ac:dyDescent="0.3">
      <c r="B41" s="102"/>
      <c r="C41" s="77"/>
      <c r="D41" s="408" t="s">
        <v>62</v>
      </c>
      <c r="E41" s="408"/>
      <c r="F41" s="103">
        <f>F38-K40</f>
        <v>1718657.66</v>
      </c>
      <c r="I41" s="104"/>
      <c r="J41" s="104"/>
    </row>
    <row r="42" spans="1:20" ht="19.5" customHeight="1" thickTop="1" x14ac:dyDescent="0.25">
      <c r="D42" s="409" t="s">
        <v>63</v>
      </c>
      <c r="E42" s="409"/>
      <c r="F42" s="103">
        <v>-1740186.8</v>
      </c>
      <c r="I42" s="410" t="s">
        <v>66</v>
      </c>
      <c r="J42" s="411"/>
      <c r="K42" s="439">
        <f>F47</f>
        <v>176821.03999999986</v>
      </c>
      <c r="L42" s="440"/>
    </row>
    <row r="43" spans="1:20" ht="15.75" thickBot="1" x14ac:dyDescent="0.3">
      <c r="D43" s="105"/>
      <c r="E43" s="106"/>
      <c r="F43" s="107"/>
      <c r="I43" s="412"/>
      <c r="J43" s="413"/>
      <c r="K43" s="441"/>
      <c r="L43" s="442"/>
    </row>
    <row r="44" spans="1:20" ht="15.75" customHeight="1" thickTop="1" x14ac:dyDescent="0.25">
      <c r="C44" s="3" t="s">
        <v>64</v>
      </c>
      <c r="E44" s="97" t="s">
        <v>65</v>
      </c>
      <c r="F44" s="4">
        <f>SUM(F41:F43)</f>
        <v>-21529.14000000013</v>
      </c>
    </row>
    <row r="45" spans="1:20" ht="15.75" customHeight="1" x14ac:dyDescent="0.3">
      <c r="D45" s="108" t="s">
        <v>67</v>
      </c>
      <c r="E45" s="97" t="s">
        <v>68</v>
      </c>
      <c r="F45" s="4">
        <v>1878</v>
      </c>
      <c r="I45" s="364" t="s">
        <v>275</v>
      </c>
      <c r="J45" s="364"/>
      <c r="K45" s="402">
        <f>-C4</f>
        <v>-184142.28</v>
      </c>
      <c r="L45" s="402"/>
    </row>
    <row r="46" spans="1:20" ht="16.5" thickBot="1" x14ac:dyDescent="0.3">
      <c r="C46" s="94"/>
      <c r="D46" s="418" t="s">
        <v>69</v>
      </c>
      <c r="E46" s="418"/>
      <c r="F46" s="109">
        <v>196472.18</v>
      </c>
      <c r="I46" s="420"/>
      <c r="J46" s="420"/>
      <c r="K46" s="420"/>
      <c r="L46" s="110"/>
    </row>
    <row r="47" spans="1:20" ht="19.5" thickBot="1" x14ac:dyDescent="0.35">
      <c r="C47" s="94"/>
      <c r="D47" s="315"/>
      <c r="E47" s="115" t="s">
        <v>71</v>
      </c>
      <c r="F47" s="116">
        <f>F44+F45+F46</f>
        <v>176821.03999999986</v>
      </c>
      <c r="H47" s="100"/>
      <c r="I47" s="404" t="s">
        <v>274</v>
      </c>
      <c r="J47" s="405"/>
      <c r="K47" s="406">
        <f>K42+K45</f>
        <v>-7321.2400000001362</v>
      </c>
      <c r="L47" s="407"/>
      <c r="M47" s="367"/>
    </row>
    <row r="49" spans="2:21" x14ac:dyDescent="0.25">
      <c r="B49"/>
      <c r="C49"/>
      <c r="D49" s="403"/>
      <c r="E49" s="403"/>
      <c r="F49" s="77"/>
      <c r="M49" s="117"/>
      <c r="N49" s="97"/>
    </row>
    <row r="50" spans="2:21" x14ac:dyDescent="0.25">
      <c r="B50"/>
      <c r="C50"/>
      <c r="M50" s="117"/>
      <c r="N50" s="97"/>
    </row>
    <row r="51" spans="2:21" x14ac:dyDescent="0.25">
      <c r="B51"/>
      <c r="C51"/>
      <c r="N51" s="97"/>
      <c r="U51" s="36"/>
    </row>
    <row r="52" spans="2:21" x14ac:dyDescent="0.25">
      <c r="B52"/>
      <c r="C52"/>
      <c r="F52"/>
      <c r="I52"/>
      <c r="J52"/>
      <c r="M52"/>
      <c r="N52" s="97"/>
      <c r="R52" s="36"/>
      <c r="U52" s="130"/>
    </row>
    <row r="53" spans="2:21" x14ac:dyDescent="0.25">
      <c r="B53"/>
      <c r="C53"/>
      <c r="N53" s="97"/>
      <c r="R53" s="130"/>
      <c r="U53" s="36"/>
    </row>
    <row r="54" spans="2:21" x14ac:dyDescent="0.25">
      <c r="M54" s="36"/>
      <c r="N54" s="97"/>
      <c r="R54" s="36"/>
      <c r="U54" s="36"/>
    </row>
    <row r="55" spans="2:21" x14ac:dyDescent="0.25">
      <c r="M55" s="130"/>
      <c r="N55" s="97"/>
      <c r="R55" s="36"/>
      <c r="U55" s="130"/>
    </row>
    <row r="56" spans="2:21" x14ac:dyDescent="0.25">
      <c r="M56" s="36"/>
      <c r="N56" s="97"/>
      <c r="R56" s="130"/>
      <c r="U56" s="130"/>
    </row>
    <row r="57" spans="2:21" x14ac:dyDescent="0.25">
      <c r="M57" s="36"/>
      <c r="N57" s="97"/>
      <c r="R57" s="130"/>
      <c r="U57" s="130"/>
    </row>
    <row r="58" spans="2:21" x14ac:dyDescent="0.25">
      <c r="M58" s="130"/>
      <c r="R58" s="130"/>
      <c r="U58" s="130"/>
    </row>
    <row r="59" spans="2:21" x14ac:dyDescent="0.25">
      <c r="M59" s="130"/>
      <c r="R59" s="130"/>
      <c r="U59" s="130"/>
    </row>
    <row r="60" spans="2:21" x14ac:dyDescent="0.25">
      <c r="M60" s="130"/>
      <c r="R60" s="130"/>
      <c r="U60" s="130"/>
    </row>
    <row r="61" spans="2:21" x14ac:dyDescent="0.25">
      <c r="M61" s="130"/>
      <c r="R61" s="130"/>
      <c r="U61" s="130"/>
    </row>
    <row r="62" spans="2:21" x14ac:dyDescent="0.25">
      <c r="M62" s="130"/>
      <c r="R62" s="130"/>
      <c r="U62" s="130"/>
    </row>
    <row r="63" spans="2:21" x14ac:dyDescent="0.25">
      <c r="M63" s="130"/>
      <c r="R63" s="130"/>
      <c r="U63" s="130"/>
    </row>
    <row r="64" spans="2:21" x14ac:dyDescent="0.25">
      <c r="M64" s="130"/>
      <c r="R64" s="130"/>
      <c r="U64" s="130"/>
    </row>
    <row r="65" spans="13:21" x14ac:dyDescent="0.25">
      <c r="M65" s="130"/>
      <c r="R65" s="130"/>
      <c r="U65" s="321"/>
    </row>
    <row r="66" spans="13:21" x14ac:dyDescent="0.25">
      <c r="M66" s="130"/>
      <c r="R66" s="130"/>
    </row>
    <row r="67" spans="13:21" x14ac:dyDescent="0.25">
      <c r="M67" s="130"/>
      <c r="R67" s="130"/>
    </row>
    <row r="68" spans="13:21" x14ac:dyDescent="0.25">
      <c r="M68" s="130"/>
      <c r="R68" s="130"/>
    </row>
    <row r="69" spans="13:21" x14ac:dyDescent="0.25">
      <c r="M69" s="130"/>
      <c r="R69" s="321"/>
    </row>
    <row r="70" spans="13:21" x14ac:dyDescent="0.25">
      <c r="M70" s="130"/>
    </row>
    <row r="71" spans="13:21" x14ac:dyDescent="0.25">
      <c r="M71" s="130"/>
    </row>
    <row r="72" spans="13:21" x14ac:dyDescent="0.25">
      <c r="M72" s="130"/>
    </row>
    <row r="73" spans="13:21" x14ac:dyDescent="0.25">
      <c r="M73" s="130"/>
    </row>
    <row r="74" spans="13:21" x14ac:dyDescent="0.25">
      <c r="M74" s="130"/>
    </row>
    <row r="75" spans="13:21" x14ac:dyDescent="0.25">
      <c r="M75" s="130"/>
    </row>
    <row r="76" spans="13:21" x14ac:dyDescent="0.25">
      <c r="M76" s="130"/>
    </row>
  </sheetData>
  <mergeCells count="18">
    <mergeCell ref="K45:L45"/>
    <mergeCell ref="D49:E49"/>
    <mergeCell ref="I47:J47"/>
    <mergeCell ref="K47:L47"/>
    <mergeCell ref="D41:E41"/>
    <mergeCell ref="D42:E42"/>
    <mergeCell ref="D46:E46"/>
    <mergeCell ref="I46:K46"/>
    <mergeCell ref="I42:J43"/>
    <mergeCell ref="K42:L43"/>
    <mergeCell ref="Q2:X2"/>
    <mergeCell ref="H40:I40"/>
    <mergeCell ref="K40:L40"/>
    <mergeCell ref="C1:K1"/>
    <mergeCell ref="E4:F4"/>
    <mergeCell ref="I4:L4"/>
    <mergeCell ref="L33:L34"/>
    <mergeCell ref="K35:K36"/>
  </mergeCells>
  <pageMargins left="0.31496062992125984" right="0.11811023622047245" top="0.15748031496062992" bottom="0.19685039370078741" header="0.31496062992125984" footer="0.31496062992125984"/>
  <pageSetup scale="78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77"/>
  <sheetViews>
    <sheetView topLeftCell="A33" workbookViewId="0">
      <selection activeCell="E42" sqref="E42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9" max="9" width="13.85546875" style="151" bestFit="1" customWidth="1"/>
    <col min="11" max="11" width="15.42578125" customWidth="1"/>
    <col min="13" max="13" width="11.140625" bestFit="1" customWidth="1"/>
    <col min="14" max="14" width="20.140625" bestFit="1" customWidth="1"/>
    <col min="15" max="15" width="13.28515625" bestFit="1" customWidth="1"/>
    <col min="18" max="18" width="13.85546875" bestFit="1" customWidth="1"/>
    <col min="20" max="20" width="14.85546875" customWidth="1"/>
    <col min="22" max="22" width="11.140625" bestFit="1" customWidth="1"/>
    <col min="23" max="23" width="20.140625" bestFit="1" customWidth="1"/>
    <col min="24" max="24" width="12.140625" bestFit="1" customWidth="1"/>
  </cols>
  <sheetData>
    <row r="1" spans="1:24" ht="19.5" thickBot="1" x14ac:dyDescent="0.35">
      <c r="B1" s="118" t="s">
        <v>515</v>
      </c>
      <c r="C1" s="119"/>
      <c r="D1" s="120"/>
      <c r="E1" s="119"/>
      <c r="F1" s="121"/>
      <c r="J1" t="s">
        <v>64</v>
      </c>
      <c r="K1" s="154" t="s">
        <v>105</v>
      </c>
      <c r="L1" s="155"/>
      <c r="M1" s="156"/>
      <c r="N1" s="182">
        <v>42934</v>
      </c>
      <c r="O1" s="158"/>
      <c r="R1" s="151"/>
      <c r="S1" t="s">
        <v>64</v>
      </c>
      <c r="T1" s="154" t="s">
        <v>105</v>
      </c>
      <c r="U1" s="155"/>
      <c r="V1" s="156"/>
      <c r="W1" s="231">
        <v>42945</v>
      </c>
      <c r="X1" s="158"/>
    </row>
    <row r="2" spans="1:24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R2" s="151"/>
      <c r="S2" s="159"/>
      <c r="T2" s="160"/>
      <c r="U2" s="159"/>
      <c r="V2" s="161"/>
      <c r="W2" s="160"/>
      <c r="X2" s="162"/>
    </row>
    <row r="3" spans="1:24" ht="15.75" x14ac:dyDescent="0.25">
      <c r="A3" s="125">
        <v>42917</v>
      </c>
      <c r="B3" s="126" t="s">
        <v>516</v>
      </c>
      <c r="C3" s="36">
        <v>108452.5</v>
      </c>
      <c r="D3" s="127">
        <v>42934</v>
      </c>
      <c r="E3" s="36">
        <v>108452.5</v>
      </c>
      <c r="F3" s="128">
        <f t="shared" ref="F3:F42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R3" s="151"/>
      <c r="S3" s="163" t="s">
        <v>106</v>
      </c>
      <c r="T3" s="160" t="s">
        <v>107</v>
      </c>
      <c r="U3" s="159"/>
      <c r="V3" s="161" t="s">
        <v>108</v>
      </c>
      <c r="W3" s="160" t="s">
        <v>109</v>
      </c>
      <c r="X3" s="162"/>
    </row>
    <row r="4" spans="1:24" ht="15.75" x14ac:dyDescent="0.25">
      <c r="A4" s="129">
        <v>42917</v>
      </c>
      <c r="B4" s="126" t="s">
        <v>517</v>
      </c>
      <c r="C4" s="130">
        <v>27251.72</v>
      </c>
      <c r="D4" s="127">
        <v>42934</v>
      </c>
      <c r="E4" s="130">
        <v>27251.72</v>
      </c>
      <c r="F4" s="128">
        <f t="shared" si="0"/>
        <v>0</v>
      </c>
      <c r="I4" s="164">
        <v>31599.8</v>
      </c>
      <c r="J4" s="126" t="s">
        <v>491</v>
      </c>
      <c r="K4" s="130">
        <v>31599.8</v>
      </c>
      <c r="L4" s="165"/>
      <c r="M4" s="166">
        <v>3797964</v>
      </c>
      <c r="N4" s="167">
        <v>47038</v>
      </c>
      <c r="O4" s="168">
        <v>42912</v>
      </c>
      <c r="R4" s="164">
        <v>6331.42</v>
      </c>
      <c r="S4" s="126" t="s">
        <v>588</v>
      </c>
      <c r="T4" s="130">
        <v>5372.45</v>
      </c>
      <c r="U4" s="165" t="s">
        <v>171</v>
      </c>
      <c r="V4" s="166">
        <v>3321679</v>
      </c>
      <c r="W4" s="167">
        <v>83258.5</v>
      </c>
      <c r="X4" s="168">
        <v>42938</v>
      </c>
    </row>
    <row r="5" spans="1:24" ht="15.75" x14ac:dyDescent="0.25">
      <c r="A5" s="129">
        <v>42917</v>
      </c>
      <c r="B5" s="132" t="s">
        <v>518</v>
      </c>
      <c r="C5" s="36">
        <v>22881.599999999999</v>
      </c>
      <c r="D5" s="127">
        <v>42934</v>
      </c>
      <c r="E5" s="36">
        <v>22881.599999999999</v>
      </c>
      <c r="F5" s="128">
        <f t="shared" si="0"/>
        <v>0</v>
      </c>
      <c r="I5" s="164">
        <v>23772.98</v>
      </c>
      <c r="J5" s="126" t="s">
        <v>496</v>
      </c>
      <c r="K5" s="130">
        <v>23772.98</v>
      </c>
      <c r="L5" s="165"/>
      <c r="M5" s="166" t="s">
        <v>113</v>
      </c>
      <c r="N5" s="167">
        <v>33402</v>
      </c>
      <c r="O5" s="168">
        <v>42912</v>
      </c>
      <c r="R5" s="164">
        <v>63820.76</v>
      </c>
      <c r="S5" s="126" t="s">
        <v>589</v>
      </c>
      <c r="T5" s="130">
        <v>63820.76</v>
      </c>
      <c r="U5" s="165"/>
      <c r="V5" s="166" t="s">
        <v>113</v>
      </c>
      <c r="W5" s="167">
        <v>8129</v>
      </c>
      <c r="X5" s="168">
        <v>42936</v>
      </c>
    </row>
    <row r="6" spans="1:24" ht="15.75" x14ac:dyDescent="0.25">
      <c r="A6" s="129">
        <v>42919</v>
      </c>
      <c r="B6" s="126" t="s">
        <v>519</v>
      </c>
      <c r="C6" s="36">
        <v>5411.7</v>
      </c>
      <c r="D6" s="127">
        <v>42934</v>
      </c>
      <c r="E6" s="36">
        <v>5411.7</v>
      </c>
      <c r="F6" s="128">
        <f t="shared" si="0"/>
        <v>0</v>
      </c>
      <c r="I6" s="140">
        <f>47038.05+6488.82</f>
        <v>53526.87</v>
      </c>
      <c r="J6" s="126" t="s">
        <v>497</v>
      </c>
      <c r="K6" s="130">
        <v>52577.58</v>
      </c>
      <c r="L6" s="165" t="s">
        <v>111</v>
      </c>
      <c r="M6" s="166" t="s">
        <v>113</v>
      </c>
      <c r="N6" s="167">
        <v>41598</v>
      </c>
      <c r="O6" s="168">
        <v>42915</v>
      </c>
      <c r="R6" s="140">
        <v>5400</v>
      </c>
      <c r="S6" s="126" t="s">
        <v>590</v>
      </c>
      <c r="T6" s="130">
        <v>5400</v>
      </c>
      <c r="U6" s="165"/>
      <c r="V6" s="166" t="s">
        <v>113</v>
      </c>
      <c r="W6" s="167">
        <v>81814</v>
      </c>
      <c r="X6" s="168">
        <v>42940</v>
      </c>
    </row>
    <row r="7" spans="1:24" ht="15.75" x14ac:dyDescent="0.25">
      <c r="A7" s="129">
        <v>42919</v>
      </c>
      <c r="B7" s="126" t="s">
        <v>520</v>
      </c>
      <c r="C7" s="130">
        <v>72415.56</v>
      </c>
      <c r="D7" s="127">
        <v>42934</v>
      </c>
      <c r="E7" s="130">
        <v>72415.56</v>
      </c>
      <c r="F7" s="128">
        <f t="shared" si="0"/>
        <v>0</v>
      </c>
      <c r="I7" s="140">
        <v>690</v>
      </c>
      <c r="J7" s="126" t="s">
        <v>498</v>
      </c>
      <c r="K7" s="130">
        <v>690</v>
      </c>
      <c r="L7" s="165"/>
      <c r="M7" s="166" t="s">
        <v>113</v>
      </c>
      <c r="N7" s="167">
        <v>34075</v>
      </c>
      <c r="O7" s="168">
        <v>42916</v>
      </c>
      <c r="R7" s="140">
        <f>15835.04+41430.26</f>
        <v>57265.3</v>
      </c>
      <c r="S7" s="126" t="s">
        <v>591</v>
      </c>
      <c r="T7" s="130">
        <v>57265.3</v>
      </c>
      <c r="U7" s="165"/>
      <c r="V7" s="166" t="s">
        <v>113</v>
      </c>
      <c r="W7" s="167">
        <v>62494.5</v>
      </c>
      <c r="X7" s="168">
        <v>42941</v>
      </c>
    </row>
    <row r="8" spans="1:24" ht="15.75" x14ac:dyDescent="0.25">
      <c r="A8" s="129">
        <v>42921</v>
      </c>
      <c r="B8" s="126" t="s">
        <v>521</v>
      </c>
      <c r="C8" s="130">
        <v>29902.7</v>
      </c>
      <c r="D8" s="127">
        <v>42934</v>
      </c>
      <c r="E8" s="130">
        <v>29902.7</v>
      </c>
      <c r="F8" s="128">
        <f t="shared" si="0"/>
        <v>0</v>
      </c>
      <c r="I8" s="140">
        <f>2450.2+41598.16+34074.73+4885.59</f>
        <v>83008.679999999993</v>
      </c>
      <c r="J8" s="126" t="s">
        <v>499</v>
      </c>
      <c r="K8" s="130">
        <v>83003.5</v>
      </c>
      <c r="L8" s="165"/>
      <c r="M8" s="166">
        <v>3321603</v>
      </c>
      <c r="N8" s="167">
        <v>82621</v>
      </c>
      <c r="O8" s="168">
        <v>42916</v>
      </c>
      <c r="R8" s="140">
        <f>40383.3+30573.09</f>
        <v>70956.39</v>
      </c>
      <c r="S8" s="126" t="s">
        <v>593</v>
      </c>
      <c r="T8" s="130">
        <v>70956.39</v>
      </c>
      <c r="U8" s="165"/>
      <c r="V8" s="166" t="s">
        <v>113</v>
      </c>
      <c r="W8" s="167">
        <v>43227</v>
      </c>
      <c r="X8" s="168">
        <v>42941</v>
      </c>
    </row>
    <row r="9" spans="1:24" ht="15.75" x14ac:dyDescent="0.25">
      <c r="A9" s="129">
        <v>42922</v>
      </c>
      <c r="B9" s="126" t="s">
        <v>522</v>
      </c>
      <c r="C9" s="130">
        <v>39294.97</v>
      </c>
      <c r="D9" s="127">
        <v>42934</v>
      </c>
      <c r="E9" s="130">
        <v>39294.97</v>
      </c>
      <c r="F9" s="128">
        <f t="shared" si="0"/>
        <v>0</v>
      </c>
      <c r="I9" s="164">
        <v>52491</v>
      </c>
      <c r="J9" s="126" t="s">
        <v>500</v>
      </c>
      <c r="K9" s="130">
        <v>52491</v>
      </c>
      <c r="L9" s="165"/>
      <c r="M9" s="166">
        <v>3718293</v>
      </c>
      <c r="N9" s="167">
        <v>10922</v>
      </c>
      <c r="O9" s="168">
        <v>42916</v>
      </c>
      <c r="R9" s="164">
        <f>7231.93+43227.17+29569.76+39860</f>
        <v>119888.86</v>
      </c>
      <c r="S9" s="126" t="s">
        <v>602</v>
      </c>
      <c r="T9" s="130">
        <v>120848.5</v>
      </c>
      <c r="U9" s="165" t="s">
        <v>125</v>
      </c>
      <c r="V9" s="166" t="s">
        <v>113</v>
      </c>
      <c r="W9" s="167">
        <v>29570</v>
      </c>
      <c r="X9" s="168">
        <v>42942</v>
      </c>
    </row>
    <row r="10" spans="1:24" ht="15.75" x14ac:dyDescent="0.25">
      <c r="A10" s="129">
        <v>42922</v>
      </c>
      <c r="B10" s="126" t="s">
        <v>523</v>
      </c>
      <c r="C10" s="130">
        <v>74.52</v>
      </c>
      <c r="D10" s="127">
        <v>42934</v>
      </c>
      <c r="E10" s="130">
        <v>74.52</v>
      </c>
      <c r="F10" s="128">
        <f t="shared" si="0"/>
        <v>0</v>
      </c>
      <c r="I10" s="140">
        <f>4565.82+86701.64</f>
        <v>91267.459999999992</v>
      </c>
      <c r="J10" s="126" t="s">
        <v>510</v>
      </c>
      <c r="K10" s="130">
        <v>91267.56</v>
      </c>
      <c r="L10" s="165"/>
      <c r="M10" s="166">
        <v>3321604</v>
      </c>
      <c r="N10" s="167">
        <v>98471</v>
      </c>
      <c r="O10" s="168">
        <v>42917</v>
      </c>
      <c r="R10" s="140">
        <v>24689.599999999999</v>
      </c>
      <c r="S10" s="126" t="s">
        <v>603</v>
      </c>
      <c r="T10" s="130">
        <v>24689.599999999999</v>
      </c>
      <c r="U10" s="165"/>
      <c r="V10" s="166" t="s">
        <v>113</v>
      </c>
      <c r="W10" s="167">
        <v>39860</v>
      </c>
      <c r="X10" s="168">
        <v>42943</v>
      </c>
    </row>
    <row r="11" spans="1:24" ht="15.75" x14ac:dyDescent="0.25">
      <c r="A11" s="129">
        <v>42923</v>
      </c>
      <c r="B11" s="126" t="s">
        <v>524</v>
      </c>
      <c r="C11" s="130">
        <v>40936.699999999997</v>
      </c>
      <c r="D11" s="127">
        <v>42934</v>
      </c>
      <c r="E11" s="130">
        <v>40936.699999999997</v>
      </c>
      <c r="F11" s="128">
        <f t="shared" si="0"/>
        <v>0</v>
      </c>
      <c r="I11" s="140">
        <v>3753.94</v>
      </c>
      <c r="J11" s="126" t="s">
        <v>511</v>
      </c>
      <c r="K11" s="130">
        <v>3753.94</v>
      </c>
      <c r="L11" s="165"/>
      <c r="M11" s="166">
        <v>3321605</v>
      </c>
      <c r="N11" s="167">
        <v>53191</v>
      </c>
      <c r="O11" s="168">
        <v>42918</v>
      </c>
      <c r="R11" s="140">
        <v>0</v>
      </c>
      <c r="S11" s="126"/>
      <c r="T11" s="130">
        <v>0</v>
      </c>
      <c r="U11" s="165"/>
      <c r="V11" s="166" t="s">
        <v>113</v>
      </c>
      <c r="W11" s="167">
        <v>0</v>
      </c>
      <c r="X11" s="168"/>
    </row>
    <row r="12" spans="1:24" ht="16.5" thickBot="1" x14ac:dyDescent="0.3">
      <c r="A12" s="129">
        <v>42923</v>
      </c>
      <c r="B12" s="126" t="s">
        <v>525</v>
      </c>
      <c r="C12" s="130">
        <v>43377.26</v>
      </c>
      <c r="D12" s="127">
        <v>42934</v>
      </c>
      <c r="E12" s="130">
        <v>43377.26</v>
      </c>
      <c r="F12" s="128">
        <f t="shared" si="0"/>
        <v>0</v>
      </c>
      <c r="I12" s="140">
        <v>1495.2</v>
      </c>
      <c r="J12" s="126" t="s">
        <v>512</v>
      </c>
      <c r="K12" s="4">
        <v>1495.2</v>
      </c>
      <c r="L12" s="183"/>
      <c r="M12" s="184" t="s">
        <v>113</v>
      </c>
      <c r="N12" s="185">
        <v>49622</v>
      </c>
      <c r="O12" s="186">
        <v>42920</v>
      </c>
      <c r="R12" s="146">
        <v>0</v>
      </c>
      <c r="S12" s="143"/>
      <c r="T12" s="144">
        <v>0</v>
      </c>
      <c r="U12" s="357"/>
      <c r="V12" s="343" t="s">
        <v>113</v>
      </c>
      <c r="W12" s="358">
        <v>0</v>
      </c>
      <c r="X12" s="222"/>
    </row>
    <row r="13" spans="1:24" ht="16.5" thickTop="1" x14ac:dyDescent="0.25">
      <c r="A13" s="129">
        <v>42923</v>
      </c>
      <c r="B13" s="126" t="s">
        <v>526</v>
      </c>
      <c r="C13" s="130">
        <v>320</v>
      </c>
      <c r="D13" s="127">
        <v>42934</v>
      </c>
      <c r="E13" s="130">
        <v>320</v>
      </c>
      <c r="F13" s="128">
        <f t="shared" si="0"/>
        <v>0</v>
      </c>
      <c r="I13" s="164">
        <f>6520.38+53165.5</f>
        <v>59685.88</v>
      </c>
      <c r="J13" s="126" t="s">
        <v>513</v>
      </c>
      <c r="K13" s="4">
        <v>59685.9</v>
      </c>
      <c r="L13" s="235"/>
      <c r="M13" s="184" t="s">
        <v>294</v>
      </c>
      <c r="N13" s="301">
        <v>32505.5</v>
      </c>
      <c r="O13" s="186">
        <v>42921</v>
      </c>
      <c r="R13" s="351">
        <f>SUM(R4:R12)</f>
        <v>348352.32999999996</v>
      </c>
      <c r="S13" s="176"/>
      <c r="T13" s="36">
        <f>SUM(T4:T12)</f>
        <v>348353</v>
      </c>
      <c r="U13" s="246"/>
      <c r="V13" s="244"/>
      <c r="W13" s="303">
        <f>SUM(W4:W12)</f>
        <v>348353</v>
      </c>
      <c r="X13" s="245"/>
    </row>
    <row r="14" spans="1:24" ht="15.75" x14ac:dyDescent="0.25">
      <c r="A14" s="129">
        <v>42923</v>
      </c>
      <c r="B14" s="126" t="s">
        <v>539</v>
      </c>
      <c r="C14" s="130">
        <v>4033.4</v>
      </c>
      <c r="D14" s="127">
        <v>42934</v>
      </c>
      <c r="E14" s="130">
        <v>4033.4</v>
      </c>
      <c r="F14" s="128">
        <f t="shared" si="0"/>
        <v>0</v>
      </c>
      <c r="I14" s="164">
        <f>32019.65+48794.59+27638.41</f>
        <v>108452.65</v>
      </c>
      <c r="J14" s="126" t="s">
        <v>516</v>
      </c>
      <c r="K14" s="36">
        <v>108452.5</v>
      </c>
      <c r="L14" s="187"/>
      <c r="M14" s="184" t="s">
        <v>113</v>
      </c>
      <c r="N14" s="302">
        <v>48794.5</v>
      </c>
      <c r="O14" s="186">
        <v>42922</v>
      </c>
      <c r="R14" s="351"/>
      <c r="S14" s="176"/>
      <c r="T14" s="103"/>
      <c r="U14" s="100"/>
      <c r="V14" s="244"/>
      <c r="W14" s="303"/>
      <c r="X14" s="245"/>
    </row>
    <row r="15" spans="1:24" ht="15.75" x14ac:dyDescent="0.25">
      <c r="A15" s="129">
        <v>42924</v>
      </c>
      <c r="B15" s="126" t="s">
        <v>540</v>
      </c>
      <c r="C15" s="130">
        <v>122376.02</v>
      </c>
      <c r="D15" s="127">
        <v>42934</v>
      </c>
      <c r="E15" s="130">
        <v>122376.02</v>
      </c>
      <c r="F15" s="128">
        <f t="shared" si="0"/>
        <v>0</v>
      </c>
      <c r="I15" s="164">
        <f>26765.71+486.01</f>
        <v>27251.719999999998</v>
      </c>
      <c r="J15" s="126" t="s">
        <v>517</v>
      </c>
      <c r="K15" s="130">
        <v>27251.72</v>
      </c>
      <c r="L15" s="187"/>
      <c r="M15" s="184">
        <v>3321616</v>
      </c>
      <c r="N15" s="302">
        <v>45338</v>
      </c>
      <c r="O15" s="186">
        <v>42922</v>
      </c>
      <c r="R15" s="351"/>
      <c r="S15" s="176"/>
      <c r="T15" s="36"/>
      <c r="U15" s="100"/>
      <c r="V15" s="244"/>
      <c r="W15" s="303"/>
      <c r="X15" s="245"/>
    </row>
    <row r="16" spans="1:24" ht="16.5" thickBot="1" x14ac:dyDescent="0.3">
      <c r="A16" s="129">
        <v>42925</v>
      </c>
      <c r="B16" s="126" t="s">
        <v>541</v>
      </c>
      <c r="C16" s="130">
        <v>6259.6</v>
      </c>
      <c r="D16" s="127">
        <v>42934</v>
      </c>
      <c r="E16" s="130">
        <v>6259.6</v>
      </c>
      <c r="F16" s="128">
        <f t="shared" si="0"/>
        <v>0</v>
      </c>
      <c r="I16" s="164">
        <f>25.49+22856</f>
        <v>22881.49</v>
      </c>
      <c r="J16" s="132" t="s">
        <v>518</v>
      </c>
      <c r="K16" s="36">
        <v>22881.599999999999</v>
      </c>
      <c r="L16" s="227"/>
      <c r="M16" s="184">
        <v>3321614</v>
      </c>
      <c r="N16" s="302">
        <v>76921</v>
      </c>
      <c r="O16" s="186">
        <v>42923</v>
      </c>
      <c r="R16" s="351"/>
      <c r="S16" s="201"/>
      <c r="T16" s="36"/>
      <c r="U16" s="246"/>
      <c r="V16" s="244"/>
      <c r="W16" s="303"/>
      <c r="X16" s="245"/>
    </row>
    <row r="17" spans="1:24" ht="19.5" thickBot="1" x14ac:dyDescent="0.35">
      <c r="A17" s="129">
        <v>42926</v>
      </c>
      <c r="B17" s="126" t="s">
        <v>542</v>
      </c>
      <c r="C17" s="130">
        <v>93712</v>
      </c>
      <c r="D17" s="127" t="s">
        <v>599</v>
      </c>
      <c r="E17" s="130">
        <f>57246.19+36465.81</f>
        <v>93712</v>
      </c>
      <c r="F17" s="128">
        <f t="shared" si="0"/>
        <v>0</v>
      </c>
      <c r="I17" s="151">
        <v>5411.7</v>
      </c>
      <c r="J17" s="126" t="s">
        <v>519</v>
      </c>
      <c r="K17" s="36">
        <v>5411.7</v>
      </c>
      <c r="L17" s="187"/>
      <c r="M17" s="184" t="s">
        <v>113</v>
      </c>
      <c r="N17" s="302">
        <v>89084</v>
      </c>
      <c r="O17" s="186">
        <v>42926</v>
      </c>
      <c r="R17" s="151"/>
      <c r="S17" t="s">
        <v>64</v>
      </c>
      <c r="T17" s="154" t="s">
        <v>105</v>
      </c>
      <c r="U17" s="155"/>
      <c r="V17" s="156"/>
      <c r="W17" s="349">
        <v>42947</v>
      </c>
      <c r="X17" s="158"/>
    </row>
    <row r="18" spans="1:24" ht="15.75" x14ac:dyDescent="0.25">
      <c r="A18" s="129">
        <v>42926</v>
      </c>
      <c r="B18" s="126" t="s">
        <v>543</v>
      </c>
      <c r="C18" s="130">
        <v>2599.6</v>
      </c>
      <c r="D18" s="127">
        <v>42934</v>
      </c>
      <c r="E18" s="130">
        <v>2599.6</v>
      </c>
      <c r="F18" s="128">
        <f t="shared" si="0"/>
        <v>0</v>
      </c>
      <c r="I18" s="151">
        <f>12287.75+60127.8</f>
        <v>72415.55</v>
      </c>
      <c r="J18" s="126" t="s">
        <v>520</v>
      </c>
      <c r="K18" s="130">
        <v>72415.56</v>
      </c>
      <c r="L18" s="227"/>
      <c r="M18" s="184" t="s">
        <v>113</v>
      </c>
      <c r="N18" s="302">
        <v>48720.5</v>
      </c>
      <c r="O18" s="186">
        <v>42926</v>
      </c>
      <c r="R18" s="151"/>
      <c r="S18" s="159"/>
      <c r="T18" s="160"/>
      <c r="U18" s="159"/>
      <c r="V18" s="161"/>
      <c r="W18" s="160"/>
      <c r="X18" s="162"/>
    </row>
    <row r="19" spans="1:24" ht="15.75" x14ac:dyDescent="0.25">
      <c r="A19" s="129">
        <v>42928</v>
      </c>
      <c r="B19" s="126" t="s">
        <v>544</v>
      </c>
      <c r="C19" s="130">
        <v>79806.39</v>
      </c>
      <c r="D19" s="127">
        <v>42938</v>
      </c>
      <c r="E19" s="130">
        <v>79806.39</v>
      </c>
      <c r="F19" s="128">
        <f t="shared" si="0"/>
        <v>0</v>
      </c>
      <c r="I19" s="151">
        <f>16792.68+13110.02</f>
        <v>29902.7</v>
      </c>
      <c r="J19" s="126" t="s">
        <v>521</v>
      </c>
      <c r="K19" s="130">
        <v>29902.7</v>
      </c>
      <c r="L19" s="187"/>
      <c r="M19" s="184" t="s">
        <v>113</v>
      </c>
      <c r="N19" s="302">
        <v>35507.5</v>
      </c>
      <c r="O19" s="186">
        <v>42927</v>
      </c>
      <c r="R19" s="151"/>
      <c r="S19" s="163" t="s">
        <v>106</v>
      </c>
      <c r="T19" s="160" t="s">
        <v>107</v>
      </c>
      <c r="U19" s="159"/>
      <c r="V19" s="161" t="s">
        <v>108</v>
      </c>
      <c r="W19" s="160" t="s">
        <v>109</v>
      </c>
      <c r="X19" s="162"/>
    </row>
    <row r="20" spans="1:24" ht="15.75" x14ac:dyDescent="0.25">
      <c r="A20" s="129">
        <v>42928</v>
      </c>
      <c r="B20" s="126" t="s">
        <v>545</v>
      </c>
      <c r="C20" s="130">
        <v>7928.6</v>
      </c>
      <c r="D20" s="127">
        <v>42938</v>
      </c>
      <c r="E20" s="130">
        <v>7928.6</v>
      </c>
      <c r="F20" s="128">
        <f t="shared" si="0"/>
        <v>0</v>
      </c>
      <c r="I20" s="151">
        <v>39294.97</v>
      </c>
      <c r="J20" s="126" t="s">
        <v>522</v>
      </c>
      <c r="K20" s="130">
        <v>39294.97</v>
      </c>
      <c r="L20" s="187"/>
      <c r="M20" s="184">
        <v>3321671</v>
      </c>
      <c r="N20" s="302">
        <v>50763.5</v>
      </c>
      <c r="O20" s="186">
        <v>42928</v>
      </c>
      <c r="R20" s="164">
        <v>6710.02</v>
      </c>
      <c r="S20" s="126" t="s">
        <v>602</v>
      </c>
      <c r="T20" s="130">
        <v>5750.38</v>
      </c>
      <c r="U20" s="165" t="s">
        <v>111</v>
      </c>
      <c r="V20" s="166" t="s">
        <v>113</v>
      </c>
      <c r="W20" s="167">
        <v>13845</v>
      </c>
      <c r="X20" s="168">
        <v>42945</v>
      </c>
    </row>
    <row r="21" spans="1:24" ht="15.75" x14ac:dyDescent="0.25">
      <c r="A21" s="129">
        <v>42928</v>
      </c>
      <c r="B21" s="126" t="s">
        <v>546</v>
      </c>
      <c r="C21" s="130">
        <v>110920.65</v>
      </c>
      <c r="D21" s="127">
        <v>42938</v>
      </c>
      <c r="E21" s="130">
        <v>110920.65</v>
      </c>
      <c r="F21" s="128">
        <f t="shared" si="0"/>
        <v>0</v>
      </c>
      <c r="I21" s="151">
        <v>74.5</v>
      </c>
      <c r="J21" s="126" t="s">
        <v>523</v>
      </c>
      <c r="K21" s="130">
        <v>74.52</v>
      </c>
      <c r="L21" s="187"/>
      <c r="M21" s="184" t="s">
        <v>113</v>
      </c>
      <c r="N21" s="302">
        <v>49374.5</v>
      </c>
      <c r="O21" s="186">
        <v>42929</v>
      </c>
      <c r="R21" s="164">
        <f>7135.14+22579.12</f>
        <v>29714.26</v>
      </c>
      <c r="S21" s="126" t="s">
        <v>604</v>
      </c>
      <c r="T21" s="130">
        <v>29714.26</v>
      </c>
      <c r="U21" s="165"/>
      <c r="V21" s="166" t="s">
        <v>113</v>
      </c>
      <c r="W21" s="167">
        <v>62470</v>
      </c>
      <c r="X21" s="168">
        <v>42947</v>
      </c>
    </row>
    <row r="22" spans="1:24" ht="15.75" x14ac:dyDescent="0.25">
      <c r="A22" s="129">
        <v>42929</v>
      </c>
      <c r="B22" s="126" t="s">
        <v>547</v>
      </c>
      <c r="C22" s="130">
        <v>13194</v>
      </c>
      <c r="D22" s="127">
        <v>42938</v>
      </c>
      <c r="E22" s="130">
        <v>13194</v>
      </c>
      <c r="F22" s="128">
        <f t="shared" si="0"/>
        <v>0</v>
      </c>
      <c r="I22" s="151">
        <v>40936.699999999997</v>
      </c>
      <c r="J22" s="205" t="s">
        <v>524</v>
      </c>
      <c r="K22" s="130">
        <v>40936.699999999997</v>
      </c>
      <c r="L22" s="224"/>
      <c r="M22" s="184" t="s">
        <v>113</v>
      </c>
      <c r="N22" s="301">
        <v>55222.5</v>
      </c>
      <c r="O22" s="186">
        <v>42930</v>
      </c>
      <c r="R22" s="140">
        <v>14864.88</v>
      </c>
      <c r="S22" s="126" t="s">
        <v>605</v>
      </c>
      <c r="T22" s="130">
        <v>14864.88</v>
      </c>
      <c r="U22" s="165"/>
      <c r="V22" s="166" t="s">
        <v>113</v>
      </c>
      <c r="W22" s="167">
        <v>475</v>
      </c>
      <c r="X22" s="168">
        <v>42943</v>
      </c>
    </row>
    <row r="23" spans="1:24" ht="15.75" x14ac:dyDescent="0.25">
      <c r="A23" s="129">
        <v>42930</v>
      </c>
      <c r="B23" s="126" t="s">
        <v>548</v>
      </c>
      <c r="C23" s="130">
        <v>700</v>
      </c>
      <c r="D23" s="127">
        <v>42938</v>
      </c>
      <c r="E23" s="130">
        <v>700</v>
      </c>
      <c r="F23" s="128">
        <f t="shared" si="0"/>
        <v>0</v>
      </c>
      <c r="I23" s="209">
        <f>36604.75+6772.5</f>
        <v>43377.25</v>
      </c>
      <c r="J23" s="126" t="s">
        <v>525</v>
      </c>
      <c r="K23" s="332">
        <v>43377.26</v>
      </c>
      <c r="L23" s="187"/>
      <c r="M23" s="166" t="s">
        <v>113</v>
      </c>
      <c r="N23" s="188">
        <v>0</v>
      </c>
      <c r="O23" s="168"/>
      <c r="R23" s="140">
        <f>44335.59+63130.375</f>
        <v>107465.965</v>
      </c>
      <c r="S23" s="126" t="s">
        <v>607</v>
      </c>
      <c r="T23" s="130">
        <v>107465.34</v>
      </c>
      <c r="U23" s="165"/>
      <c r="V23" s="166">
        <v>3932354</v>
      </c>
      <c r="W23" s="167">
        <v>3970</v>
      </c>
      <c r="X23" s="168">
        <v>42939</v>
      </c>
    </row>
    <row r="24" spans="1:24" ht="15.75" x14ac:dyDescent="0.25">
      <c r="A24" s="129">
        <v>42930</v>
      </c>
      <c r="B24" s="126" t="s">
        <v>549</v>
      </c>
      <c r="C24" s="130">
        <v>43005.599999999999</v>
      </c>
      <c r="D24" s="127">
        <v>42938</v>
      </c>
      <c r="E24" s="130">
        <v>43005.599999999999</v>
      </c>
      <c r="F24" s="128">
        <f t="shared" si="0"/>
        <v>0</v>
      </c>
      <c r="I24" s="209">
        <v>320</v>
      </c>
      <c r="J24" s="126" t="s">
        <v>526</v>
      </c>
      <c r="K24" s="130">
        <v>320</v>
      </c>
      <c r="L24" s="338"/>
      <c r="M24" s="166" t="s">
        <v>113</v>
      </c>
      <c r="N24" s="339">
        <v>0</v>
      </c>
      <c r="O24" s="340"/>
      <c r="R24" s="140">
        <v>520</v>
      </c>
      <c r="S24" s="126" t="s">
        <v>606</v>
      </c>
      <c r="T24" s="4">
        <v>520</v>
      </c>
      <c r="U24" s="165"/>
      <c r="V24" s="166" t="s">
        <v>113</v>
      </c>
      <c r="W24" s="167">
        <v>86248</v>
      </c>
      <c r="X24" s="168">
        <v>42947</v>
      </c>
    </row>
    <row r="25" spans="1:24" ht="15.75" x14ac:dyDescent="0.25">
      <c r="A25" s="129">
        <v>42931</v>
      </c>
      <c r="B25" s="126" t="s">
        <v>587</v>
      </c>
      <c r="C25" s="130">
        <v>114683.38</v>
      </c>
      <c r="D25" s="127">
        <v>42938</v>
      </c>
      <c r="E25" s="130">
        <v>114683.38</v>
      </c>
      <c r="F25" s="128">
        <f t="shared" si="0"/>
        <v>0</v>
      </c>
      <c r="I25" s="341">
        <f>690.76+3342.64</f>
        <v>4033.3999999999996</v>
      </c>
      <c r="J25" s="126" t="s">
        <v>539</v>
      </c>
      <c r="K25" s="130">
        <v>4033.4</v>
      </c>
      <c r="L25" s="187"/>
      <c r="M25" s="166" t="s">
        <v>113</v>
      </c>
      <c r="N25" s="339">
        <v>0</v>
      </c>
      <c r="O25" s="187"/>
      <c r="R25" s="164">
        <f>7732.03+31895.37</f>
        <v>39627.4</v>
      </c>
      <c r="S25" s="126" t="s">
        <v>616</v>
      </c>
      <c r="T25" s="4">
        <v>39627.4</v>
      </c>
      <c r="U25" s="165"/>
      <c r="V25" s="166" t="s">
        <v>113</v>
      </c>
      <c r="W25" s="167">
        <v>43469</v>
      </c>
      <c r="X25" s="168">
        <v>42947</v>
      </c>
    </row>
    <row r="26" spans="1:24" ht="15.75" x14ac:dyDescent="0.25">
      <c r="A26" s="129">
        <v>42932</v>
      </c>
      <c r="B26" s="126" t="s">
        <v>592</v>
      </c>
      <c r="C26" s="130">
        <v>4065.6</v>
      </c>
      <c r="D26" s="127">
        <v>42938</v>
      </c>
      <c r="E26" s="130">
        <v>4065.6</v>
      </c>
      <c r="F26" s="128">
        <f t="shared" si="0"/>
        <v>0</v>
      </c>
      <c r="I26" s="341">
        <f>32164.81+50763.35+39447.86</f>
        <v>122376.02</v>
      </c>
      <c r="J26" s="126" t="s">
        <v>540</v>
      </c>
      <c r="K26" s="130">
        <v>122376.02</v>
      </c>
      <c r="L26" s="187"/>
      <c r="M26" s="166" t="s">
        <v>113</v>
      </c>
      <c r="N26" s="339">
        <v>0</v>
      </c>
      <c r="O26" s="187"/>
      <c r="R26" s="140">
        <v>11578.25</v>
      </c>
      <c r="S26" s="126" t="s">
        <v>617</v>
      </c>
      <c r="T26" s="130">
        <v>106382.86</v>
      </c>
      <c r="U26" s="165"/>
      <c r="V26" s="166" t="s">
        <v>113</v>
      </c>
      <c r="W26" s="167"/>
      <c r="X26" s="168"/>
    </row>
    <row r="27" spans="1:24" ht="15.75" x14ac:dyDescent="0.25">
      <c r="A27" s="129">
        <v>42933</v>
      </c>
      <c r="B27" s="126" t="s">
        <v>588</v>
      </c>
      <c r="C27" s="130">
        <v>44509.919999999998</v>
      </c>
      <c r="D27" s="213" t="s">
        <v>615</v>
      </c>
      <c r="E27" s="130">
        <f>39137.47+5372.45</f>
        <v>44509.919999999998</v>
      </c>
      <c r="F27" s="128">
        <f t="shared" si="0"/>
        <v>0</v>
      </c>
      <c r="I27" s="341">
        <v>6259.6</v>
      </c>
      <c r="J27" s="126" t="s">
        <v>541</v>
      </c>
      <c r="K27" s="130">
        <v>6259.6</v>
      </c>
      <c r="L27" s="187"/>
      <c r="M27" s="166" t="s">
        <v>113</v>
      </c>
      <c r="N27" s="339">
        <v>0</v>
      </c>
      <c r="O27" s="187"/>
      <c r="R27" s="140"/>
      <c r="S27" s="126"/>
      <c r="T27" s="130"/>
      <c r="U27" s="165"/>
      <c r="V27" s="166" t="s">
        <v>113</v>
      </c>
      <c r="W27" s="167"/>
      <c r="X27" s="168"/>
    </row>
    <row r="28" spans="1:24" ht="15.75" x14ac:dyDescent="0.25">
      <c r="A28" s="129">
        <v>42933</v>
      </c>
      <c r="B28" s="126" t="s">
        <v>589</v>
      </c>
      <c r="C28" s="130">
        <v>63820.76</v>
      </c>
      <c r="D28" s="127">
        <v>42945</v>
      </c>
      <c r="E28" s="130">
        <v>63820.76</v>
      </c>
      <c r="F28" s="128">
        <f t="shared" si="0"/>
        <v>0</v>
      </c>
      <c r="I28" s="346" t="s">
        <v>64</v>
      </c>
      <c r="J28" s="126" t="s">
        <v>542</v>
      </c>
      <c r="K28" s="36">
        <v>57246.19</v>
      </c>
      <c r="L28" s="235" t="s">
        <v>202</v>
      </c>
      <c r="M28" s="184"/>
      <c r="N28" s="347"/>
      <c r="O28" s="224"/>
      <c r="R28" s="140"/>
      <c r="S28" s="126"/>
      <c r="T28" s="130"/>
      <c r="U28" s="183"/>
      <c r="V28" s="166" t="s">
        <v>113</v>
      </c>
      <c r="W28" s="185"/>
      <c r="X28" s="186"/>
    </row>
    <row r="29" spans="1:24" ht="16.5" thickBot="1" x14ac:dyDescent="0.3">
      <c r="A29" s="129">
        <v>42933</v>
      </c>
      <c r="B29" s="126" t="s">
        <v>590</v>
      </c>
      <c r="C29" s="130">
        <v>5400</v>
      </c>
      <c r="D29" s="127">
        <v>42945</v>
      </c>
      <c r="E29" s="130">
        <v>5400</v>
      </c>
      <c r="F29" s="128">
        <f t="shared" si="0"/>
        <v>0</v>
      </c>
      <c r="I29" s="342">
        <v>2599.6</v>
      </c>
      <c r="J29" s="143" t="s">
        <v>543</v>
      </c>
      <c r="K29" s="345">
        <v>2599.6</v>
      </c>
      <c r="L29" s="207"/>
      <c r="M29" s="343" t="s">
        <v>113</v>
      </c>
      <c r="N29" s="344">
        <v>0</v>
      </c>
      <c r="O29" s="207"/>
      <c r="R29" s="164"/>
      <c r="S29" s="126"/>
      <c r="T29" s="130"/>
      <c r="U29" s="235"/>
      <c r="V29" s="166" t="s">
        <v>113</v>
      </c>
      <c r="W29" s="301"/>
      <c r="X29" s="186"/>
    </row>
    <row r="30" spans="1:24" ht="17.25" thickTop="1" thickBot="1" x14ac:dyDescent="0.3">
      <c r="A30" s="129">
        <v>42934</v>
      </c>
      <c r="B30" s="126" t="s">
        <v>591</v>
      </c>
      <c r="C30" s="130">
        <v>57265.3</v>
      </c>
      <c r="D30" s="127">
        <v>42945</v>
      </c>
      <c r="E30" s="130">
        <v>57265.3</v>
      </c>
      <c r="F30" s="128">
        <f t="shared" si="0"/>
        <v>0</v>
      </c>
      <c r="I30" s="160">
        <f>SUM(I4:I29)</f>
        <v>926879.6599999998</v>
      </c>
      <c r="J30" s="163"/>
      <c r="K30" s="153">
        <f>SUM(K4:K29)</f>
        <v>983171.49999999988</v>
      </c>
      <c r="L30" s="163"/>
      <c r="M30" s="163"/>
      <c r="N30" s="153">
        <f>SUM(N4:N29)</f>
        <v>983171.5</v>
      </c>
      <c r="O30" s="163"/>
      <c r="R30" s="355">
        <v>0</v>
      </c>
      <c r="S30" s="143"/>
      <c r="T30" s="144">
        <v>0</v>
      </c>
      <c r="U30" s="207"/>
      <c r="V30" s="343" t="s">
        <v>113</v>
      </c>
      <c r="W30" s="356"/>
      <c r="X30" s="222"/>
    </row>
    <row r="31" spans="1:24" ht="16.5" thickTop="1" x14ac:dyDescent="0.25">
      <c r="A31" s="129">
        <v>42936</v>
      </c>
      <c r="B31" s="126" t="s">
        <v>593</v>
      </c>
      <c r="C31" s="130">
        <v>70956.39</v>
      </c>
      <c r="D31" s="127">
        <v>42945</v>
      </c>
      <c r="E31" s="130">
        <v>70956.39</v>
      </c>
      <c r="F31" s="128">
        <f t="shared" si="0"/>
        <v>0</v>
      </c>
      <c r="R31" s="36">
        <f>SUM(R20:R30)</f>
        <v>210480.77499999999</v>
      </c>
      <c r="S31" s="176"/>
      <c r="T31" s="36">
        <f>SUM(T20:T30)</f>
        <v>304325.12</v>
      </c>
      <c r="U31" s="100"/>
      <c r="V31" s="244"/>
      <c r="W31" s="303">
        <f>SUM(W20:W30)</f>
        <v>210477</v>
      </c>
      <c r="X31" s="245"/>
    </row>
    <row r="32" spans="1:24" ht="15.75" x14ac:dyDescent="0.25">
      <c r="A32" s="236">
        <v>42938</v>
      </c>
      <c r="B32" s="126" t="s">
        <v>602</v>
      </c>
      <c r="C32" s="130">
        <v>126598.88</v>
      </c>
      <c r="D32" s="136" t="s">
        <v>657</v>
      </c>
      <c r="E32" s="137">
        <f>120848.5+5750.38</f>
        <v>126598.88</v>
      </c>
      <c r="F32" s="128">
        <f t="shared" si="0"/>
        <v>0</v>
      </c>
      <c r="R32" s="351"/>
      <c r="S32" s="176"/>
      <c r="T32" s="36"/>
      <c r="U32" s="246"/>
      <c r="V32" s="244" t="s">
        <v>64</v>
      </c>
      <c r="W32" s="303"/>
      <c r="X32" s="245"/>
    </row>
    <row r="33" spans="1:15" x14ac:dyDescent="0.25">
      <c r="A33" s="236">
        <v>42938</v>
      </c>
      <c r="B33" s="126" t="s">
        <v>603</v>
      </c>
      <c r="C33" s="130">
        <v>24689.599999999999</v>
      </c>
      <c r="D33" s="127">
        <v>42945</v>
      </c>
      <c r="E33" s="130">
        <v>24689.599999999999</v>
      </c>
      <c r="F33" s="128">
        <f t="shared" si="0"/>
        <v>0</v>
      </c>
    </row>
    <row r="34" spans="1:15" ht="15.75" thickBot="1" x14ac:dyDescent="0.3">
      <c r="A34" s="236">
        <v>42940</v>
      </c>
      <c r="B34" s="126" t="s">
        <v>604</v>
      </c>
      <c r="C34" s="130">
        <v>29714.26</v>
      </c>
      <c r="D34" s="127">
        <v>42959</v>
      </c>
      <c r="E34" s="137">
        <v>29714.26</v>
      </c>
      <c r="F34" s="128">
        <f t="shared" si="0"/>
        <v>0</v>
      </c>
    </row>
    <row r="35" spans="1:15" ht="19.5" thickBot="1" x14ac:dyDescent="0.35">
      <c r="A35" s="236">
        <v>42942</v>
      </c>
      <c r="B35" s="126" t="s">
        <v>605</v>
      </c>
      <c r="C35" s="130">
        <v>14864.88</v>
      </c>
      <c r="D35" s="127">
        <v>42959</v>
      </c>
      <c r="E35" s="137">
        <v>14864.88</v>
      </c>
      <c r="F35" s="128">
        <f t="shared" si="0"/>
        <v>0</v>
      </c>
      <c r="J35" t="s">
        <v>64</v>
      </c>
      <c r="K35" s="154" t="s">
        <v>105</v>
      </c>
      <c r="L35" s="155"/>
      <c r="M35" s="156"/>
      <c r="N35" s="349">
        <v>42938</v>
      </c>
      <c r="O35" s="158"/>
    </row>
    <row r="36" spans="1:15" ht="15.75" x14ac:dyDescent="0.25">
      <c r="A36" s="236">
        <v>42942</v>
      </c>
      <c r="B36" s="126" t="s">
        <v>607</v>
      </c>
      <c r="C36" s="130">
        <v>107465.34</v>
      </c>
      <c r="D36" s="127">
        <v>42959</v>
      </c>
      <c r="E36" s="137">
        <v>107465.34</v>
      </c>
      <c r="F36" s="128">
        <f t="shared" si="0"/>
        <v>0</v>
      </c>
      <c r="J36" s="159"/>
      <c r="K36" s="160"/>
      <c r="L36" s="159"/>
      <c r="M36" s="161"/>
      <c r="N36" s="160"/>
      <c r="O36" s="162"/>
    </row>
    <row r="37" spans="1:15" ht="15.75" x14ac:dyDescent="0.25">
      <c r="A37" s="236">
        <v>42943</v>
      </c>
      <c r="B37" s="126" t="s">
        <v>606</v>
      </c>
      <c r="C37" s="4">
        <v>520</v>
      </c>
      <c r="D37" s="127">
        <v>42959</v>
      </c>
      <c r="E37" s="92">
        <v>520</v>
      </c>
      <c r="F37" s="128">
        <f t="shared" si="0"/>
        <v>0</v>
      </c>
      <c r="J37" s="163" t="s">
        <v>106</v>
      </c>
      <c r="K37" s="160" t="s">
        <v>107</v>
      </c>
      <c r="L37" s="159"/>
      <c r="M37" s="161" t="s">
        <v>108</v>
      </c>
      <c r="N37" s="160" t="s">
        <v>109</v>
      </c>
      <c r="O37" s="162"/>
    </row>
    <row r="38" spans="1:15" ht="15.75" x14ac:dyDescent="0.25">
      <c r="A38" s="236">
        <v>42944</v>
      </c>
      <c r="B38" s="126" t="s">
        <v>616</v>
      </c>
      <c r="C38" s="4">
        <v>39627.4</v>
      </c>
      <c r="D38" s="127">
        <v>42959</v>
      </c>
      <c r="E38" s="92">
        <v>39627.4</v>
      </c>
      <c r="F38" s="128">
        <f t="shared" si="0"/>
        <v>0</v>
      </c>
      <c r="I38" s="164">
        <v>37423.29</v>
      </c>
      <c r="J38" s="126" t="s">
        <v>542</v>
      </c>
      <c r="K38" s="130">
        <v>36465.81</v>
      </c>
      <c r="L38" s="165" t="s">
        <v>111</v>
      </c>
      <c r="M38" s="166" t="s">
        <v>113</v>
      </c>
      <c r="N38" s="167">
        <v>104553.5</v>
      </c>
      <c r="O38" s="168">
        <v>42931</v>
      </c>
    </row>
    <row r="39" spans="1:15" ht="15.75" x14ac:dyDescent="0.25">
      <c r="A39" s="236">
        <v>42945</v>
      </c>
      <c r="B39" s="126" t="s">
        <v>617</v>
      </c>
      <c r="C39" s="130">
        <v>106382.86</v>
      </c>
      <c r="D39" s="127">
        <v>42959</v>
      </c>
      <c r="E39" s="137">
        <v>106382.86</v>
      </c>
      <c r="F39" s="128">
        <f t="shared" si="0"/>
        <v>0</v>
      </c>
      <c r="I39" s="164">
        <f>59201.81+20604.58</f>
        <v>79806.39</v>
      </c>
      <c r="J39" s="126" t="s">
        <v>544</v>
      </c>
      <c r="K39" s="130">
        <v>79806.39</v>
      </c>
      <c r="L39" s="165"/>
      <c r="M39" s="166" t="s">
        <v>113</v>
      </c>
      <c r="N39" s="167">
        <v>59152</v>
      </c>
      <c r="O39" s="168">
        <v>42933</v>
      </c>
    </row>
    <row r="40" spans="1:15" ht="15.75" x14ac:dyDescent="0.25">
      <c r="A40" s="236">
        <v>42945</v>
      </c>
      <c r="B40" s="126" t="s">
        <v>618</v>
      </c>
      <c r="C40" s="130">
        <v>251.6</v>
      </c>
      <c r="D40" s="127">
        <v>42959</v>
      </c>
      <c r="E40" s="137">
        <v>251.6</v>
      </c>
      <c r="F40" s="128">
        <f t="shared" si="0"/>
        <v>0</v>
      </c>
      <c r="I40" s="140">
        <v>7928.6</v>
      </c>
      <c r="J40" s="126" t="s">
        <v>545</v>
      </c>
      <c r="K40" s="130">
        <v>7928.6</v>
      </c>
      <c r="L40" s="165"/>
      <c r="M40" s="166" t="s">
        <v>113</v>
      </c>
      <c r="N40" s="167">
        <v>40604.5</v>
      </c>
      <c r="O40" s="168">
        <v>42933</v>
      </c>
    </row>
    <row r="41" spans="1:15" ht="15.75" x14ac:dyDescent="0.25">
      <c r="A41" s="236">
        <v>42946</v>
      </c>
      <c r="B41" s="126" t="s">
        <v>624</v>
      </c>
      <c r="C41" s="36">
        <v>3465</v>
      </c>
      <c r="D41" s="127">
        <v>42959</v>
      </c>
      <c r="E41" s="368">
        <v>3465</v>
      </c>
      <c r="F41" s="128">
        <f t="shared" si="0"/>
        <v>0</v>
      </c>
      <c r="I41" s="140">
        <f>20000+59151.73+31768.92</f>
        <v>110920.65000000001</v>
      </c>
      <c r="J41" s="126" t="s">
        <v>546</v>
      </c>
      <c r="K41" s="130">
        <v>110920.65</v>
      </c>
      <c r="L41" s="165"/>
      <c r="M41" s="166" t="s">
        <v>113</v>
      </c>
      <c r="N41" s="167">
        <v>62707</v>
      </c>
      <c r="O41" s="168">
        <v>42933</v>
      </c>
    </row>
    <row r="42" spans="1:15" ht="16.5" thickBot="1" x14ac:dyDescent="0.3">
      <c r="A42" s="308">
        <v>42947</v>
      </c>
      <c r="B42" s="143" t="s">
        <v>619</v>
      </c>
      <c r="C42" s="144">
        <v>42648.54</v>
      </c>
      <c r="D42" s="127">
        <v>42959</v>
      </c>
      <c r="E42" s="269">
        <v>42648.54</v>
      </c>
      <c r="F42" s="128">
        <f t="shared" si="0"/>
        <v>0</v>
      </c>
      <c r="I42" s="140">
        <v>13194</v>
      </c>
      <c r="J42" s="126" t="s">
        <v>547</v>
      </c>
      <c r="K42" s="130">
        <v>13194</v>
      </c>
      <c r="L42" s="165"/>
      <c r="M42" s="166" t="s">
        <v>113</v>
      </c>
      <c r="N42" s="167">
        <v>66422</v>
      </c>
      <c r="O42" s="168">
        <v>42934</v>
      </c>
    </row>
    <row r="43" spans="1:15" ht="16.5" thickTop="1" x14ac:dyDescent="0.25">
      <c r="B43" s="44"/>
      <c r="C43" s="130">
        <f>SUM(C3:C42)</f>
        <v>1731784.8</v>
      </c>
      <c r="D43" s="148"/>
      <c r="E43" s="140">
        <f>SUM(E3:E42)</f>
        <v>1731784.8</v>
      </c>
      <c r="F43" s="130">
        <f>SUM(F3:F42)</f>
        <v>0</v>
      </c>
      <c r="I43" s="164">
        <v>700</v>
      </c>
      <c r="J43" s="126" t="s">
        <v>548</v>
      </c>
      <c r="K43" s="130">
        <v>700</v>
      </c>
      <c r="L43" s="165"/>
      <c r="M43" s="166" t="s">
        <v>113</v>
      </c>
      <c r="N43" s="167">
        <v>37333</v>
      </c>
      <c r="O43" s="168">
        <v>42935</v>
      </c>
    </row>
    <row r="44" spans="1:15" ht="15.75" x14ac:dyDescent="0.25">
      <c r="A44"/>
      <c r="B44" s="149"/>
      <c r="D44" s="149"/>
      <c r="I44" s="140">
        <f>17743.15+25262.45</f>
        <v>43005.600000000006</v>
      </c>
      <c r="J44" s="126" t="s">
        <v>549</v>
      </c>
      <c r="K44" s="130">
        <v>43005.599999999999</v>
      </c>
      <c r="L44" s="165"/>
      <c r="M44" s="166" t="s">
        <v>113</v>
      </c>
      <c r="N44" s="167">
        <v>200</v>
      </c>
      <c r="O44" s="168">
        <v>42936</v>
      </c>
    </row>
    <row r="45" spans="1:15" ht="15.75" x14ac:dyDescent="0.25">
      <c r="A45"/>
      <c r="B45" s="149">
        <v>42917</v>
      </c>
      <c r="C45" s="140">
        <v>3214</v>
      </c>
      <c r="D45" s="149" t="s">
        <v>555</v>
      </c>
      <c r="I45" s="140">
        <f>40459.28+37532.65+36691.45</f>
        <v>114683.37999999999</v>
      </c>
      <c r="J45" s="126" t="s">
        <v>587</v>
      </c>
      <c r="K45" s="130">
        <v>114683.38</v>
      </c>
      <c r="L45" s="165"/>
      <c r="M45" s="166" t="s">
        <v>113</v>
      </c>
      <c r="N45" s="167">
        <v>28373.5</v>
      </c>
      <c r="O45" s="168">
        <v>42936</v>
      </c>
    </row>
    <row r="46" spans="1:15" ht="15.75" x14ac:dyDescent="0.25">
      <c r="A46"/>
      <c r="B46" s="149">
        <v>42918</v>
      </c>
      <c r="C46" s="140">
        <v>661</v>
      </c>
      <c r="D46" s="149" t="s">
        <v>97</v>
      </c>
      <c r="I46" s="140">
        <v>4065.6</v>
      </c>
      <c r="J46" s="126" t="s">
        <v>592</v>
      </c>
      <c r="K46" s="130">
        <v>4065.6</v>
      </c>
      <c r="L46" s="183"/>
      <c r="M46" s="166" t="s">
        <v>113</v>
      </c>
      <c r="N46" s="185">
        <v>21500</v>
      </c>
      <c r="O46" s="186">
        <v>42935</v>
      </c>
    </row>
    <row r="47" spans="1:15" ht="15.75" x14ac:dyDescent="0.25">
      <c r="A47"/>
      <c r="B47" s="149">
        <v>42919</v>
      </c>
      <c r="C47" s="140">
        <v>785</v>
      </c>
      <c r="D47" s="149" t="s">
        <v>97</v>
      </c>
      <c r="F47"/>
      <c r="I47" s="164">
        <f>9116.52+29061.98</f>
        <v>38178.5</v>
      </c>
      <c r="J47" s="126" t="s">
        <v>588</v>
      </c>
      <c r="K47" s="130">
        <v>39137.47</v>
      </c>
      <c r="L47" s="235" t="s">
        <v>202</v>
      </c>
      <c r="M47" s="166" t="s">
        <v>113</v>
      </c>
      <c r="N47" s="301">
        <v>29062</v>
      </c>
      <c r="O47" s="186">
        <v>42937</v>
      </c>
    </row>
    <row r="48" spans="1:15" ht="16.5" thickBot="1" x14ac:dyDescent="0.3">
      <c r="A48"/>
      <c r="B48" s="149">
        <v>42920</v>
      </c>
      <c r="C48" s="140">
        <v>331</v>
      </c>
      <c r="D48" s="149" t="s">
        <v>367</v>
      </c>
      <c r="F48"/>
      <c r="I48" s="355">
        <v>0</v>
      </c>
      <c r="J48" s="143"/>
      <c r="K48" s="144">
        <v>0</v>
      </c>
      <c r="L48" s="207"/>
      <c r="M48" s="343" t="s">
        <v>113</v>
      </c>
      <c r="N48" s="356">
        <v>0</v>
      </c>
      <c r="O48" s="222"/>
    </row>
    <row r="49" spans="1:16" ht="16.5" thickTop="1" x14ac:dyDescent="0.25">
      <c r="A49"/>
      <c r="B49" s="149">
        <v>42921</v>
      </c>
      <c r="C49" s="140">
        <v>1140.5</v>
      </c>
      <c r="D49" s="149" t="s">
        <v>562</v>
      </c>
      <c r="F49"/>
      <c r="I49" s="36">
        <f>SUM(I38:I48)</f>
        <v>449906.01</v>
      </c>
      <c r="J49" s="176"/>
      <c r="K49" s="36">
        <f>SUM(K38:K48)</f>
        <v>449907.5</v>
      </c>
      <c r="L49" s="100"/>
      <c r="M49" s="244"/>
      <c r="N49" s="303">
        <f>SUM(N38:N48)</f>
        <v>449907.5</v>
      </c>
      <c r="O49" s="245"/>
    </row>
    <row r="50" spans="1:16" ht="15.75" x14ac:dyDescent="0.25">
      <c r="A50"/>
      <c r="B50" s="149">
        <v>42922</v>
      </c>
      <c r="C50" s="140">
        <v>513</v>
      </c>
      <c r="D50" s="149" t="s">
        <v>97</v>
      </c>
      <c r="F50"/>
      <c r="I50" s="351"/>
      <c r="J50" s="176"/>
      <c r="K50" s="36"/>
      <c r="L50" s="246"/>
      <c r="M50" s="244" t="s">
        <v>64</v>
      </c>
      <c r="N50" s="303"/>
      <c r="O50" s="245"/>
    </row>
    <row r="51" spans="1:16" ht="15.75" x14ac:dyDescent="0.25">
      <c r="A51"/>
      <c r="B51" s="149">
        <v>42923</v>
      </c>
      <c r="C51" s="140">
        <v>0</v>
      </c>
      <c r="D51" s="149"/>
      <c r="F51"/>
      <c r="I51" s="248"/>
      <c r="J51" s="176"/>
      <c r="K51" s="36"/>
      <c r="L51" s="100"/>
      <c r="M51" s="244"/>
      <c r="N51" s="303"/>
      <c r="O51" s="245"/>
    </row>
    <row r="52" spans="1:16" ht="15.75" x14ac:dyDescent="0.25">
      <c r="A52"/>
      <c r="B52" s="149">
        <v>42924</v>
      </c>
      <c r="C52" s="140">
        <v>0</v>
      </c>
      <c r="D52" s="149"/>
      <c r="F52"/>
      <c r="I52" s="248"/>
      <c r="J52" s="176"/>
      <c r="K52" s="36"/>
      <c r="L52" s="246"/>
      <c r="M52" s="244"/>
      <c r="N52" s="303"/>
      <c r="O52" s="245"/>
    </row>
    <row r="53" spans="1:16" ht="15.75" x14ac:dyDescent="0.25">
      <c r="A53"/>
      <c r="B53" s="149">
        <v>42925</v>
      </c>
      <c r="C53" s="140">
        <v>0</v>
      </c>
      <c r="D53" s="149"/>
      <c r="F53"/>
      <c r="I53" s="248"/>
      <c r="J53" s="176"/>
      <c r="K53" s="36"/>
      <c r="L53" s="100"/>
      <c r="M53" s="244"/>
      <c r="N53" s="303"/>
      <c r="O53" s="245"/>
    </row>
    <row r="54" spans="1:16" ht="15.75" x14ac:dyDescent="0.25">
      <c r="A54"/>
      <c r="B54" s="149">
        <v>42926</v>
      </c>
      <c r="C54" s="140">
        <v>0</v>
      </c>
      <c r="D54" s="149"/>
      <c r="F54"/>
      <c r="I54" s="248"/>
      <c r="J54" s="176"/>
      <c r="K54" s="36"/>
      <c r="L54" s="100"/>
      <c r="M54" s="244"/>
      <c r="N54" s="303"/>
      <c r="O54" s="245"/>
    </row>
    <row r="55" spans="1:16" ht="15.75" x14ac:dyDescent="0.25">
      <c r="A55"/>
      <c r="B55" s="149">
        <v>42927</v>
      </c>
      <c r="C55" s="140">
        <v>694</v>
      </c>
      <c r="D55" s="149" t="s">
        <v>97</v>
      </c>
      <c r="F55"/>
      <c r="I55" s="248"/>
      <c r="J55" s="176"/>
      <c r="K55" s="36"/>
      <c r="L55" s="100"/>
      <c r="M55" s="244"/>
      <c r="N55" s="303"/>
      <c r="O55" s="245"/>
    </row>
    <row r="56" spans="1:16" ht="15.75" x14ac:dyDescent="0.25">
      <c r="A56"/>
      <c r="B56" s="149">
        <v>42928</v>
      </c>
      <c r="C56" s="140">
        <v>260</v>
      </c>
      <c r="D56" s="149" t="s">
        <v>572</v>
      </c>
      <c r="E56"/>
      <c r="F56"/>
      <c r="I56" s="248"/>
      <c r="J56" s="176"/>
      <c r="K56" s="36"/>
      <c r="L56" s="100"/>
      <c r="M56" s="244"/>
      <c r="N56" s="303"/>
      <c r="O56" s="245"/>
    </row>
    <row r="57" spans="1:16" ht="15.75" x14ac:dyDescent="0.25">
      <c r="A57"/>
      <c r="B57" s="149">
        <v>42929</v>
      </c>
      <c r="C57" s="140">
        <v>0</v>
      </c>
      <c r="D57" s="149"/>
      <c r="E57"/>
      <c r="F57"/>
      <c r="I57" s="248"/>
      <c r="J57" s="176"/>
      <c r="K57" s="36"/>
      <c r="L57" s="100"/>
      <c r="M57" s="244"/>
      <c r="N57" s="247"/>
      <c r="O57" s="245"/>
    </row>
    <row r="58" spans="1:16" ht="15.75" x14ac:dyDescent="0.25">
      <c r="A58"/>
      <c r="B58" s="149">
        <v>42930</v>
      </c>
      <c r="C58" s="140">
        <v>454</v>
      </c>
      <c r="D58" s="149" t="s">
        <v>97</v>
      </c>
      <c r="E58"/>
      <c r="F58"/>
      <c r="I58" s="248"/>
      <c r="J58" s="176"/>
      <c r="K58" s="36"/>
      <c r="L58" s="178"/>
      <c r="M58" s="244"/>
      <c r="N58" s="249"/>
      <c r="O58" s="181"/>
    </row>
    <row r="59" spans="1:16" ht="15.75" x14ac:dyDescent="0.25">
      <c r="A59"/>
      <c r="B59" s="149">
        <v>42931</v>
      </c>
      <c r="C59" s="140">
        <v>305</v>
      </c>
      <c r="D59" s="149" t="s">
        <v>367</v>
      </c>
      <c r="E59"/>
      <c r="F59"/>
      <c r="I59" s="351"/>
      <c r="J59" s="176"/>
      <c r="K59" s="36"/>
      <c r="L59" s="100"/>
      <c r="M59" s="244"/>
      <c r="N59" s="249"/>
      <c r="O59" s="100"/>
    </row>
    <row r="60" spans="1:16" ht="15.75" x14ac:dyDescent="0.25">
      <c r="A60"/>
      <c r="B60" s="149">
        <v>42932</v>
      </c>
      <c r="C60" s="140">
        <v>0</v>
      </c>
      <c r="D60" s="149"/>
      <c r="E60"/>
      <c r="F60"/>
      <c r="H60" s="100"/>
      <c r="I60" s="351"/>
      <c r="J60" s="176"/>
      <c r="K60" s="36"/>
      <c r="L60" s="100"/>
      <c r="M60" s="244"/>
      <c r="N60" s="249"/>
      <c r="O60" s="100"/>
      <c r="P60" s="100"/>
    </row>
    <row r="61" spans="1:16" ht="15.75" x14ac:dyDescent="0.25">
      <c r="A61"/>
      <c r="B61" s="149">
        <v>42933</v>
      </c>
      <c r="C61" s="140">
        <v>0</v>
      </c>
      <c r="D61" s="149"/>
      <c r="E61"/>
      <c r="F61"/>
      <c r="H61" s="100"/>
      <c r="I61" s="351"/>
      <c r="J61" s="176"/>
      <c r="K61" s="36"/>
      <c r="L61" s="100"/>
      <c r="M61" s="244"/>
      <c r="N61" s="249"/>
      <c r="O61" s="100"/>
      <c r="P61" s="100"/>
    </row>
    <row r="62" spans="1:16" ht="15.75" x14ac:dyDescent="0.25">
      <c r="B62" s="149">
        <v>42934</v>
      </c>
      <c r="C62" s="140">
        <v>545.5</v>
      </c>
      <c r="D62" s="149" t="s">
        <v>97</v>
      </c>
      <c r="E62"/>
      <c r="H62" s="100"/>
      <c r="I62" s="351"/>
      <c r="J62" s="176"/>
      <c r="K62" s="36"/>
      <c r="L62" s="246"/>
      <c r="M62" s="244"/>
      <c r="N62" s="249"/>
      <c r="O62" s="100"/>
      <c r="P62" s="100"/>
    </row>
    <row r="63" spans="1:16" ht="15.75" x14ac:dyDescent="0.25">
      <c r="B63" s="149">
        <v>42935</v>
      </c>
      <c r="C63" s="140">
        <v>516</v>
      </c>
      <c r="D63" s="149" t="s">
        <v>97</v>
      </c>
      <c r="E63"/>
      <c r="H63" s="100"/>
      <c r="I63" s="177"/>
      <c r="J63" s="176"/>
      <c r="K63" s="36"/>
      <c r="L63" s="100"/>
      <c r="M63" s="244"/>
      <c r="N63" s="249"/>
      <c r="O63" s="100"/>
      <c r="P63" s="100"/>
    </row>
    <row r="64" spans="1:16" ht="15.75" x14ac:dyDescent="0.25">
      <c r="B64" s="149">
        <v>42936</v>
      </c>
      <c r="C64" s="140">
        <v>22</v>
      </c>
      <c r="D64" s="149" t="s">
        <v>508</v>
      </c>
      <c r="E64"/>
      <c r="H64" s="100"/>
      <c r="I64" s="352"/>
      <c r="J64" s="353"/>
      <c r="K64" s="354"/>
      <c r="L64" s="353"/>
      <c r="M64" s="353"/>
      <c r="N64" s="354"/>
      <c r="O64" s="353"/>
      <c r="P64" s="100"/>
    </row>
    <row r="65" spans="2:16" x14ac:dyDescent="0.25">
      <c r="B65" s="149">
        <v>42937</v>
      </c>
      <c r="C65" s="140">
        <v>400</v>
      </c>
      <c r="D65" s="149" t="s">
        <v>633</v>
      </c>
      <c r="E65"/>
      <c r="H65" s="100"/>
      <c r="I65" s="248"/>
      <c r="J65" s="100"/>
      <c r="K65" s="100"/>
      <c r="L65" s="100"/>
      <c r="M65" s="100"/>
      <c r="N65" s="100"/>
      <c r="O65" s="100"/>
      <c r="P65" s="100"/>
    </row>
    <row r="66" spans="2:16" x14ac:dyDescent="0.25">
      <c r="B66" s="149">
        <v>42938</v>
      </c>
      <c r="C66" s="140">
        <v>627</v>
      </c>
      <c r="D66" s="149" t="s">
        <v>634</v>
      </c>
      <c r="E66"/>
    </row>
    <row r="67" spans="2:16" x14ac:dyDescent="0.25">
      <c r="B67" s="149">
        <v>42939</v>
      </c>
      <c r="C67" s="140">
        <v>0</v>
      </c>
      <c r="D67" s="149"/>
      <c r="E67"/>
    </row>
    <row r="68" spans="2:16" x14ac:dyDescent="0.25">
      <c r="B68" s="149">
        <v>42940</v>
      </c>
      <c r="C68" s="140">
        <v>0</v>
      </c>
      <c r="D68" s="149"/>
      <c r="E68"/>
    </row>
    <row r="69" spans="2:16" x14ac:dyDescent="0.25">
      <c r="B69" s="149">
        <v>42941</v>
      </c>
      <c r="C69" s="140">
        <v>635</v>
      </c>
      <c r="D69" s="149" t="s">
        <v>97</v>
      </c>
      <c r="E69"/>
    </row>
    <row r="70" spans="2:16" x14ac:dyDescent="0.25">
      <c r="B70" s="149">
        <v>42942</v>
      </c>
      <c r="C70" s="164">
        <v>451</v>
      </c>
      <c r="D70" s="149" t="s">
        <v>635</v>
      </c>
      <c r="E70"/>
    </row>
    <row r="71" spans="2:16" x14ac:dyDescent="0.25">
      <c r="B71" s="149">
        <v>42943</v>
      </c>
      <c r="C71" s="140">
        <v>314.5</v>
      </c>
      <c r="D71" s="149" t="s">
        <v>367</v>
      </c>
    </row>
    <row r="72" spans="2:16" x14ac:dyDescent="0.25">
      <c r="B72" s="149">
        <v>42944</v>
      </c>
      <c r="C72" s="140">
        <v>471.5</v>
      </c>
      <c r="D72" s="149" t="s">
        <v>97</v>
      </c>
    </row>
    <row r="73" spans="2:16" x14ac:dyDescent="0.25">
      <c r="B73" s="149">
        <v>42945</v>
      </c>
      <c r="C73" s="140">
        <v>260</v>
      </c>
      <c r="D73" s="149" t="s">
        <v>636</v>
      </c>
    </row>
    <row r="74" spans="2:16" x14ac:dyDescent="0.25">
      <c r="B74" s="149">
        <v>42946</v>
      </c>
      <c r="C74" s="140">
        <v>462</v>
      </c>
      <c r="D74" s="149" t="s">
        <v>97</v>
      </c>
    </row>
    <row r="75" spans="2:16" x14ac:dyDescent="0.25">
      <c r="B75" s="149">
        <v>42947</v>
      </c>
      <c r="C75" s="140">
        <v>0</v>
      </c>
    </row>
    <row r="76" spans="2:16" x14ac:dyDescent="0.25">
      <c r="B76" s="149"/>
    </row>
    <row r="77" spans="2:16" ht="18.75" x14ac:dyDescent="0.3">
      <c r="C77" s="215">
        <f>SUM(C48:C76)</f>
        <v>8402</v>
      </c>
    </row>
  </sheetData>
  <sortState ref="A39:C42">
    <sortCondition ref="B39:B42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Q76"/>
  <sheetViews>
    <sheetView topLeftCell="A28" workbookViewId="0">
      <selection activeCell="P5" sqref="P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2.5703125" style="4" customWidth="1"/>
  </cols>
  <sheetData>
    <row r="1" spans="1:17" ht="23.25" x14ac:dyDescent="0.35">
      <c r="C1" s="425" t="s">
        <v>627</v>
      </c>
      <c r="D1" s="425"/>
      <c r="E1" s="425"/>
      <c r="F1" s="425"/>
      <c r="G1" s="425"/>
      <c r="H1" s="425"/>
      <c r="I1" s="425"/>
      <c r="J1" s="425"/>
      <c r="K1" s="425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K3" s="318" t="s">
        <v>568</v>
      </c>
      <c r="L3" s="318"/>
    </row>
    <row r="4" spans="1:17" ht="20.25" thickTop="1" thickBot="1" x14ac:dyDescent="0.35">
      <c r="A4" s="10" t="s">
        <v>3</v>
      </c>
      <c r="B4" s="11"/>
      <c r="C4" s="12">
        <v>196472.18</v>
      </c>
      <c r="D4" s="13"/>
      <c r="E4" s="426" t="s">
        <v>4</v>
      </c>
      <c r="F4" s="427"/>
      <c r="I4" s="428" t="s">
        <v>5</v>
      </c>
      <c r="J4" s="429"/>
      <c r="K4" s="429"/>
      <c r="L4" s="429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42948</v>
      </c>
      <c r="C5" s="286">
        <v>29609.13</v>
      </c>
      <c r="D5" s="238" t="s">
        <v>632</v>
      </c>
      <c r="E5" s="279">
        <v>42948</v>
      </c>
      <c r="F5" s="280">
        <v>28265.13</v>
      </c>
      <c r="G5" s="22"/>
      <c r="H5" s="23">
        <v>42948</v>
      </c>
      <c r="I5" s="291">
        <v>100</v>
      </c>
      <c r="J5" s="195"/>
      <c r="K5" s="26"/>
      <c r="L5" s="27"/>
      <c r="M5" s="196">
        <v>0</v>
      </c>
      <c r="N5" s="29">
        <v>100</v>
      </c>
      <c r="O5" s="22"/>
      <c r="P5" s="335"/>
    </row>
    <row r="6" spans="1:17" ht="15.75" thickBot="1" x14ac:dyDescent="0.3">
      <c r="A6" s="16"/>
      <c r="B6" s="287">
        <v>42949</v>
      </c>
      <c r="C6" s="288">
        <v>39464.19</v>
      </c>
      <c r="D6" s="239" t="s">
        <v>647</v>
      </c>
      <c r="E6" s="281">
        <v>42949</v>
      </c>
      <c r="F6" s="282">
        <v>39884.19</v>
      </c>
      <c r="G6" s="33"/>
      <c r="H6" s="23">
        <v>42949</v>
      </c>
      <c r="I6" s="292">
        <v>420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335"/>
    </row>
    <row r="7" spans="1:17" ht="15.75" thickBot="1" x14ac:dyDescent="0.3">
      <c r="A7" s="16"/>
      <c r="B7" s="287">
        <v>42950</v>
      </c>
      <c r="C7" s="288">
        <v>36689.089999999997</v>
      </c>
      <c r="D7" s="238" t="s">
        <v>648</v>
      </c>
      <c r="E7" s="281">
        <v>42950</v>
      </c>
      <c r="F7" s="282">
        <v>36879.089999999997</v>
      </c>
      <c r="G7" s="22"/>
      <c r="H7" s="23">
        <v>42950</v>
      </c>
      <c r="I7" s="292">
        <v>190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335"/>
    </row>
    <row r="8" spans="1:17" ht="15.75" thickBot="1" x14ac:dyDescent="0.3">
      <c r="A8" s="16"/>
      <c r="B8" s="287">
        <v>42951</v>
      </c>
      <c r="C8" s="288">
        <v>77754.53</v>
      </c>
      <c r="D8" s="238" t="s">
        <v>649</v>
      </c>
      <c r="E8" s="281">
        <v>42951</v>
      </c>
      <c r="F8" s="282">
        <v>79674.53</v>
      </c>
      <c r="G8" s="22"/>
      <c r="H8" s="23">
        <v>42951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42952</v>
      </c>
      <c r="C9" s="288">
        <v>76428.22</v>
      </c>
      <c r="D9" s="238" t="s">
        <v>651</v>
      </c>
      <c r="E9" s="281">
        <v>42952</v>
      </c>
      <c r="F9" s="282">
        <v>78500.72</v>
      </c>
      <c r="G9" s="22"/>
      <c r="H9" s="23">
        <v>42952</v>
      </c>
      <c r="I9" s="292">
        <v>100</v>
      </c>
      <c r="J9" s="42" t="s">
        <v>729</v>
      </c>
      <c r="K9" s="37" t="s">
        <v>664</v>
      </c>
      <c r="L9" s="32">
        <v>14087.78</v>
      </c>
      <c r="M9" s="39">
        <v>0</v>
      </c>
      <c r="N9" s="35">
        <v>100</v>
      </c>
      <c r="O9" s="44"/>
      <c r="P9" s="335"/>
    </row>
    <row r="10" spans="1:17" ht="16.5" thickBot="1" x14ac:dyDescent="0.3">
      <c r="A10" s="16"/>
      <c r="B10" s="287">
        <v>42953</v>
      </c>
      <c r="C10" s="288">
        <v>41830.339999999997</v>
      </c>
      <c r="D10" s="239" t="s">
        <v>652</v>
      </c>
      <c r="E10" s="281">
        <v>42953</v>
      </c>
      <c r="F10" s="282">
        <v>45430.34</v>
      </c>
      <c r="G10" s="22"/>
      <c r="H10" s="23">
        <v>42953</v>
      </c>
      <c r="I10" s="292">
        <v>100</v>
      </c>
      <c r="J10" s="42" t="s">
        <v>730</v>
      </c>
      <c r="K10" s="37" t="s">
        <v>665</v>
      </c>
      <c r="L10" s="32">
        <v>10240.280000000001</v>
      </c>
      <c r="M10" s="380">
        <v>3500</v>
      </c>
      <c r="N10" s="35">
        <v>100</v>
      </c>
      <c r="O10" s="36"/>
      <c r="P10" s="335"/>
    </row>
    <row r="11" spans="1:17" ht="15.75" thickBot="1" x14ac:dyDescent="0.3">
      <c r="A11" s="16"/>
      <c r="B11" s="287">
        <v>42954</v>
      </c>
      <c r="C11" s="288">
        <v>39449.15</v>
      </c>
      <c r="D11" s="240" t="s">
        <v>653</v>
      </c>
      <c r="E11" s="281">
        <v>42954</v>
      </c>
      <c r="F11" s="282">
        <v>39564.15</v>
      </c>
      <c r="G11" s="22"/>
      <c r="H11" s="23">
        <v>42954</v>
      </c>
      <c r="I11" s="292">
        <v>121</v>
      </c>
      <c r="J11" s="42" t="s">
        <v>731</v>
      </c>
      <c r="K11" s="37" t="s">
        <v>666</v>
      </c>
      <c r="L11" s="32">
        <v>10493.57</v>
      </c>
      <c r="M11" s="39">
        <v>0</v>
      </c>
      <c r="N11" s="35">
        <v>100</v>
      </c>
      <c r="O11" s="36"/>
      <c r="P11" s="335"/>
    </row>
    <row r="12" spans="1:17" ht="15.75" thickBot="1" x14ac:dyDescent="0.3">
      <c r="A12" s="16"/>
      <c r="B12" s="287">
        <v>42955</v>
      </c>
      <c r="C12" s="288">
        <v>36261.9</v>
      </c>
      <c r="D12" s="238" t="s">
        <v>654</v>
      </c>
      <c r="E12" s="281">
        <v>42955</v>
      </c>
      <c r="F12" s="282">
        <v>36755.9</v>
      </c>
      <c r="G12" s="22"/>
      <c r="H12" s="23">
        <v>42955</v>
      </c>
      <c r="I12" s="292">
        <v>494</v>
      </c>
      <c r="J12" s="42" t="s">
        <v>732</v>
      </c>
      <c r="K12" s="37" t="s">
        <v>667</v>
      </c>
      <c r="L12" s="32">
        <f>4250+10741.35</f>
        <v>14991.35</v>
      </c>
      <c r="M12" s="39">
        <v>0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42956</v>
      </c>
      <c r="C13" s="288">
        <v>37762.129999999997</v>
      </c>
      <c r="D13" s="239" t="s">
        <v>655</v>
      </c>
      <c r="E13" s="281">
        <v>42956</v>
      </c>
      <c r="F13" s="282">
        <v>38886.33</v>
      </c>
      <c r="G13" s="22"/>
      <c r="H13" s="23">
        <v>42956</v>
      </c>
      <c r="I13" s="292">
        <v>1124.2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</row>
    <row r="14" spans="1:17" ht="15.75" thickBot="1" x14ac:dyDescent="0.3">
      <c r="A14" s="16"/>
      <c r="B14" s="287">
        <v>42957</v>
      </c>
      <c r="C14" s="288">
        <v>27965.87</v>
      </c>
      <c r="D14" s="238" t="s">
        <v>675</v>
      </c>
      <c r="E14" s="281">
        <v>42957</v>
      </c>
      <c r="F14" s="282">
        <v>29091.87</v>
      </c>
      <c r="G14" s="22"/>
      <c r="H14" s="23">
        <v>42957</v>
      </c>
      <c r="I14" s="292">
        <v>156</v>
      </c>
      <c r="J14" s="42" t="s">
        <v>701</v>
      </c>
      <c r="K14" s="178" t="s">
        <v>29</v>
      </c>
      <c r="L14" s="32">
        <v>1750</v>
      </c>
      <c r="M14" s="39">
        <v>0</v>
      </c>
      <c r="N14" s="35">
        <v>100</v>
      </c>
      <c r="O14" s="22"/>
      <c r="P14" s="335"/>
    </row>
    <row r="15" spans="1:17" ht="15.75" thickBot="1" x14ac:dyDescent="0.3">
      <c r="A15" s="16"/>
      <c r="B15" s="287">
        <v>42958</v>
      </c>
      <c r="C15" s="288">
        <v>75222.23</v>
      </c>
      <c r="D15" s="238" t="s">
        <v>676</v>
      </c>
      <c r="E15" s="281">
        <v>42958</v>
      </c>
      <c r="F15" s="282">
        <v>75656.73</v>
      </c>
      <c r="G15" s="22"/>
      <c r="H15" s="23">
        <v>42958</v>
      </c>
      <c r="I15" s="292">
        <v>434.5</v>
      </c>
      <c r="J15" s="265"/>
      <c r="K15" s="49" t="s">
        <v>726</v>
      </c>
      <c r="L15" s="32">
        <v>445</v>
      </c>
      <c r="M15" s="39">
        <v>0</v>
      </c>
      <c r="N15" s="35">
        <v>100</v>
      </c>
      <c r="O15" s="22"/>
      <c r="P15" s="335"/>
    </row>
    <row r="16" spans="1:17" ht="15.75" thickBot="1" x14ac:dyDescent="0.3">
      <c r="A16" s="16"/>
      <c r="B16" s="287">
        <v>42959</v>
      </c>
      <c r="C16" s="288">
        <v>65606.91</v>
      </c>
      <c r="D16" s="238" t="s">
        <v>677</v>
      </c>
      <c r="E16" s="281">
        <v>42959</v>
      </c>
      <c r="F16" s="282">
        <v>65272.91</v>
      </c>
      <c r="G16" s="22"/>
      <c r="H16" s="23">
        <v>42959</v>
      </c>
      <c r="I16" s="292">
        <v>100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35"/>
    </row>
    <row r="17" spans="1:17" ht="15.75" thickBot="1" x14ac:dyDescent="0.3">
      <c r="A17" s="16"/>
      <c r="B17" s="287">
        <v>42960</v>
      </c>
      <c r="C17" s="288">
        <v>56705.62</v>
      </c>
      <c r="D17" s="238" t="s">
        <v>679</v>
      </c>
      <c r="E17" s="281">
        <v>42960</v>
      </c>
      <c r="F17" s="282">
        <v>60305.62</v>
      </c>
      <c r="G17" s="22"/>
      <c r="H17" s="23">
        <v>42960</v>
      </c>
      <c r="I17" s="292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335"/>
    </row>
    <row r="18" spans="1:17" ht="15.75" thickBot="1" x14ac:dyDescent="0.3">
      <c r="A18" s="16"/>
      <c r="B18" s="287">
        <v>42961</v>
      </c>
      <c r="C18" s="288">
        <v>35077.370000000003</v>
      </c>
      <c r="D18" s="238" t="s">
        <v>681</v>
      </c>
      <c r="E18" s="281">
        <v>42961</v>
      </c>
      <c r="F18" s="282">
        <v>36177.370000000003</v>
      </c>
      <c r="G18" s="22"/>
      <c r="H18" s="23">
        <v>42961</v>
      </c>
      <c r="I18" s="292">
        <v>100</v>
      </c>
      <c r="J18" s="42"/>
      <c r="K18" s="53" t="s">
        <v>569</v>
      </c>
      <c r="L18" s="32">
        <v>0</v>
      </c>
      <c r="M18" s="39">
        <v>0</v>
      </c>
      <c r="N18" s="35">
        <v>100</v>
      </c>
      <c r="O18" s="44"/>
      <c r="P18" s="335"/>
    </row>
    <row r="19" spans="1:17" ht="15.75" thickBot="1" x14ac:dyDescent="0.3">
      <c r="A19" s="16"/>
      <c r="B19" s="287">
        <v>42962</v>
      </c>
      <c r="C19" s="288">
        <v>40409.870000000003</v>
      </c>
      <c r="D19" s="238" t="s">
        <v>682</v>
      </c>
      <c r="E19" s="281">
        <v>42962</v>
      </c>
      <c r="F19" s="282">
        <v>40588.870000000003</v>
      </c>
      <c r="G19" s="22"/>
      <c r="H19" s="23">
        <v>42962</v>
      </c>
      <c r="I19" s="292">
        <v>179</v>
      </c>
      <c r="J19" s="42"/>
      <c r="K19" s="53"/>
      <c r="L19" s="54">
        <v>0</v>
      </c>
      <c r="M19" s="39">
        <v>0</v>
      </c>
      <c r="N19" s="35">
        <v>100</v>
      </c>
      <c r="O19" s="22"/>
      <c r="P19" s="335"/>
    </row>
    <row r="20" spans="1:17" ht="15.75" thickBot="1" x14ac:dyDescent="0.3">
      <c r="A20" s="16"/>
      <c r="B20" s="287">
        <v>42963</v>
      </c>
      <c r="C20" s="288">
        <v>28954.82</v>
      </c>
      <c r="D20" s="239" t="s">
        <v>683</v>
      </c>
      <c r="E20" s="281">
        <v>42963</v>
      </c>
      <c r="F20" s="282">
        <v>29080.33</v>
      </c>
      <c r="G20" s="22"/>
      <c r="H20" s="23">
        <v>42963</v>
      </c>
      <c r="I20" s="292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44"/>
      <c r="P20" s="22" t="s">
        <v>684</v>
      </c>
      <c r="Q20">
        <v>25.33</v>
      </c>
    </row>
    <row r="21" spans="1:17" ht="15.75" thickBot="1" x14ac:dyDescent="0.3">
      <c r="A21" s="16"/>
      <c r="B21" s="287">
        <v>42964</v>
      </c>
      <c r="C21" s="288">
        <v>44091.45</v>
      </c>
      <c r="D21" s="238" t="s">
        <v>685</v>
      </c>
      <c r="E21" s="281">
        <v>42964</v>
      </c>
      <c r="F21" s="282">
        <v>44199.45</v>
      </c>
      <c r="G21" s="22"/>
      <c r="H21" s="23">
        <v>42964</v>
      </c>
      <c r="I21" s="292">
        <v>108</v>
      </c>
      <c r="J21" s="42"/>
      <c r="K21" s="57" t="s">
        <v>418</v>
      </c>
      <c r="L21" s="51">
        <v>1450</v>
      </c>
      <c r="M21" s="39">
        <v>0</v>
      </c>
      <c r="N21" s="35">
        <v>100</v>
      </c>
      <c r="O21" s="44"/>
      <c r="P21" s="44"/>
    </row>
    <row r="22" spans="1:17" ht="15.75" thickBot="1" x14ac:dyDescent="0.3">
      <c r="A22" s="16"/>
      <c r="B22" s="287">
        <v>42965</v>
      </c>
      <c r="C22" s="288">
        <v>42631.97</v>
      </c>
      <c r="D22" s="238" t="s">
        <v>686</v>
      </c>
      <c r="E22" s="281">
        <v>42965</v>
      </c>
      <c r="F22" s="282">
        <v>59810.09</v>
      </c>
      <c r="G22" s="22"/>
      <c r="H22" s="23">
        <v>42965</v>
      </c>
      <c r="I22" s="292">
        <v>125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</row>
    <row r="23" spans="1:17" ht="15.75" thickBot="1" x14ac:dyDescent="0.3">
      <c r="A23" s="16"/>
      <c r="B23" s="287">
        <v>42966</v>
      </c>
      <c r="C23" s="288">
        <v>70537.960000000006</v>
      </c>
      <c r="D23" s="241" t="s">
        <v>687</v>
      </c>
      <c r="E23" s="281">
        <v>42966</v>
      </c>
      <c r="F23" s="282">
        <v>70697.960000000006</v>
      </c>
      <c r="G23" s="22"/>
      <c r="H23" s="23">
        <v>42966</v>
      </c>
      <c r="I23" s="292">
        <v>160</v>
      </c>
      <c r="J23" s="36"/>
      <c r="K23" s="61">
        <v>42957</v>
      </c>
      <c r="L23" s="51">
        <v>0</v>
      </c>
      <c r="M23" s="39">
        <v>0</v>
      </c>
      <c r="N23" s="35">
        <v>100</v>
      </c>
      <c r="P23" s="22"/>
    </row>
    <row r="24" spans="1:17" ht="15.75" thickBot="1" x14ac:dyDescent="0.3">
      <c r="A24" s="16"/>
      <c r="B24" s="287">
        <v>42967</v>
      </c>
      <c r="C24" s="288">
        <v>54897.83</v>
      </c>
      <c r="D24" s="238" t="s">
        <v>688</v>
      </c>
      <c r="E24" s="281">
        <v>42967</v>
      </c>
      <c r="F24" s="282">
        <v>59183.83</v>
      </c>
      <c r="G24" s="22"/>
      <c r="H24" s="23">
        <v>42967</v>
      </c>
      <c r="I24" s="292">
        <v>786</v>
      </c>
      <c r="J24" s="42"/>
      <c r="K24" s="263"/>
      <c r="L24" s="51">
        <v>0</v>
      </c>
      <c r="M24" s="39">
        <v>0</v>
      </c>
      <c r="N24" s="35">
        <v>100</v>
      </c>
      <c r="P24" s="22"/>
    </row>
    <row r="25" spans="1:17" ht="15.75" thickBot="1" x14ac:dyDescent="0.3">
      <c r="A25" s="16"/>
      <c r="B25" s="287">
        <v>42968</v>
      </c>
      <c r="C25" s="288">
        <v>54107.5</v>
      </c>
      <c r="D25" s="241" t="s">
        <v>695</v>
      </c>
      <c r="E25" s="281">
        <v>42968</v>
      </c>
      <c r="F25" s="282">
        <v>54440.66</v>
      </c>
      <c r="G25" s="22"/>
      <c r="H25" s="23">
        <v>42968</v>
      </c>
      <c r="I25" s="292">
        <v>333.16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</row>
    <row r="26" spans="1:17" ht="15.75" thickBot="1" x14ac:dyDescent="0.3">
      <c r="A26" s="16"/>
      <c r="B26" s="287">
        <v>42969</v>
      </c>
      <c r="C26" s="288">
        <v>29679.85</v>
      </c>
      <c r="D26" s="238" t="s">
        <v>696</v>
      </c>
      <c r="E26" s="281">
        <v>42969</v>
      </c>
      <c r="F26" s="282">
        <v>29795.85</v>
      </c>
      <c r="G26" s="22"/>
      <c r="H26" s="23">
        <v>42969</v>
      </c>
      <c r="I26" s="292">
        <v>116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</row>
    <row r="27" spans="1:17" ht="15.75" thickBot="1" x14ac:dyDescent="0.3">
      <c r="A27" s="16"/>
      <c r="B27" s="287">
        <v>42970</v>
      </c>
      <c r="C27" s="288">
        <v>39486.46</v>
      </c>
      <c r="D27" s="238" t="s">
        <v>697</v>
      </c>
      <c r="E27" s="281">
        <v>42970</v>
      </c>
      <c r="F27" s="282">
        <v>39626.46</v>
      </c>
      <c r="G27" s="22"/>
      <c r="H27" s="23">
        <v>42970</v>
      </c>
      <c r="I27" s="292">
        <v>140</v>
      </c>
      <c r="J27" s="36"/>
      <c r="K27" s="64" t="s">
        <v>678</v>
      </c>
      <c r="L27" s="51">
        <v>3500</v>
      </c>
      <c r="M27" s="39">
        <v>0</v>
      </c>
      <c r="N27" s="35">
        <v>100</v>
      </c>
      <c r="O27" s="22"/>
      <c r="P27" s="22"/>
    </row>
    <row r="28" spans="1:17" ht="15.75" thickBot="1" x14ac:dyDescent="0.3">
      <c r="A28" s="16"/>
      <c r="B28" s="287">
        <v>42971</v>
      </c>
      <c r="C28" s="288">
        <v>27872.52</v>
      </c>
      <c r="D28" s="238" t="s">
        <v>699</v>
      </c>
      <c r="E28" s="281">
        <v>42971</v>
      </c>
      <c r="F28" s="282">
        <v>27872.52</v>
      </c>
      <c r="G28" s="22"/>
      <c r="H28" s="23">
        <v>42971</v>
      </c>
      <c r="I28" s="292">
        <v>0</v>
      </c>
      <c r="J28" s="36"/>
      <c r="K28" s="64" t="s">
        <v>680</v>
      </c>
      <c r="L28" s="51">
        <v>1000</v>
      </c>
      <c r="M28" s="39">
        <v>0</v>
      </c>
      <c r="N28" s="35">
        <v>0</v>
      </c>
      <c r="O28" s="44"/>
      <c r="P28" s="22"/>
    </row>
    <row r="29" spans="1:17" ht="16.5" thickBot="1" x14ac:dyDescent="0.3">
      <c r="A29" s="16"/>
      <c r="B29" s="287">
        <v>42972</v>
      </c>
      <c r="C29" s="288">
        <v>71606.31</v>
      </c>
      <c r="D29" s="238" t="s">
        <v>702</v>
      </c>
      <c r="E29" s="281">
        <v>42972</v>
      </c>
      <c r="F29" s="282">
        <v>76139.31</v>
      </c>
      <c r="G29" s="22"/>
      <c r="H29" s="23">
        <v>42972</v>
      </c>
      <c r="I29" s="292">
        <v>283</v>
      </c>
      <c r="J29" s="36"/>
      <c r="K29" s="350" t="s">
        <v>704</v>
      </c>
      <c r="L29" s="51">
        <v>3500</v>
      </c>
      <c r="M29" s="39">
        <v>0</v>
      </c>
      <c r="N29" s="35">
        <v>200</v>
      </c>
      <c r="O29" s="44"/>
      <c r="P29" s="44"/>
    </row>
    <row r="30" spans="1:17" ht="15.75" thickBot="1" x14ac:dyDescent="0.3">
      <c r="A30" s="16"/>
      <c r="B30" s="287">
        <v>42973</v>
      </c>
      <c r="C30" s="288">
        <v>66536.56</v>
      </c>
      <c r="D30" s="238" t="s">
        <v>703</v>
      </c>
      <c r="E30" s="281">
        <v>42973</v>
      </c>
      <c r="F30" s="282">
        <v>66756.56</v>
      </c>
      <c r="G30" s="22"/>
      <c r="H30" s="23">
        <v>42973</v>
      </c>
      <c r="I30" s="292">
        <v>220</v>
      </c>
      <c r="J30" s="63"/>
      <c r="K30" s="64" t="s">
        <v>705</v>
      </c>
      <c r="L30" s="51">
        <v>500</v>
      </c>
      <c r="M30" s="39">
        <v>0</v>
      </c>
      <c r="N30" s="35">
        <v>100</v>
      </c>
      <c r="O30" s="22"/>
      <c r="P30" s="22"/>
    </row>
    <row r="31" spans="1:17" ht="15.75" thickBot="1" x14ac:dyDescent="0.3">
      <c r="A31" s="16"/>
      <c r="B31" s="287">
        <v>42974</v>
      </c>
      <c r="C31" s="288">
        <v>39420.559999999998</v>
      </c>
      <c r="D31" s="238" t="s">
        <v>706</v>
      </c>
      <c r="E31" s="281">
        <v>42974</v>
      </c>
      <c r="F31" s="282">
        <v>43220.56</v>
      </c>
      <c r="G31" s="22"/>
      <c r="H31" s="23">
        <v>42974</v>
      </c>
      <c r="I31" s="292">
        <v>30</v>
      </c>
      <c r="J31" s="42"/>
      <c r="K31" s="66" t="s">
        <v>628</v>
      </c>
      <c r="L31" s="362"/>
      <c r="M31" s="39">
        <v>0</v>
      </c>
      <c r="N31" s="35">
        <v>100</v>
      </c>
      <c r="O31" s="44"/>
      <c r="P31" s="44"/>
    </row>
    <row r="32" spans="1:17" ht="15.75" thickBot="1" x14ac:dyDescent="0.3">
      <c r="A32" s="16"/>
      <c r="B32" s="287">
        <v>42975</v>
      </c>
      <c r="C32" s="288">
        <v>43821.45</v>
      </c>
      <c r="D32" s="238" t="s">
        <v>713</v>
      </c>
      <c r="E32" s="281">
        <v>42975</v>
      </c>
      <c r="F32" s="282">
        <v>44421.45</v>
      </c>
      <c r="G32" s="22"/>
      <c r="H32" s="23">
        <v>42975</v>
      </c>
      <c r="I32" s="292">
        <v>100</v>
      </c>
      <c r="J32" s="36"/>
      <c r="K32" s="64" t="s">
        <v>629</v>
      </c>
      <c r="L32" s="363"/>
      <c r="M32" s="39"/>
      <c r="N32" s="35">
        <v>100</v>
      </c>
      <c r="O32" s="22"/>
      <c r="P32" s="22"/>
    </row>
    <row r="33" spans="1:16" ht="15.75" thickBot="1" x14ac:dyDescent="0.3">
      <c r="A33" s="16"/>
      <c r="B33" s="287">
        <v>42976</v>
      </c>
      <c r="C33" s="288">
        <v>30642.01</v>
      </c>
      <c r="D33" s="240" t="s">
        <v>724</v>
      </c>
      <c r="E33" s="281">
        <v>42976</v>
      </c>
      <c r="F33" s="284">
        <v>30742.01</v>
      </c>
      <c r="G33" s="22"/>
      <c r="H33" s="23">
        <v>42976</v>
      </c>
      <c r="I33" s="292">
        <v>100</v>
      </c>
      <c r="J33" s="36"/>
      <c r="K33" s="69" t="s">
        <v>626</v>
      </c>
      <c r="L33" s="430">
        <v>0</v>
      </c>
      <c r="M33" s="39">
        <v>0</v>
      </c>
      <c r="N33" s="35">
        <v>100</v>
      </c>
      <c r="O33" s="22"/>
      <c r="P33" s="22"/>
    </row>
    <row r="34" spans="1:16" ht="15.75" thickBot="1" x14ac:dyDescent="0.3">
      <c r="A34" s="16"/>
      <c r="B34" s="287">
        <v>42977</v>
      </c>
      <c r="C34" s="332">
        <v>32444.71</v>
      </c>
      <c r="D34" s="238" t="s">
        <v>725</v>
      </c>
      <c r="E34" s="379">
        <v>42977</v>
      </c>
      <c r="F34" s="332">
        <v>32594.71</v>
      </c>
      <c r="G34" s="22"/>
      <c r="H34" s="23">
        <v>42977</v>
      </c>
      <c r="I34" s="292">
        <v>150</v>
      </c>
      <c r="J34" s="36"/>
      <c r="K34" s="69"/>
      <c r="L34" s="431"/>
      <c r="M34" s="39">
        <v>0</v>
      </c>
      <c r="N34" s="35">
        <v>100</v>
      </c>
      <c r="O34" s="22"/>
    </row>
    <row r="35" spans="1:16" ht="15.75" thickBot="1" x14ac:dyDescent="0.3">
      <c r="A35" s="16"/>
      <c r="B35" s="287">
        <v>42978</v>
      </c>
      <c r="C35" s="332">
        <v>811</v>
      </c>
      <c r="D35" s="382" t="s">
        <v>727</v>
      </c>
      <c r="E35" s="379">
        <v>42978</v>
      </c>
      <c r="F35" s="332">
        <v>29406.41</v>
      </c>
      <c r="G35" s="22"/>
      <c r="H35" s="23">
        <v>42978</v>
      </c>
      <c r="I35" s="292">
        <v>190</v>
      </c>
      <c r="J35" s="36"/>
      <c r="K35" s="432"/>
      <c r="L35" s="38">
        <v>0</v>
      </c>
      <c r="M35" s="381">
        <v>27960.5</v>
      </c>
      <c r="N35" s="70">
        <v>100</v>
      </c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32"/>
      <c r="L36" s="41"/>
      <c r="M36" s="78">
        <v>0</v>
      </c>
      <c r="N36" s="384">
        <f>SUM(N5:N35)</f>
        <v>3100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383">
        <f>SUM(M5:M36)</f>
        <v>31460.5</v>
      </c>
      <c r="N37" s="385" t="s">
        <v>734</v>
      </c>
    </row>
    <row r="38" spans="1:16" x14ac:dyDescent="0.25">
      <c r="B38" s="91" t="s">
        <v>60</v>
      </c>
      <c r="C38" s="92">
        <f>SUM(C5:C37)</f>
        <v>1393779.51</v>
      </c>
      <c r="E38" s="359" t="s">
        <v>60</v>
      </c>
      <c r="F38" s="94">
        <f>SUM(F5:F37)</f>
        <v>1468921.91</v>
      </c>
      <c r="H38" s="6" t="s">
        <v>60</v>
      </c>
      <c r="I38" s="4">
        <f>SUM(I5:I37)</f>
        <v>6759.86</v>
      </c>
      <c r="J38" s="4"/>
      <c r="K38" s="95" t="s">
        <v>60</v>
      </c>
      <c r="L38" s="96">
        <f>SUM(L5:L37)</f>
        <v>92126.98</v>
      </c>
    </row>
    <row r="40" spans="1:16" ht="15.75" x14ac:dyDescent="0.25">
      <c r="A40" s="97"/>
      <c r="B40" s="98"/>
      <c r="C40" s="36"/>
      <c r="D40" s="99"/>
      <c r="E40" s="100"/>
      <c r="F40" s="77"/>
      <c r="H40" s="421" t="s">
        <v>61</v>
      </c>
      <c r="I40" s="422"/>
      <c r="J40" s="361"/>
      <c r="K40" s="423">
        <f>I38+L38</f>
        <v>98886.84</v>
      </c>
      <c r="L40" s="424"/>
    </row>
    <row r="41" spans="1:16" ht="15.75" x14ac:dyDescent="0.25">
      <c r="B41" s="102"/>
      <c r="C41" s="77"/>
      <c r="D41" s="408" t="s">
        <v>62</v>
      </c>
      <c r="E41" s="408"/>
      <c r="F41" s="103">
        <f>F38-K40</f>
        <v>1370035.0699999998</v>
      </c>
      <c r="I41" s="104"/>
      <c r="J41" s="104"/>
    </row>
    <row r="42" spans="1:16" ht="15.75" x14ac:dyDescent="0.25">
      <c r="D42" s="409" t="s">
        <v>63</v>
      </c>
      <c r="E42" s="409"/>
      <c r="F42" s="103">
        <v>-1327946.97</v>
      </c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42088.09999999986</v>
      </c>
      <c r="I44" s="410" t="s">
        <v>66</v>
      </c>
      <c r="J44" s="411"/>
      <c r="K44" s="414">
        <f>F48+L46</f>
        <v>228472.71999999986</v>
      </c>
      <c r="L44" s="415"/>
    </row>
    <row r="45" spans="1:16" ht="15.75" thickBot="1" x14ac:dyDescent="0.3">
      <c r="D45" s="108" t="s">
        <v>67</v>
      </c>
      <c r="E45" s="97" t="s">
        <v>68</v>
      </c>
      <c r="F45" s="4">
        <v>15683.84</v>
      </c>
      <c r="I45" s="412"/>
      <c r="J45" s="413"/>
      <c r="K45" s="416"/>
      <c r="L45" s="417"/>
    </row>
    <row r="46" spans="1:16" ht="17.25" thickTop="1" thickBot="1" x14ac:dyDescent="0.3">
      <c r="C46" s="94"/>
      <c r="D46" s="418" t="s">
        <v>69</v>
      </c>
      <c r="E46" s="418"/>
      <c r="F46" s="109">
        <v>170700.78</v>
      </c>
      <c r="I46" s="419"/>
      <c r="J46" s="419"/>
      <c r="K46" s="420"/>
      <c r="L46" s="110"/>
    </row>
    <row r="47" spans="1:16" ht="19.5" thickBot="1" x14ac:dyDescent="0.35">
      <c r="C47" s="94"/>
      <c r="D47" s="359"/>
      <c r="E47" s="359"/>
      <c r="F47" s="111"/>
      <c r="H47" s="112"/>
      <c r="I47" s="360" t="s">
        <v>275</v>
      </c>
      <c r="J47" s="360"/>
      <c r="K47" s="402">
        <f>-C4</f>
        <v>-196472.18</v>
      </c>
      <c r="L47" s="402"/>
      <c r="M47" s="114"/>
    </row>
    <row r="48" spans="1:16" ht="17.25" thickTop="1" thickBot="1" x14ac:dyDescent="0.3">
      <c r="E48" s="115" t="s">
        <v>71</v>
      </c>
      <c r="F48" s="116">
        <f>F44+F45+F46</f>
        <v>228472.71999999986</v>
      </c>
    </row>
    <row r="49" spans="2:14" ht="19.5" thickBot="1" x14ac:dyDescent="0.35">
      <c r="B49"/>
      <c r="C49"/>
      <c r="D49" s="403"/>
      <c r="E49" s="403"/>
      <c r="F49" s="77"/>
      <c r="I49" s="443" t="s">
        <v>733</v>
      </c>
      <c r="J49" s="444"/>
      <c r="K49" s="445">
        <f>K44+K47</f>
        <v>32000.539999999863</v>
      </c>
      <c r="L49" s="446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7">
    <mergeCell ref="C1:K1"/>
    <mergeCell ref="E4:F4"/>
    <mergeCell ref="I4:L4"/>
    <mergeCell ref="L33:L34"/>
    <mergeCell ref="K35:K36"/>
    <mergeCell ref="H40:I40"/>
    <mergeCell ref="K40:L40"/>
    <mergeCell ref="D41:E41"/>
    <mergeCell ref="D42:E42"/>
    <mergeCell ref="I44:J45"/>
    <mergeCell ref="K44:L45"/>
    <mergeCell ref="D46:E46"/>
    <mergeCell ref="I46:K46"/>
    <mergeCell ref="K47:L47"/>
    <mergeCell ref="D49:E49"/>
    <mergeCell ref="I49:J49"/>
    <mergeCell ref="K49:L49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2"/>
  <sheetViews>
    <sheetView topLeftCell="A21" workbookViewId="0">
      <selection activeCell="E35" sqref="E35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.140625" customWidth="1"/>
    <col min="14" max="14" width="11.140625" bestFit="1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" customWidth="1"/>
    <col min="24" max="24" width="20.140625" bestFit="1" customWidth="1"/>
    <col min="25" max="25" width="12.7109375" bestFit="1" customWidth="1"/>
  </cols>
  <sheetData>
    <row r="1" spans="1:25" ht="19.5" thickBot="1" x14ac:dyDescent="0.35">
      <c r="B1" s="118" t="s">
        <v>630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182">
        <v>42959</v>
      </c>
      <c r="P1" s="158"/>
      <c r="S1" s="151"/>
      <c r="T1" t="s">
        <v>64</v>
      </c>
      <c r="U1" s="154" t="s">
        <v>105</v>
      </c>
      <c r="V1" s="155"/>
      <c r="W1" s="156"/>
      <c r="X1" s="370">
        <v>42976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1"/>
      <c r="K2" s="159"/>
      <c r="L2" s="160"/>
      <c r="M2" s="159"/>
      <c r="N2" s="161"/>
      <c r="O2" s="160"/>
      <c r="P2" s="162"/>
      <c r="S2" s="151"/>
      <c r="T2" s="159"/>
      <c r="U2" s="160"/>
      <c r="V2" s="159"/>
      <c r="W2" s="161"/>
      <c r="X2" s="160"/>
      <c r="Y2" s="162"/>
    </row>
    <row r="3" spans="1:25" ht="15.75" x14ac:dyDescent="0.25">
      <c r="A3" s="125">
        <v>42948</v>
      </c>
      <c r="B3" s="126" t="s">
        <v>631</v>
      </c>
      <c r="C3" s="36">
        <v>73789.320000000007</v>
      </c>
      <c r="D3" s="127">
        <v>42959</v>
      </c>
      <c r="E3" s="36">
        <v>73789.320000000007</v>
      </c>
      <c r="F3" s="128">
        <f t="shared" ref="F3:F37" si="0">C3-E3</f>
        <v>0</v>
      </c>
      <c r="J3" s="151"/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R3">
        <v>24295</v>
      </c>
      <c r="S3" s="151">
        <v>8796</v>
      </c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42950</v>
      </c>
      <c r="B4" s="126" t="s">
        <v>638</v>
      </c>
      <c r="C4" s="130">
        <v>4893.26</v>
      </c>
      <c r="D4" s="127">
        <v>42959</v>
      </c>
      <c r="E4" s="130">
        <v>4893.26</v>
      </c>
      <c r="F4" s="128">
        <f t="shared" si="0"/>
        <v>0</v>
      </c>
      <c r="J4" s="164">
        <v>6710.02</v>
      </c>
      <c r="K4" s="126" t="s">
        <v>602</v>
      </c>
      <c r="L4" s="130">
        <v>5750.38</v>
      </c>
      <c r="M4" s="165" t="s">
        <v>111</v>
      </c>
      <c r="N4" s="166" t="s">
        <v>113</v>
      </c>
      <c r="O4" s="167">
        <v>13845</v>
      </c>
      <c r="P4" s="168">
        <v>42945</v>
      </c>
      <c r="S4" s="164">
        <v>21519.9</v>
      </c>
      <c r="T4" s="126" t="s">
        <v>674</v>
      </c>
      <c r="U4" s="130">
        <v>12306.98</v>
      </c>
      <c r="V4" s="165" t="s">
        <v>111</v>
      </c>
      <c r="W4" s="166" t="s">
        <v>113</v>
      </c>
      <c r="X4" s="167">
        <v>49601</v>
      </c>
      <c r="Y4" s="168">
        <v>42969</v>
      </c>
    </row>
    <row r="5" spans="1:25" ht="15.75" x14ac:dyDescent="0.25">
      <c r="A5" s="129">
        <v>42951</v>
      </c>
      <c r="B5" s="132" t="s">
        <v>639</v>
      </c>
      <c r="C5" s="36">
        <v>115338.67</v>
      </c>
      <c r="D5" s="127">
        <v>42959</v>
      </c>
      <c r="E5" s="36">
        <v>115338.67</v>
      </c>
      <c r="F5" s="128">
        <f t="shared" si="0"/>
        <v>0</v>
      </c>
      <c r="J5" s="164">
        <f>7135.14+22579.12</f>
        <v>29714.26</v>
      </c>
      <c r="K5" s="126" t="s">
        <v>604</v>
      </c>
      <c r="L5" s="130">
        <v>29714.26</v>
      </c>
      <c r="M5" s="165"/>
      <c r="N5" s="166" t="s">
        <v>113</v>
      </c>
      <c r="O5" s="167">
        <v>62470</v>
      </c>
      <c r="P5" s="168">
        <v>42947</v>
      </c>
      <c r="S5" s="164">
        <v>163.36000000000001</v>
      </c>
      <c r="T5" s="126" t="s">
        <v>671</v>
      </c>
      <c r="U5" s="130">
        <v>163.36000000000001</v>
      </c>
      <c r="V5" s="165"/>
      <c r="W5" s="166" t="s">
        <v>113</v>
      </c>
      <c r="X5" s="167">
        <v>3686</v>
      </c>
      <c r="Y5" s="168">
        <v>42968</v>
      </c>
    </row>
    <row r="6" spans="1:25" ht="15.75" x14ac:dyDescent="0.25">
      <c r="A6" s="129">
        <v>42952</v>
      </c>
      <c r="B6" s="126" t="s">
        <v>640</v>
      </c>
      <c r="C6" s="36">
        <v>82307.740000000005</v>
      </c>
      <c r="D6" s="127">
        <v>42959</v>
      </c>
      <c r="E6" s="36">
        <v>82307.740000000005</v>
      </c>
      <c r="F6" s="128">
        <f t="shared" si="0"/>
        <v>0</v>
      </c>
      <c r="J6" s="140">
        <v>14864.88</v>
      </c>
      <c r="K6" s="126" t="s">
        <v>605</v>
      </c>
      <c r="L6" s="130">
        <v>14864.88</v>
      </c>
      <c r="M6" s="165"/>
      <c r="N6" s="166" t="s">
        <v>113</v>
      </c>
      <c r="O6" s="167">
        <v>475</v>
      </c>
      <c r="P6" s="168">
        <v>42943</v>
      </c>
      <c r="S6" s="140">
        <v>422.68</v>
      </c>
      <c r="T6" s="126" t="s">
        <v>673</v>
      </c>
      <c r="U6" s="130">
        <v>422.68</v>
      </c>
      <c r="V6" s="165"/>
      <c r="W6" s="166" t="s">
        <v>113</v>
      </c>
      <c r="X6" s="167">
        <v>29680</v>
      </c>
      <c r="Y6" s="168">
        <v>42971</v>
      </c>
    </row>
    <row r="7" spans="1:25" ht="15.75" x14ac:dyDescent="0.25">
      <c r="A7" s="129">
        <v>42954</v>
      </c>
      <c r="B7" s="126" t="s">
        <v>641</v>
      </c>
      <c r="C7" s="130">
        <v>70182.3</v>
      </c>
      <c r="D7" s="133" t="s">
        <v>689</v>
      </c>
      <c r="E7" s="130">
        <f>43292.75+26889.55</f>
        <v>70182.3</v>
      </c>
      <c r="F7" s="128">
        <f t="shared" si="0"/>
        <v>0</v>
      </c>
      <c r="J7" s="140">
        <f>44335.59+63130.375</f>
        <v>107465.965</v>
      </c>
      <c r="K7" s="126" t="s">
        <v>607</v>
      </c>
      <c r="L7" s="130">
        <v>107465.34</v>
      </c>
      <c r="M7" s="165"/>
      <c r="N7" s="166">
        <v>3932354</v>
      </c>
      <c r="O7" s="167">
        <v>3970</v>
      </c>
      <c r="P7" s="168">
        <v>42939</v>
      </c>
      <c r="S7" s="140">
        <f>22807.24+22330.84</f>
        <v>45138.080000000002</v>
      </c>
      <c r="T7" s="126" t="s">
        <v>690</v>
      </c>
      <c r="U7" s="130">
        <v>62191.199999999997</v>
      </c>
      <c r="V7" s="165"/>
      <c r="W7" s="166" t="s">
        <v>113</v>
      </c>
      <c r="X7" s="167">
        <v>38966.5</v>
      </c>
      <c r="Y7" s="168">
        <v>42975</v>
      </c>
    </row>
    <row r="8" spans="1:25" ht="15.75" x14ac:dyDescent="0.25">
      <c r="A8" s="129">
        <v>42954</v>
      </c>
      <c r="B8" s="126" t="s">
        <v>642</v>
      </c>
      <c r="C8" s="130">
        <v>3229.72</v>
      </c>
      <c r="D8" s="127">
        <v>42969</v>
      </c>
      <c r="E8" s="130">
        <v>3229.72</v>
      </c>
      <c r="F8" s="128">
        <f t="shared" si="0"/>
        <v>0</v>
      </c>
      <c r="J8" s="140">
        <v>520</v>
      </c>
      <c r="K8" s="126" t="s">
        <v>606</v>
      </c>
      <c r="L8" s="4">
        <v>520</v>
      </c>
      <c r="M8" s="165"/>
      <c r="N8" s="166" t="s">
        <v>113</v>
      </c>
      <c r="O8" s="167">
        <v>86248</v>
      </c>
      <c r="P8" s="168">
        <v>42947</v>
      </c>
      <c r="S8" s="140">
        <f>6926.33+38966.46+23925.81</f>
        <v>69818.600000000006</v>
      </c>
      <c r="T8" s="126" t="s">
        <v>691</v>
      </c>
      <c r="U8" s="130">
        <v>69818.600000000006</v>
      </c>
      <c r="V8" s="165"/>
      <c r="W8" s="166" t="s">
        <v>113</v>
      </c>
      <c r="X8" s="167">
        <v>27397.5</v>
      </c>
      <c r="Y8" s="168">
        <v>42975</v>
      </c>
    </row>
    <row r="9" spans="1:25" ht="15.75" x14ac:dyDescent="0.25">
      <c r="A9" s="129">
        <v>42956</v>
      </c>
      <c r="B9" s="126" t="s">
        <v>643</v>
      </c>
      <c r="C9" s="130">
        <v>35147.58</v>
      </c>
      <c r="D9" s="127">
        <v>42969</v>
      </c>
      <c r="E9" s="130">
        <v>35147.58</v>
      </c>
      <c r="F9" s="128">
        <f t="shared" si="0"/>
        <v>0</v>
      </c>
      <c r="J9" s="164">
        <f>7732.03+31895.37</f>
        <v>39627.4</v>
      </c>
      <c r="K9" s="126" t="s">
        <v>616</v>
      </c>
      <c r="L9" s="4">
        <v>39627.4</v>
      </c>
      <c r="M9" s="165"/>
      <c r="N9" s="166" t="s">
        <v>113</v>
      </c>
      <c r="O9" s="167">
        <v>43469</v>
      </c>
      <c r="P9" s="168">
        <v>42947</v>
      </c>
      <c r="S9" s="164">
        <f>3471.71+2004.45</f>
        <v>5476.16</v>
      </c>
      <c r="T9" s="126" t="s">
        <v>692</v>
      </c>
      <c r="U9" s="130">
        <v>5476.16</v>
      </c>
      <c r="V9" s="165"/>
      <c r="W9" s="166">
        <v>3932718</v>
      </c>
      <c r="X9" s="167">
        <v>71606</v>
      </c>
      <c r="Y9" s="168">
        <v>42973</v>
      </c>
    </row>
    <row r="10" spans="1:25" ht="15.75" x14ac:dyDescent="0.25">
      <c r="A10" s="129">
        <v>42956</v>
      </c>
      <c r="B10" s="126" t="s">
        <v>644</v>
      </c>
      <c r="C10" s="130">
        <v>30344.06</v>
      </c>
      <c r="D10" s="127">
        <v>42969</v>
      </c>
      <c r="E10" s="130">
        <v>30344.06</v>
      </c>
      <c r="F10" s="128">
        <f t="shared" si="0"/>
        <v>0</v>
      </c>
      <c r="J10" s="140">
        <f>11578.25+46282.06+29609.13+18913.42</f>
        <v>106382.86</v>
      </c>
      <c r="K10" s="126" t="s">
        <v>617</v>
      </c>
      <c r="L10" s="130">
        <v>106382.86</v>
      </c>
      <c r="M10" s="165"/>
      <c r="N10" s="166" t="s">
        <v>113</v>
      </c>
      <c r="O10" s="167">
        <v>46282</v>
      </c>
      <c r="P10" s="168">
        <v>42949</v>
      </c>
      <c r="S10" s="140">
        <v>37063.21</v>
      </c>
      <c r="T10" s="126" t="s">
        <v>693</v>
      </c>
      <c r="U10" s="130">
        <v>37063.21</v>
      </c>
      <c r="V10" s="165"/>
      <c r="W10" s="166" t="s">
        <v>113</v>
      </c>
      <c r="X10" s="167">
        <v>64354</v>
      </c>
      <c r="Y10" s="168">
        <v>42976</v>
      </c>
    </row>
    <row r="11" spans="1:25" ht="15.75" x14ac:dyDescent="0.25">
      <c r="A11" s="129">
        <v>42956</v>
      </c>
      <c r="B11" s="126" t="s">
        <v>658</v>
      </c>
      <c r="C11" s="130">
        <v>592.84</v>
      </c>
      <c r="D11" s="127">
        <v>42969</v>
      </c>
      <c r="E11" s="130">
        <v>592.84</v>
      </c>
      <c r="F11" s="128">
        <f t="shared" si="0"/>
        <v>0</v>
      </c>
      <c r="J11" s="140">
        <v>251.6</v>
      </c>
      <c r="K11" s="126" t="s">
        <v>618</v>
      </c>
      <c r="L11" s="130">
        <v>251.6</v>
      </c>
      <c r="M11" s="165"/>
      <c r="N11" s="166" t="s">
        <v>113</v>
      </c>
      <c r="O11" s="167">
        <v>28165</v>
      </c>
      <c r="P11" s="168">
        <v>42949</v>
      </c>
      <c r="S11" s="140">
        <v>0</v>
      </c>
      <c r="T11" s="126" t="s">
        <v>694</v>
      </c>
      <c r="U11" s="130">
        <v>2600.98</v>
      </c>
      <c r="V11" s="165"/>
      <c r="W11" s="166">
        <v>3932536</v>
      </c>
      <c r="X11" s="167">
        <v>3639</v>
      </c>
      <c r="Y11" s="168">
        <v>42974</v>
      </c>
    </row>
    <row r="12" spans="1:25" ht="15.75" x14ac:dyDescent="0.25">
      <c r="A12" s="129">
        <v>42957</v>
      </c>
      <c r="B12" s="126" t="s">
        <v>645</v>
      </c>
      <c r="C12" s="130">
        <v>67361.34</v>
      </c>
      <c r="D12" s="127">
        <v>42969</v>
      </c>
      <c r="E12" s="130">
        <v>67361.34</v>
      </c>
      <c r="F12" s="128">
        <f t="shared" si="0"/>
        <v>0</v>
      </c>
      <c r="J12" s="140">
        <v>3465</v>
      </c>
      <c r="K12" s="126" t="s">
        <v>624</v>
      </c>
      <c r="L12" s="36">
        <v>3465</v>
      </c>
      <c r="M12" s="183"/>
      <c r="N12" s="184" t="s">
        <v>113</v>
      </c>
      <c r="O12" s="185">
        <v>1444</v>
      </c>
      <c r="P12" s="186">
        <v>42947</v>
      </c>
      <c r="S12" s="140">
        <f>32538.65+64354.56+39420.56</f>
        <v>136313.76999999999</v>
      </c>
      <c r="T12" s="126" t="s">
        <v>700</v>
      </c>
      <c r="U12" s="130">
        <v>104538.25</v>
      </c>
      <c r="V12" s="183"/>
      <c r="W12" s="184" t="s">
        <v>113</v>
      </c>
      <c r="X12" s="185">
        <v>35781.5</v>
      </c>
      <c r="Y12" s="186">
        <v>42976</v>
      </c>
    </row>
    <row r="13" spans="1:25" ht="16.5" thickBot="1" x14ac:dyDescent="0.3">
      <c r="A13" s="129">
        <v>42957</v>
      </c>
      <c r="B13" s="126" t="s">
        <v>659</v>
      </c>
      <c r="C13" s="130">
        <v>630</v>
      </c>
      <c r="D13" s="127">
        <v>42969</v>
      </c>
      <c r="E13" s="130">
        <v>630</v>
      </c>
      <c r="F13" s="128">
        <f t="shared" si="0"/>
        <v>0</v>
      </c>
      <c r="J13" s="164">
        <f>16574.11+26074.37</f>
        <v>42648.479999999996</v>
      </c>
      <c r="K13" s="143" t="s">
        <v>619</v>
      </c>
      <c r="L13" s="144">
        <v>42648.54</v>
      </c>
      <c r="M13" s="235"/>
      <c r="N13" s="184" t="s">
        <v>113</v>
      </c>
      <c r="O13" s="301">
        <v>39204</v>
      </c>
      <c r="P13" s="186">
        <v>42951</v>
      </c>
      <c r="S13" s="164">
        <v>0</v>
      </c>
      <c r="T13" s="372" t="s">
        <v>707</v>
      </c>
      <c r="U13" s="373">
        <v>30130.080000000002</v>
      </c>
      <c r="V13" s="235" t="s">
        <v>708</v>
      </c>
      <c r="W13" s="184"/>
      <c r="X13" s="301">
        <v>0</v>
      </c>
      <c r="Y13" s="186"/>
    </row>
    <row r="14" spans="1:25" ht="16.5" thickTop="1" x14ac:dyDescent="0.25">
      <c r="A14" s="129">
        <v>42959</v>
      </c>
      <c r="B14" s="126" t="s">
        <v>646</v>
      </c>
      <c r="C14" s="130">
        <v>84877.02</v>
      </c>
      <c r="D14" s="127">
        <v>42969</v>
      </c>
      <c r="E14" s="130">
        <v>84877.02</v>
      </c>
      <c r="F14" s="128">
        <f t="shared" si="0"/>
        <v>0</v>
      </c>
      <c r="J14" s="164">
        <f>10133.72+63655.5</f>
        <v>73789.22</v>
      </c>
      <c r="K14" s="126" t="s">
        <v>631</v>
      </c>
      <c r="L14" s="36">
        <v>73789.320000000007</v>
      </c>
      <c r="M14" s="187"/>
      <c r="N14" s="184" t="s">
        <v>113</v>
      </c>
      <c r="O14" s="302">
        <v>20500</v>
      </c>
      <c r="P14" s="186">
        <v>42951</v>
      </c>
      <c r="S14" s="164">
        <v>0</v>
      </c>
      <c r="T14" s="126"/>
      <c r="U14" s="130"/>
      <c r="V14" s="227" t="s">
        <v>709</v>
      </c>
      <c r="W14" s="184"/>
      <c r="X14" s="302">
        <v>0</v>
      </c>
      <c r="Y14" s="186"/>
    </row>
    <row r="15" spans="1:25" ht="16.5" thickBot="1" x14ac:dyDescent="0.3">
      <c r="A15" s="129">
        <v>42959</v>
      </c>
      <c r="B15" s="126" t="s">
        <v>660</v>
      </c>
      <c r="C15" s="130">
        <v>989.7</v>
      </c>
      <c r="D15" s="127">
        <v>42969</v>
      </c>
      <c r="E15" s="130">
        <v>989.7</v>
      </c>
      <c r="F15" s="128">
        <f t="shared" si="0"/>
        <v>0</v>
      </c>
      <c r="J15" s="164">
        <v>4893.26</v>
      </c>
      <c r="K15" s="126" t="s">
        <v>638</v>
      </c>
      <c r="L15" s="130">
        <v>4893.26</v>
      </c>
      <c r="M15" s="187"/>
      <c r="N15" s="184" t="s">
        <v>113</v>
      </c>
      <c r="O15" s="302">
        <v>15708</v>
      </c>
      <c r="P15" s="186">
        <v>42951</v>
      </c>
      <c r="S15" s="355">
        <v>0</v>
      </c>
      <c r="T15" s="143"/>
      <c r="U15" s="144">
        <v>0</v>
      </c>
      <c r="V15" s="374"/>
      <c r="W15" s="375"/>
      <c r="X15" s="356">
        <v>0</v>
      </c>
      <c r="Y15" s="222"/>
    </row>
    <row r="16" spans="1:25" ht="16.5" thickTop="1" x14ac:dyDescent="0.25">
      <c r="A16" s="129">
        <v>42959</v>
      </c>
      <c r="B16" s="126" t="s">
        <v>661</v>
      </c>
      <c r="C16" s="130">
        <v>2128</v>
      </c>
      <c r="D16" s="127">
        <v>42969</v>
      </c>
      <c r="E16" s="130">
        <v>2128</v>
      </c>
      <c r="F16" s="128">
        <f t="shared" si="0"/>
        <v>0</v>
      </c>
      <c r="J16" s="164">
        <f>9205.77+76428.22+29705</f>
        <v>115338.99</v>
      </c>
      <c r="K16" s="132" t="s">
        <v>639</v>
      </c>
      <c r="L16" s="36">
        <v>115338.67</v>
      </c>
      <c r="M16" s="227"/>
      <c r="N16" s="184">
        <v>3932385</v>
      </c>
      <c r="O16" s="302">
        <v>77755</v>
      </c>
      <c r="P16" s="186">
        <v>42952</v>
      </c>
      <c r="S16" s="351">
        <f>SUM(S3:S15)</f>
        <v>324711.76</v>
      </c>
      <c r="T16" s="176"/>
      <c r="U16" s="36">
        <f>SUM(U4:U15)</f>
        <v>324711.50000000006</v>
      </c>
      <c r="V16" s="246"/>
      <c r="W16" s="244"/>
      <c r="X16" s="303">
        <f>SUM(X4:X15)</f>
        <v>324711.5</v>
      </c>
      <c r="Y16" s="245"/>
    </row>
    <row r="17" spans="1:25" ht="15.75" x14ac:dyDescent="0.25">
      <c r="A17" s="129">
        <v>42961</v>
      </c>
      <c r="B17" s="126" t="s">
        <v>662</v>
      </c>
      <c r="C17" s="130">
        <v>65321.440000000002</v>
      </c>
      <c r="D17" s="127">
        <v>42969</v>
      </c>
      <c r="E17" s="130">
        <v>65321.440000000002</v>
      </c>
      <c r="F17" s="128">
        <f t="shared" si="0"/>
        <v>0</v>
      </c>
      <c r="J17" s="151">
        <f>12125.34+39449.15+30733.25</f>
        <v>82307.740000000005</v>
      </c>
      <c r="K17" s="126" t="s">
        <v>640</v>
      </c>
      <c r="L17" s="36">
        <v>82307.740000000005</v>
      </c>
      <c r="M17" s="187"/>
      <c r="N17" s="184" t="s">
        <v>113</v>
      </c>
      <c r="O17" s="302">
        <v>76428.5</v>
      </c>
      <c r="P17" s="186">
        <v>42954</v>
      </c>
      <c r="S17" s="248"/>
      <c r="T17" s="176"/>
      <c r="U17" s="36"/>
      <c r="V17" s="100"/>
      <c r="W17" s="244"/>
      <c r="X17" s="303"/>
      <c r="Y17" s="245"/>
    </row>
    <row r="18" spans="1:25" ht="15.75" x14ac:dyDescent="0.25">
      <c r="A18" s="129">
        <v>42962</v>
      </c>
      <c r="B18" s="126" t="s">
        <v>663</v>
      </c>
      <c r="C18" s="130">
        <v>9813.2199999999993</v>
      </c>
      <c r="D18" s="127">
        <v>42969</v>
      </c>
      <c r="E18" s="130">
        <v>9813.2199999999993</v>
      </c>
      <c r="F18" s="128">
        <f t="shared" si="0"/>
        <v>0</v>
      </c>
      <c r="J18" s="151">
        <f>5528.65+36807.13</f>
        <v>42335.78</v>
      </c>
      <c r="K18" s="126" t="s">
        <v>641</v>
      </c>
      <c r="L18" s="130">
        <v>43292.75</v>
      </c>
      <c r="M18" s="227" t="s">
        <v>125</v>
      </c>
      <c r="N18" s="184" t="s">
        <v>113</v>
      </c>
      <c r="O18" s="302">
        <v>41830.5</v>
      </c>
      <c r="P18" s="186">
        <v>42954</v>
      </c>
      <c r="S18" s="248"/>
      <c r="T18" s="176"/>
      <c r="U18" s="36"/>
      <c r="V18" s="246"/>
      <c r="W18" s="179"/>
      <c r="X18" s="303"/>
      <c r="Y18" s="245"/>
    </row>
    <row r="19" spans="1:25" ht="15.75" x14ac:dyDescent="0.25">
      <c r="A19" s="129">
        <v>42964</v>
      </c>
      <c r="B19" s="126" t="s">
        <v>668</v>
      </c>
      <c r="C19" s="130">
        <v>52022.94</v>
      </c>
      <c r="D19" s="127">
        <v>42969</v>
      </c>
      <c r="E19" s="130">
        <v>52022.94</v>
      </c>
      <c r="F19" s="128">
        <f t="shared" si="0"/>
        <v>0</v>
      </c>
      <c r="J19" s="209"/>
      <c r="K19" s="126"/>
      <c r="L19" s="130"/>
      <c r="M19" s="187"/>
      <c r="N19" s="184" t="s">
        <v>113</v>
      </c>
      <c r="O19" s="302">
        <v>39449</v>
      </c>
      <c r="P19" s="186">
        <v>42955</v>
      </c>
      <c r="S19" s="248"/>
      <c r="T19" s="176"/>
      <c r="U19" s="36"/>
      <c r="V19" s="100"/>
      <c r="W19" s="244"/>
      <c r="X19" s="303"/>
      <c r="Y19" s="245"/>
    </row>
    <row r="20" spans="1:25" ht="15.75" x14ac:dyDescent="0.25">
      <c r="A20" s="129">
        <v>42964</v>
      </c>
      <c r="B20" s="126" t="s">
        <v>669</v>
      </c>
      <c r="C20" s="130">
        <v>33576.47</v>
      </c>
      <c r="D20" s="127">
        <v>42969</v>
      </c>
      <c r="E20" s="130">
        <v>33576.47</v>
      </c>
      <c r="F20" s="128">
        <f t="shared" si="0"/>
        <v>0</v>
      </c>
      <c r="J20" s="209"/>
      <c r="K20" s="126"/>
      <c r="L20" s="130"/>
      <c r="M20" s="187"/>
      <c r="N20" s="184">
        <v>3321671</v>
      </c>
      <c r="O20" s="302">
        <v>36262</v>
      </c>
      <c r="P20" s="186">
        <v>42956</v>
      </c>
      <c r="S20" s="248"/>
      <c r="T20" s="176"/>
      <c r="U20" s="36"/>
      <c r="V20" s="246"/>
      <c r="W20" s="244"/>
      <c r="X20" s="303"/>
      <c r="Y20" s="245"/>
    </row>
    <row r="21" spans="1:25" ht="15.75" x14ac:dyDescent="0.25">
      <c r="A21" s="129">
        <v>42964</v>
      </c>
      <c r="B21" s="126" t="s">
        <v>670</v>
      </c>
      <c r="C21" s="130">
        <v>136</v>
      </c>
      <c r="D21" s="127">
        <v>42969</v>
      </c>
      <c r="E21" s="130">
        <v>136</v>
      </c>
      <c r="F21" s="128">
        <f t="shared" si="0"/>
        <v>0</v>
      </c>
      <c r="J21" s="209"/>
      <c r="K21" s="126"/>
      <c r="L21" s="130"/>
      <c r="M21" s="187"/>
      <c r="N21" s="184" t="s">
        <v>113</v>
      </c>
      <c r="O21" s="302">
        <v>36807</v>
      </c>
      <c r="P21" s="186">
        <v>42957</v>
      </c>
      <c r="S21" s="248"/>
      <c r="T21" s="176"/>
      <c r="U21" s="36"/>
      <c r="V21" s="100"/>
      <c r="W21" s="244"/>
      <c r="X21" s="303"/>
      <c r="Y21" s="245"/>
    </row>
    <row r="22" spans="1:25" ht="15.75" x14ac:dyDescent="0.25">
      <c r="A22" s="129">
        <v>42966</v>
      </c>
      <c r="B22" s="126" t="s">
        <v>672</v>
      </c>
      <c r="C22" s="130">
        <v>133276.70000000001</v>
      </c>
      <c r="D22" s="127">
        <v>42969</v>
      </c>
      <c r="E22" s="130">
        <v>133276.70000000001</v>
      </c>
      <c r="F22" s="128">
        <f t="shared" si="0"/>
        <v>0</v>
      </c>
      <c r="J22" s="209"/>
      <c r="K22" s="126"/>
      <c r="L22" s="130"/>
      <c r="M22" s="224"/>
      <c r="N22" s="184" t="s">
        <v>113</v>
      </c>
      <c r="O22" s="301">
        <v>0</v>
      </c>
      <c r="P22" s="186"/>
      <c r="S22" s="248"/>
      <c r="T22" s="176"/>
      <c r="U22" s="36"/>
      <c r="V22" s="100"/>
      <c r="W22" s="244"/>
      <c r="X22" s="303"/>
      <c r="Y22" s="245"/>
    </row>
    <row r="23" spans="1:25" ht="15.75" x14ac:dyDescent="0.25">
      <c r="A23" s="129">
        <v>42966</v>
      </c>
      <c r="B23" s="126" t="s">
        <v>674</v>
      </c>
      <c r="C23" s="130">
        <v>21519.9</v>
      </c>
      <c r="D23" s="133" t="s">
        <v>710</v>
      </c>
      <c r="E23" s="130">
        <f>9212.92+12306.98</f>
        <v>21519.9</v>
      </c>
      <c r="F23" s="128">
        <f t="shared" si="0"/>
        <v>0</v>
      </c>
      <c r="J23" s="209"/>
      <c r="K23" s="126"/>
      <c r="L23" s="130"/>
      <c r="M23" s="187"/>
      <c r="N23" s="166" t="s">
        <v>113</v>
      </c>
      <c r="O23" s="188">
        <v>0</v>
      </c>
      <c r="P23" s="168"/>
      <c r="S23" s="248"/>
      <c r="T23" s="176"/>
      <c r="U23" s="36"/>
      <c r="V23" s="100"/>
      <c r="W23" s="244"/>
      <c r="X23" s="247"/>
      <c r="Y23" s="245"/>
    </row>
    <row r="24" spans="1:25" ht="16.5" thickBot="1" x14ac:dyDescent="0.3">
      <c r="A24" s="129">
        <v>42966</v>
      </c>
      <c r="B24" s="126" t="s">
        <v>671</v>
      </c>
      <c r="C24" s="130">
        <v>163.36000000000001</v>
      </c>
      <c r="D24" s="127">
        <v>42976</v>
      </c>
      <c r="E24" s="130">
        <v>163.36000000000001</v>
      </c>
      <c r="F24" s="128">
        <f t="shared" si="0"/>
        <v>0</v>
      </c>
      <c r="J24" s="342"/>
      <c r="K24" s="143"/>
      <c r="L24" s="345"/>
      <c r="M24" s="207"/>
      <c r="N24" s="343" t="s">
        <v>113</v>
      </c>
      <c r="O24" s="344" t="s">
        <v>64</v>
      </c>
      <c r="P24" s="207"/>
      <c r="S24" s="177"/>
      <c r="T24" s="176"/>
      <c r="U24" s="36"/>
      <c r="V24" s="100"/>
      <c r="W24" s="244"/>
      <c r="X24" s="249"/>
      <c r="Y24" s="100"/>
    </row>
    <row r="25" spans="1:25" ht="16.5" thickTop="1" x14ac:dyDescent="0.25">
      <c r="A25" s="129">
        <v>42968</v>
      </c>
      <c r="B25" s="126" t="s">
        <v>673</v>
      </c>
      <c r="C25" s="130">
        <v>422.68</v>
      </c>
      <c r="D25" s="127">
        <v>42976</v>
      </c>
      <c r="E25" s="130">
        <v>422.68</v>
      </c>
      <c r="F25" s="128">
        <f t="shared" si="0"/>
        <v>0</v>
      </c>
      <c r="J25" s="160">
        <f>SUM(J4:J24)</f>
        <v>670315.45499999996</v>
      </c>
      <c r="K25" s="163"/>
      <c r="L25" s="153">
        <f>SUM(L4:L24)</f>
        <v>670312</v>
      </c>
      <c r="M25" s="163"/>
      <c r="N25" s="163"/>
      <c r="O25" s="153">
        <f>SUM(O4:O24)</f>
        <v>670312</v>
      </c>
      <c r="P25" s="163"/>
      <c r="S25" s="352"/>
      <c r="T25" s="353"/>
      <c r="U25" s="354"/>
      <c r="V25" s="353"/>
      <c r="W25" s="353"/>
      <c r="X25" s="354"/>
      <c r="Y25" s="353"/>
    </row>
    <row r="26" spans="1:25" x14ac:dyDescent="0.25">
      <c r="A26" s="129">
        <v>42968</v>
      </c>
      <c r="B26" s="126" t="s">
        <v>690</v>
      </c>
      <c r="C26" s="130">
        <v>62191.199999999997</v>
      </c>
      <c r="D26" s="127">
        <v>42976</v>
      </c>
      <c r="E26" s="130">
        <v>62191.199999999997</v>
      </c>
      <c r="F26" s="128">
        <f t="shared" si="0"/>
        <v>0</v>
      </c>
      <c r="S26" s="100"/>
      <c r="T26" s="100"/>
      <c r="U26" s="100"/>
      <c r="V26" s="100"/>
      <c r="W26" s="100"/>
      <c r="X26" s="100"/>
      <c r="Y26" s="100"/>
    </row>
    <row r="27" spans="1:25" x14ac:dyDescent="0.25">
      <c r="A27" s="236">
        <v>42969</v>
      </c>
      <c r="B27" s="126" t="s">
        <v>691</v>
      </c>
      <c r="C27" s="130">
        <v>69818.600000000006</v>
      </c>
      <c r="D27" s="127">
        <v>42976</v>
      </c>
      <c r="E27" s="130">
        <v>69818.600000000006</v>
      </c>
      <c r="F27" s="128">
        <f t="shared" si="0"/>
        <v>0</v>
      </c>
    </row>
    <row r="28" spans="1:25" ht="15.75" thickBot="1" x14ac:dyDescent="0.3">
      <c r="A28" s="236">
        <v>42970</v>
      </c>
      <c r="B28" s="126" t="s">
        <v>692</v>
      </c>
      <c r="C28" s="130">
        <v>5476.16</v>
      </c>
      <c r="D28" s="127">
        <v>42976</v>
      </c>
      <c r="E28" s="130">
        <v>5476.16</v>
      </c>
      <c r="F28" s="128">
        <f t="shared" si="0"/>
        <v>0</v>
      </c>
    </row>
    <row r="29" spans="1:25" ht="19.5" thickBot="1" x14ac:dyDescent="0.35">
      <c r="A29" s="236">
        <v>42971</v>
      </c>
      <c r="B29" s="126" t="s">
        <v>693</v>
      </c>
      <c r="C29" s="130">
        <v>37063.21</v>
      </c>
      <c r="D29" s="127">
        <v>42976</v>
      </c>
      <c r="E29" s="130">
        <v>37063.21</v>
      </c>
      <c r="F29" s="128">
        <f t="shared" si="0"/>
        <v>0</v>
      </c>
      <c r="J29" s="151"/>
      <c r="K29" t="s">
        <v>64</v>
      </c>
      <c r="L29" s="154" t="s">
        <v>105</v>
      </c>
      <c r="M29" s="155"/>
      <c r="N29" s="156"/>
      <c r="O29" s="242">
        <v>42969</v>
      </c>
      <c r="P29" s="158"/>
    </row>
    <row r="30" spans="1:25" ht="15.75" x14ac:dyDescent="0.25">
      <c r="A30" s="236">
        <v>42972</v>
      </c>
      <c r="B30" s="126" t="s">
        <v>700</v>
      </c>
      <c r="C30" s="130">
        <v>104538.25</v>
      </c>
      <c r="D30" s="127">
        <v>42976</v>
      </c>
      <c r="E30" s="130">
        <v>104538.25</v>
      </c>
      <c r="F30" s="128">
        <f t="shared" si="0"/>
        <v>0</v>
      </c>
      <c r="J30" s="151"/>
      <c r="K30" s="159"/>
      <c r="L30" s="160"/>
      <c r="M30" s="159"/>
      <c r="N30" s="161"/>
      <c r="O30" s="160"/>
      <c r="P30" s="162"/>
    </row>
    <row r="31" spans="1:25" ht="15.75" x14ac:dyDescent="0.25">
      <c r="A31" s="236">
        <v>42973</v>
      </c>
      <c r="B31" s="126" t="s">
        <v>694</v>
      </c>
      <c r="C31" s="130">
        <v>2600.98</v>
      </c>
      <c r="D31" s="127">
        <v>42976</v>
      </c>
      <c r="E31" s="130">
        <v>2600.98</v>
      </c>
      <c r="F31" s="128">
        <f t="shared" si="0"/>
        <v>0</v>
      </c>
      <c r="J31" s="151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5" ht="15.75" x14ac:dyDescent="0.25">
      <c r="A32" s="236">
        <v>42975</v>
      </c>
      <c r="B32" s="126" t="s">
        <v>707</v>
      </c>
      <c r="C32" s="130">
        <v>49961.68</v>
      </c>
      <c r="D32" s="136" t="s">
        <v>751</v>
      </c>
      <c r="E32" s="137">
        <f>30130.08+19831.6</f>
        <v>49961.68</v>
      </c>
      <c r="F32" s="128">
        <f t="shared" si="0"/>
        <v>0</v>
      </c>
      <c r="J32" s="164">
        <v>27846.52</v>
      </c>
      <c r="K32" s="126" t="s">
        <v>641</v>
      </c>
      <c r="L32" s="130">
        <v>26889.55</v>
      </c>
      <c r="M32" s="165" t="s">
        <v>111</v>
      </c>
      <c r="N32" s="166">
        <v>3321696</v>
      </c>
      <c r="O32" s="167">
        <v>27965.5</v>
      </c>
      <c r="P32" s="168">
        <v>42957</v>
      </c>
    </row>
    <row r="33" spans="1:16" ht="15.75" x14ac:dyDescent="0.25">
      <c r="A33" s="236">
        <v>42976</v>
      </c>
      <c r="B33" s="126" t="s">
        <v>711</v>
      </c>
      <c r="C33" s="130">
        <v>76588.929999999993</v>
      </c>
      <c r="D33" s="387">
        <v>42987</v>
      </c>
      <c r="E33" s="137">
        <v>76588.929999999993</v>
      </c>
      <c r="F33" s="128">
        <f t="shared" si="0"/>
        <v>0</v>
      </c>
      <c r="J33" s="164">
        <f>119.35+3110.5</f>
        <v>3229.85</v>
      </c>
      <c r="K33" s="126" t="s">
        <v>642</v>
      </c>
      <c r="L33" s="130">
        <v>3229.72</v>
      </c>
      <c r="M33" s="165"/>
      <c r="N33" s="166">
        <v>3321695</v>
      </c>
      <c r="O33" s="167">
        <v>75222.5</v>
      </c>
      <c r="P33" s="168">
        <v>42958</v>
      </c>
    </row>
    <row r="34" spans="1:16" ht="15.75" x14ac:dyDescent="0.25">
      <c r="A34" s="236">
        <v>42978</v>
      </c>
      <c r="B34" s="126" t="s">
        <v>712</v>
      </c>
      <c r="C34" s="130">
        <v>9486.08</v>
      </c>
      <c r="D34" s="387">
        <v>42987</v>
      </c>
      <c r="E34" s="137">
        <v>9486.08</v>
      </c>
      <c r="F34" s="128">
        <f t="shared" si="0"/>
        <v>0</v>
      </c>
      <c r="J34" s="140">
        <v>35147.58</v>
      </c>
      <c r="K34" s="126" t="s">
        <v>643</v>
      </c>
      <c r="L34" s="130">
        <v>35147.58</v>
      </c>
      <c r="M34" s="165"/>
      <c r="N34" s="166" t="s">
        <v>113</v>
      </c>
      <c r="O34" s="167">
        <v>90</v>
      </c>
      <c r="P34" s="168">
        <v>42963</v>
      </c>
    </row>
    <row r="35" spans="1:16" ht="15.75" x14ac:dyDescent="0.25">
      <c r="A35" s="236"/>
      <c r="B35" s="126"/>
      <c r="C35" s="130">
        <v>22157.62</v>
      </c>
      <c r="D35" s="202" t="s">
        <v>728</v>
      </c>
      <c r="E35" s="130">
        <v>22157.62</v>
      </c>
      <c r="F35" s="128">
        <f t="shared" si="0"/>
        <v>0</v>
      </c>
      <c r="J35" s="140">
        <v>30344.06</v>
      </c>
      <c r="K35" s="126" t="s">
        <v>644</v>
      </c>
      <c r="L35" s="130">
        <v>30344.06</v>
      </c>
      <c r="M35" s="165"/>
      <c r="N35" s="166">
        <v>3932701</v>
      </c>
      <c r="O35" s="167">
        <v>59386</v>
      </c>
      <c r="P35" s="168">
        <v>42961</v>
      </c>
    </row>
    <row r="36" spans="1:16" ht="15.75" x14ac:dyDescent="0.25">
      <c r="A36" s="236"/>
      <c r="B36" s="126"/>
      <c r="C36" s="36"/>
      <c r="D36" s="202"/>
      <c r="E36" s="130"/>
      <c r="F36" s="128">
        <f t="shared" si="0"/>
        <v>0</v>
      </c>
      <c r="J36" s="140">
        <v>592.84</v>
      </c>
      <c r="K36" s="126" t="s">
        <v>658</v>
      </c>
      <c r="L36" s="130">
        <v>592.84</v>
      </c>
      <c r="M36" s="165"/>
      <c r="N36" s="166">
        <v>3932505</v>
      </c>
      <c r="O36" s="167">
        <v>5695</v>
      </c>
      <c r="P36" s="168">
        <v>42959</v>
      </c>
    </row>
    <row r="37" spans="1:16" ht="16.5" thickBot="1" x14ac:dyDescent="0.3">
      <c r="A37" s="308"/>
      <c r="B37" s="143"/>
      <c r="C37" s="144"/>
      <c r="D37" s="145"/>
      <c r="E37" s="144"/>
      <c r="F37" s="128">
        <f t="shared" si="0"/>
        <v>0</v>
      </c>
      <c r="H37" t="s">
        <v>64</v>
      </c>
      <c r="J37" s="164">
        <f>5397.25+61964.09</f>
        <v>67361.34</v>
      </c>
      <c r="K37" s="126" t="s">
        <v>645</v>
      </c>
      <c r="L37" s="130">
        <v>67361.34</v>
      </c>
      <c r="M37" s="165"/>
      <c r="N37" s="166">
        <v>3321700</v>
      </c>
      <c r="O37" s="167">
        <v>53905.5</v>
      </c>
      <c r="P37" s="168">
        <v>42960</v>
      </c>
    </row>
    <row r="38" spans="1:16" ht="16.5" thickTop="1" x14ac:dyDescent="0.25">
      <c r="B38" s="44"/>
      <c r="C38" s="130">
        <f>SUM(C3:C37)</f>
        <v>1327946.97</v>
      </c>
      <c r="D38" s="148"/>
      <c r="E38" s="140">
        <f>SUM(E3:E37)</f>
        <v>1327946.97</v>
      </c>
      <c r="F38" s="130">
        <f>SUM(F3:F37)</f>
        <v>0</v>
      </c>
      <c r="J38" s="140">
        <v>630</v>
      </c>
      <c r="K38" s="126" t="s">
        <v>659</v>
      </c>
      <c r="L38" s="130">
        <v>630</v>
      </c>
      <c r="M38" s="165"/>
      <c r="N38" s="166" t="s">
        <v>113</v>
      </c>
      <c r="O38" s="167">
        <v>2800</v>
      </c>
      <c r="P38" s="168">
        <v>42968</v>
      </c>
    </row>
    <row r="39" spans="1:16" ht="15.75" x14ac:dyDescent="0.25">
      <c r="A39"/>
      <c r="B39" s="149"/>
      <c r="D39" s="149"/>
      <c r="J39" s="140">
        <f>91.12+56705.62+28080.28</f>
        <v>84877.02</v>
      </c>
      <c r="K39" s="126" t="s">
        <v>646</v>
      </c>
      <c r="L39" s="130">
        <v>84877.02</v>
      </c>
      <c r="M39" s="165"/>
      <c r="N39" s="166">
        <v>3932703</v>
      </c>
      <c r="O39" s="167">
        <v>35077</v>
      </c>
      <c r="P39" s="168">
        <v>42962</v>
      </c>
    </row>
    <row r="40" spans="1:16" ht="15.75" x14ac:dyDescent="0.25">
      <c r="A40"/>
      <c r="B40" s="149">
        <v>42948</v>
      </c>
      <c r="C40" s="140">
        <v>0</v>
      </c>
      <c r="D40" s="149"/>
      <c r="J40" s="140">
        <v>989.7</v>
      </c>
      <c r="K40" s="126" t="s">
        <v>660</v>
      </c>
      <c r="L40" s="130">
        <v>989.7</v>
      </c>
      <c r="M40" s="183"/>
      <c r="N40" s="184">
        <v>3932704</v>
      </c>
      <c r="O40" s="185">
        <v>39703</v>
      </c>
      <c r="P40" s="186">
        <v>42963</v>
      </c>
    </row>
    <row r="41" spans="1:16" ht="15.75" x14ac:dyDescent="0.25">
      <c r="A41"/>
      <c r="B41" s="149">
        <v>42949</v>
      </c>
      <c r="C41" s="140">
        <v>260</v>
      </c>
      <c r="D41" s="149" t="s">
        <v>167</v>
      </c>
      <c r="J41" s="164">
        <v>2128</v>
      </c>
      <c r="K41" s="126" t="s">
        <v>661</v>
      </c>
      <c r="L41" s="130">
        <v>2128</v>
      </c>
      <c r="M41" s="235"/>
      <c r="N41" s="184">
        <v>3932708</v>
      </c>
      <c r="O41" s="301">
        <v>28435</v>
      </c>
      <c r="P41" s="186">
        <v>42964</v>
      </c>
    </row>
    <row r="42" spans="1:16" ht="15.75" x14ac:dyDescent="0.25">
      <c r="A42"/>
      <c r="B42" s="149">
        <v>42950</v>
      </c>
      <c r="C42" s="140">
        <v>481</v>
      </c>
      <c r="D42" s="149" t="s">
        <v>634</v>
      </c>
      <c r="F42" s="22"/>
      <c r="J42" s="164">
        <f>6997.09+39702.75+18621.6</f>
        <v>65321.439999999995</v>
      </c>
      <c r="K42" s="126" t="s">
        <v>662</v>
      </c>
      <c r="L42" s="130">
        <v>65321.440000000002</v>
      </c>
      <c r="M42" s="187"/>
      <c r="N42" s="184" t="s">
        <v>113</v>
      </c>
      <c r="O42" s="302">
        <v>40553</v>
      </c>
      <c r="P42" s="186">
        <v>42965</v>
      </c>
    </row>
    <row r="43" spans="1:16" ht="15.75" x14ac:dyDescent="0.25">
      <c r="A43"/>
      <c r="B43" s="149">
        <v>42951</v>
      </c>
      <c r="C43" s="140">
        <v>0</v>
      </c>
      <c r="D43" s="149"/>
      <c r="F43" s="22"/>
      <c r="J43" s="164">
        <v>9813.2199999999993</v>
      </c>
      <c r="K43" s="126" t="s">
        <v>663</v>
      </c>
      <c r="L43" s="130">
        <v>9813.2199999999993</v>
      </c>
      <c r="M43" s="187"/>
      <c r="N43" s="369" t="s">
        <v>113</v>
      </c>
      <c r="O43" s="302">
        <v>3046</v>
      </c>
      <c r="P43" s="186">
        <v>42964</v>
      </c>
    </row>
    <row r="44" spans="1:16" ht="15.75" x14ac:dyDescent="0.25">
      <c r="A44"/>
      <c r="B44" s="149">
        <v>42952</v>
      </c>
      <c r="C44" s="140">
        <v>1972.5</v>
      </c>
      <c r="D44" s="149" t="s">
        <v>650</v>
      </c>
      <c r="F44" s="22"/>
      <c r="J44" s="164">
        <f>43598.45+8424.5</f>
        <v>52022.95</v>
      </c>
      <c r="K44" s="126" t="s">
        <v>668</v>
      </c>
      <c r="L44" s="130">
        <v>52022.94</v>
      </c>
      <c r="M44" s="227"/>
      <c r="N44" s="184" t="s">
        <v>113</v>
      </c>
      <c r="O44" s="302">
        <v>59190</v>
      </c>
      <c r="P44" s="186">
        <v>42968</v>
      </c>
    </row>
    <row r="45" spans="1:16" ht="15.75" x14ac:dyDescent="0.25">
      <c r="A45"/>
      <c r="B45" s="149">
        <v>42953</v>
      </c>
      <c r="C45" s="140">
        <v>0</v>
      </c>
      <c r="D45" s="149"/>
      <c r="F45" s="22"/>
      <c r="J45" s="151">
        <v>33576.47</v>
      </c>
      <c r="K45" s="126" t="s">
        <v>669</v>
      </c>
      <c r="L45" s="130">
        <v>33576.47</v>
      </c>
      <c r="M45" s="187"/>
      <c r="N45" s="184" t="s">
        <v>113</v>
      </c>
      <c r="O45" s="302">
        <v>70018</v>
      </c>
      <c r="P45" s="186">
        <v>42968</v>
      </c>
    </row>
    <row r="46" spans="1:16" ht="15.75" x14ac:dyDescent="0.25">
      <c r="A46"/>
      <c r="B46" s="149">
        <v>42954</v>
      </c>
      <c r="C46" s="140">
        <v>0</v>
      </c>
      <c r="D46" s="149"/>
      <c r="F46" s="22"/>
      <c r="I46" s="4">
        <v>17053</v>
      </c>
      <c r="J46" s="151">
        <v>136</v>
      </c>
      <c r="K46" s="126" t="s">
        <v>670</v>
      </c>
      <c r="L46" s="130">
        <v>136</v>
      </c>
      <c r="M46" s="227"/>
      <c r="N46" s="369" t="s">
        <v>113</v>
      </c>
      <c r="O46" s="302">
        <v>2863</v>
      </c>
      <c r="P46" s="186">
        <v>42967</v>
      </c>
    </row>
    <row r="47" spans="1:16" ht="15.75" x14ac:dyDescent="0.25">
      <c r="A47"/>
      <c r="B47" s="149">
        <v>42955</v>
      </c>
      <c r="C47" s="140">
        <v>0</v>
      </c>
      <c r="D47" s="149"/>
      <c r="F47" s="22"/>
      <c r="J47" s="209">
        <f>70017.96+54462.83</f>
        <v>124480.79000000001</v>
      </c>
      <c r="K47" s="126" t="s">
        <v>672</v>
      </c>
      <c r="L47" s="130">
        <v>133276.70000000001</v>
      </c>
      <c r="M47" s="187"/>
      <c r="N47" s="184" t="s">
        <v>113</v>
      </c>
      <c r="O47" s="302">
        <v>51600</v>
      </c>
      <c r="P47" s="186">
        <v>42968</v>
      </c>
    </row>
    <row r="48" spans="1:16" ht="15.75" x14ac:dyDescent="0.25">
      <c r="A48"/>
      <c r="B48" s="149">
        <v>42956</v>
      </c>
      <c r="C48" s="140">
        <v>955</v>
      </c>
      <c r="D48" s="149" t="s">
        <v>656</v>
      </c>
      <c r="F48" s="22"/>
      <c r="J48" s="209"/>
      <c r="K48" s="126" t="s">
        <v>674</v>
      </c>
      <c r="L48" s="130">
        <v>9212.92</v>
      </c>
      <c r="M48" s="227" t="s">
        <v>125</v>
      </c>
      <c r="N48" s="184" t="s">
        <v>113</v>
      </c>
      <c r="O48" s="302">
        <v>0</v>
      </c>
      <c r="P48" s="186"/>
    </row>
    <row r="49" spans="1:16" ht="15.75" x14ac:dyDescent="0.25">
      <c r="A49"/>
      <c r="B49" s="149">
        <v>42957</v>
      </c>
      <c r="C49" s="140">
        <v>0</v>
      </c>
      <c r="D49" s="149"/>
      <c r="F49" s="22"/>
      <c r="J49" s="209"/>
      <c r="K49" s="126"/>
      <c r="L49" s="130"/>
      <c r="M49" s="187"/>
      <c r="N49" s="184" t="s">
        <v>113</v>
      </c>
      <c r="O49" s="302">
        <v>0</v>
      </c>
      <c r="P49" s="186"/>
    </row>
    <row r="50" spans="1:16" ht="15.75" x14ac:dyDescent="0.25">
      <c r="A50"/>
      <c r="B50" s="149">
        <v>42958</v>
      </c>
      <c r="C50" s="140">
        <v>0</v>
      </c>
      <c r="D50" s="149"/>
      <c r="F50" s="22"/>
      <c r="J50" s="209"/>
      <c r="K50" s="126"/>
      <c r="L50" s="130"/>
      <c r="M50" s="224"/>
      <c r="N50" s="184" t="s">
        <v>113</v>
      </c>
      <c r="O50" s="301">
        <v>0</v>
      </c>
      <c r="P50" s="186"/>
    </row>
    <row r="51" spans="1:16" ht="15.75" x14ac:dyDescent="0.25">
      <c r="A51"/>
      <c r="B51" s="149">
        <v>42959</v>
      </c>
      <c r="C51" s="140">
        <v>434</v>
      </c>
      <c r="D51" s="149" t="s">
        <v>364</v>
      </c>
      <c r="E51"/>
      <c r="F51" s="22"/>
      <c r="J51" s="209"/>
      <c r="K51" s="126"/>
      <c r="L51" s="130"/>
      <c r="M51" s="187"/>
      <c r="N51" s="166" t="s">
        <v>113</v>
      </c>
      <c r="O51" s="188">
        <v>0</v>
      </c>
      <c r="P51" s="168"/>
    </row>
    <row r="52" spans="1:16" ht="16.5" thickBot="1" x14ac:dyDescent="0.3">
      <c r="A52"/>
      <c r="B52" s="149">
        <v>42960</v>
      </c>
      <c r="C52" s="140">
        <v>0</v>
      </c>
      <c r="D52" s="149"/>
      <c r="E52"/>
      <c r="F52" s="22"/>
      <c r="J52" s="342"/>
      <c r="K52" s="143"/>
      <c r="L52" s="345"/>
      <c r="M52" s="207"/>
      <c r="N52" s="343" t="s">
        <v>113</v>
      </c>
      <c r="O52" s="344" t="s">
        <v>64</v>
      </c>
      <c r="P52" s="207"/>
    </row>
    <row r="53" spans="1:16" ht="16.5" thickTop="1" x14ac:dyDescent="0.25">
      <c r="A53"/>
      <c r="B53" s="149">
        <v>42961</v>
      </c>
      <c r="C53" s="140">
        <v>0</v>
      </c>
      <c r="D53" s="149"/>
      <c r="E53"/>
      <c r="F53" s="22"/>
      <c r="J53" s="160">
        <f>SUM(J31:J52)</f>
        <v>538497.78</v>
      </c>
      <c r="K53" s="163"/>
      <c r="L53" s="153">
        <f>SUM(L32:L52)</f>
        <v>555549.50000000012</v>
      </c>
      <c r="M53" s="163"/>
      <c r="N53" s="163"/>
      <c r="O53" s="153">
        <f>SUM(O32:O52)</f>
        <v>555549.5</v>
      </c>
      <c r="P53" s="163"/>
    </row>
    <row r="54" spans="1:16" x14ac:dyDescent="0.25">
      <c r="A54"/>
      <c r="B54" s="149">
        <v>42962</v>
      </c>
      <c r="C54" s="140">
        <v>707.12</v>
      </c>
      <c r="D54" s="149" t="s">
        <v>365</v>
      </c>
      <c r="E54"/>
      <c r="F54" s="22"/>
    </row>
    <row r="55" spans="1:16" x14ac:dyDescent="0.25">
      <c r="A55"/>
      <c r="B55" s="149">
        <v>42963</v>
      </c>
      <c r="C55" s="140">
        <v>520</v>
      </c>
      <c r="D55" s="149" t="s">
        <v>167</v>
      </c>
      <c r="E55"/>
      <c r="F55" s="22"/>
      <c r="H55" s="100"/>
    </row>
    <row r="56" spans="1:16" x14ac:dyDescent="0.25">
      <c r="A56"/>
      <c r="B56" s="149">
        <v>42964</v>
      </c>
      <c r="C56" s="140">
        <v>493</v>
      </c>
      <c r="D56" s="149" t="s">
        <v>97</v>
      </c>
      <c r="E56"/>
      <c r="F56" s="22"/>
      <c r="H56" s="100"/>
    </row>
    <row r="57" spans="1:16" x14ac:dyDescent="0.25">
      <c r="B57" s="149">
        <v>42965</v>
      </c>
      <c r="C57" s="140">
        <v>495</v>
      </c>
      <c r="D57" s="149" t="s">
        <v>97</v>
      </c>
      <c r="E57"/>
      <c r="H57" s="100"/>
    </row>
    <row r="58" spans="1:16" x14ac:dyDescent="0.25">
      <c r="B58" s="149">
        <v>42966</v>
      </c>
      <c r="C58" s="140">
        <v>520</v>
      </c>
      <c r="D58" s="149" t="s">
        <v>167</v>
      </c>
      <c r="E58"/>
      <c r="H58" s="100"/>
    </row>
    <row r="59" spans="1:16" x14ac:dyDescent="0.25">
      <c r="B59" s="149">
        <v>42967</v>
      </c>
      <c r="C59" s="140">
        <v>435</v>
      </c>
      <c r="D59" s="149" t="s">
        <v>698</v>
      </c>
      <c r="E59"/>
      <c r="H59" s="100"/>
    </row>
    <row r="60" spans="1:16" x14ac:dyDescent="0.25">
      <c r="B60" s="149">
        <v>42968</v>
      </c>
      <c r="C60" s="140">
        <v>821</v>
      </c>
      <c r="D60" s="149" t="s">
        <v>365</v>
      </c>
      <c r="E60"/>
      <c r="H60" s="100"/>
    </row>
    <row r="61" spans="1:16" x14ac:dyDescent="0.25">
      <c r="B61" s="149">
        <v>42969</v>
      </c>
      <c r="C61" s="140">
        <v>0</v>
      </c>
      <c r="D61" s="149"/>
      <c r="E61"/>
    </row>
    <row r="62" spans="1:16" x14ac:dyDescent="0.25">
      <c r="B62" s="149">
        <v>42970</v>
      </c>
      <c r="C62" s="140">
        <v>520</v>
      </c>
      <c r="D62" s="149" t="s">
        <v>167</v>
      </c>
      <c r="E62"/>
    </row>
    <row r="63" spans="1:16" x14ac:dyDescent="0.25">
      <c r="B63" s="149">
        <v>42971</v>
      </c>
      <c r="C63" s="140">
        <v>475</v>
      </c>
      <c r="D63" s="149" t="s">
        <v>97</v>
      </c>
      <c r="E63"/>
    </row>
    <row r="64" spans="1:16" x14ac:dyDescent="0.25">
      <c r="B64" s="149">
        <v>42972</v>
      </c>
      <c r="C64" s="140">
        <v>0</v>
      </c>
      <c r="D64"/>
      <c r="E64"/>
    </row>
    <row r="65" spans="2:5" x14ac:dyDescent="0.25">
      <c r="B65" s="149">
        <v>42973</v>
      </c>
      <c r="C65" s="164">
        <v>2182</v>
      </c>
      <c r="D65" s="149" t="s">
        <v>181</v>
      </c>
      <c r="E65"/>
    </row>
    <row r="66" spans="2:5" x14ac:dyDescent="0.25">
      <c r="B66" s="149">
        <v>42974</v>
      </c>
    </row>
    <row r="67" spans="2:5" x14ac:dyDescent="0.25">
      <c r="B67" s="149">
        <v>42975</v>
      </c>
      <c r="C67" s="140">
        <v>1196</v>
      </c>
      <c r="D67" s="149" t="s">
        <v>97</v>
      </c>
    </row>
    <row r="68" spans="2:5" x14ac:dyDescent="0.25">
      <c r="B68" s="149">
        <v>42976</v>
      </c>
      <c r="C68" s="140">
        <v>8698</v>
      </c>
      <c r="D68" s="22" t="s">
        <v>179</v>
      </c>
    </row>
    <row r="69" spans="2:5" x14ac:dyDescent="0.25">
      <c r="B69" s="149">
        <v>42977</v>
      </c>
      <c r="C69" s="140">
        <v>923</v>
      </c>
      <c r="D69" s="149" t="s">
        <v>97</v>
      </c>
    </row>
    <row r="70" spans="2:5" x14ac:dyDescent="0.25">
      <c r="B70" s="149">
        <v>42978</v>
      </c>
      <c r="C70" s="140">
        <v>811</v>
      </c>
      <c r="D70" s="22" t="s">
        <v>99</v>
      </c>
    </row>
    <row r="71" spans="2:5" x14ac:dyDescent="0.25">
      <c r="B71" s="149"/>
    </row>
    <row r="72" spans="2:5" ht="18.75" x14ac:dyDescent="0.3">
      <c r="C72" s="215">
        <f>SUM(C43:C71)</f>
        <v>22157.62</v>
      </c>
    </row>
  </sheetData>
  <sortState ref="A14:C25">
    <sortCondition ref="B14:B25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CCFF"/>
  </sheetPr>
  <dimension ref="A1:Q76"/>
  <sheetViews>
    <sheetView tabSelected="1" topLeftCell="A7" workbookViewId="0">
      <selection activeCell="F17" sqref="F1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7" ht="23.25" x14ac:dyDescent="0.35">
      <c r="C1" s="425" t="s">
        <v>714</v>
      </c>
      <c r="D1" s="425"/>
      <c r="E1" s="425"/>
      <c r="F1" s="425"/>
      <c r="G1" s="425"/>
      <c r="H1" s="425"/>
      <c r="I1" s="425"/>
      <c r="J1" s="425"/>
      <c r="K1" s="425"/>
      <c r="L1" s="2" t="s">
        <v>1</v>
      </c>
    </row>
    <row r="2" spans="1:17" ht="19.5" thickBot="1" x14ac:dyDescent="0.35">
      <c r="C2" s="151" t="s">
        <v>127</v>
      </c>
      <c r="E2" s="6"/>
      <c r="F2" s="7"/>
      <c r="H2" s="118" t="s">
        <v>567</v>
      </c>
      <c r="I2" s="119"/>
      <c r="J2" s="119"/>
      <c r="K2" s="120"/>
      <c r="L2" s="120"/>
      <c r="M2" s="119"/>
      <c r="N2" s="317"/>
    </row>
    <row r="3" spans="1:17" ht="16.5" thickBot="1" x14ac:dyDescent="0.3">
      <c r="C3" s="8" t="s">
        <v>2</v>
      </c>
      <c r="D3" s="9"/>
      <c r="I3" s="401" t="s">
        <v>778</v>
      </c>
      <c r="J3" s="119"/>
      <c r="K3" s="318" t="s">
        <v>779</v>
      </c>
      <c r="L3" s="318"/>
    </row>
    <row r="4" spans="1:17" ht="20.25" thickTop="1" thickBot="1" x14ac:dyDescent="0.35">
      <c r="A4" s="10" t="s">
        <v>3</v>
      </c>
      <c r="B4" s="11"/>
      <c r="C4" s="12">
        <v>170700.78</v>
      </c>
      <c r="D4" s="13"/>
      <c r="E4" s="426" t="s">
        <v>4</v>
      </c>
      <c r="F4" s="427"/>
      <c r="I4" s="428" t="s">
        <v>5</v>
      </c>
      <c r="J4" s="429"/>
      <c r="K4" s="429"/>
      <c r="L4" s="429"/>
      <c r="M4" s="14" t="s">
        <v>6</v>
      </c>
      <c r="N4" s="15" t="s">
        <v>7</v>
      </c>
    </row>
    <row r="5" spans="1:17" ht="16.5" thickTop="1" thickBot="1" x14ac:dyDescent="0.3">
      <c r="A5" s="16"/>
      <c r="B5" s="285">
        <v>42979</v>
      </c>
      <c r="C5" s="286">
        <v>48468.18</v>
      </c>
      <c r="D5" s="238" t="s">
        <v>736</v>
      </c>
      <c r="E5" s="279">
        <v>42979</v>
      </c>
      <c r="F5" s="280">
        <v>65246.18</v>
      </c>
      <c r="G5" s="22"/>
      <c r="H5" s="23">
        <v>42979</v>
      </c>
      <c r="I5" s="291">
        <v>278</v>
      </c>
      <c r="J5" s="195"/>
      <c r="K5" s="26"/>
      <c r="L5" s="27"/>
      <c r="M5" s="196">
        <v>0</v>
      </c>
      <c r="N5" s="29">
        <v>100</v>
      </c>
      <c r="O5" s="22"/>
      <c r="P5" s="335"/>
    </row>
    <row r="6" spans="1:17" ht="15.75" thickBot="1" x14ac:dyDescent="0.3">
      <c r="A6" s="16"/>
      <c r="B6" s="287">
        <v>42980</v>
      </c>
      <c r="C6" s="288">
        <v>68810.289999999994</v>
      </c>
      <c r="D6" s="239" t="s">
        <v>739</v>
      </c>
      <c r="E6" s="281">
        <v>42980</v>
      </c>
      <c r="F6" s="282">
        <v>66361.53</v>
      </c>
      <c r="G6" s="33"/>
      <c r="H6" s="23">
        <v>42980</v>
      </c>
      <c r="I6" s="292">
        <v>100</v>
      </c>
      <c r="J6" s="36"/>
      <c r="K6" s="37" t="s">
        <v>9</v>
      </c>
      <c r="L6" s="38">
        <v>0</v>
      </c>
      <c r="M6" s="39">
        <v>0</v>
      </c>
      <c r="N6" s="35">
        <v>100</v>
      </c>
      <c r="O6" s="22"/>
      <c r="P6" s="335"/>
    </row>
    <row r="7" spans="1:17" ht="15.75" thickBot="1" x14ac:dyDescent="0.3">
      <c r="A7" s="16"/>
      <c r="B7" s="287">
        <v>42981</v>
      </c>
      <c r="C7" s="288">
        <v>37713.879999999997</v>
      </c>
      <c r="D7" s="238" t="s">
        <v>740</v>
      </c>
      <c r="E7" s="281">
        <v>42981</v>
      </c>
      <c r="F7" s="282">
        <v>47191.46</v>
      </c>
      <c r="G7" s="22"/>
      <c r="H7" s="23">
        <v>42981</v>
      </c>
      <c r="I7" s="292">
        <v>100</v>
      </c>
      <c r="J7" s="36"/>
      <c r="K7" s="40" t="s">
        <v>131</v>
      </c>
      <c r="L7" s="38">
        <v>0</v>
      </c>
      <c r="M7" s="381">
        <v>9377.58</v>
      </c>
      <c r="N7" s="35">
        <v>100</v>
      </c>
      <c r="O7" s="22"/>
      <c r="P7" s="335"/>
    </row>
    <row r="8" spans="1:17" ht="15.75" thickBot="1" x14ac:dyDescent="0.3">
      <c r="A8" s="16"/>
      <c r="B8" s="287">
        <v>42982</v>
      </c>
      <c r="C8" s="288">
        <v>28523.22</v>
      </c>
      <c r="D8" s="238" t="s">
        <v>746</v>
      </c>
      <c r="E8" s="281">
        <v>42982</v>
      </c>
      <c r="F8" s="282">
        <v>35123.22</v>
      </c>
      <c r="G8" s="22"/>
      <c r="H8" s="23">
        <v>42982</v>
      </c>
      <c r="I8" s="292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44"/>
      <c r="P8" s="371"/>
      <c r="Q8" s="22"/>
    </row>
    <row r="9" spans="1:17" ht="15.75" thickBot="1" x14ac:dyDescent="0.3">
      <c r="A9" s="16"/>
      <c r="B9" s="287">
        <v>42983</v>
      </c>
      <c r="C9" s="288">
        <v>33061.769999999997</v>
      </c>
      <c r="D9" s="238" t="s">
        <v>747</v>
      </c>
      <c r="E9" s="281">
        <v>42983</v>
      </c>
      <c r="F9" s="282">
        <v>33189.769999999997</v>
      </c>
      <c r="G9" s="22"/>
      <c r="H9" s="23">
        <v>42983</v>
      </c>
      <c r="I9" s="292">
        <v>128</v>
      </c>
      <c r="J9" s="42" t="s">
        <v>748</v>
      </c>
      <c r="K9" s="37" t="s">
        <v>741</v>
      </c>
      <c r="L9" s="32">
        <f>2500+10741.35</f>
        <v>13241.35</v>
      </c>
      <c r="M9" s="39">
        <v>0</v>
      </c>
      <c r="N9" s="35">
        <v>100</v>
      </c>
      <c r="O9" s="44"/>
      <c r="P9" s="335"/>
    </row>
    <row r="10" spans="1:17" ht="15.75" thickBot="1" x14ac:dyDescent="0.3">
      <c r="A10" s="16"/>
      <c r="B10" s="287">
        <v>42984</v>
      </c>
      <c r="C10" s="288">
        <v>28525.74</v>
      </c>
      <c r="D10" s="239" t="s">
        <v>749</v>
      </c>
      <c r="E10" s="281">
        <v>42984</v>
      </c>
      <c r="F10" s="282">
        <v>28694.240000000002</v>
      </c>
      <c r="G10" s="22"/>
      <c r="H10" s="23">
        <v>42984</v>
      </c>
      <c r="I10" s="292">
        <v>168.5</v>
      </c>
      <c r="J10" s="42"/>
      <c r="K10" s="37" t="s">
        <v>742</v>
      </c>
      <c r="L10" s="32">
        <v>2100</v>
      </c>
      <c r="M10" s="39">
        <v>0</v>
      </c>
      <c r="N10" s="35">
        <v>100</v>
      </c>
      <c r="O10" s="36"/>
      <c r="P10" s="335"/>
    </row>
    <row r="11" spans="1:17" ht="15.75" thickBot="1" x14ac:dyDescent="0.3">
      <c r="A11" s="16"/>
      <c r="B11" s="287">
        <v>42985</v>
      </c>
      <c r="C11" s="288">
        <v>44558</v>
      </c>
      <c r="D11" s="240" t="s">
        <v>773</v>
      </c>
      <c r="E11" s="281">
        <v>42985</v>
      </c>
      <c r="F11" s="282">
        <v>45157.72</v>
      </c>
      <c r="G11" s="22"/>
      <c r="H11" s="23">
        <v>42985</v>
      </c>
      <c r="I11" s="292">
        <v>160</v>
      </c>
      <c r="J11" s="42"/>
      <c r="K11" s="37" t="s">
        <v>743</v>
      </c>
      <c r="L11" s="32">
        <v>0</v>
      </c>
      <c r="M11" s="39">
        <v>0</v>
      </c>
      <c r="N11" s="35">
        <v>100</v>
      </c>
      <c r="O11" s="36"/>
      <c r="P11" s="335"/>
    </row>
    <row r="12" spans="1:17" ht="15.75" thickBot="1" x14ac:dyDescent="0.3">
      <c r="A12" s="16"/>
      <c r="B12" s="287">
        <v>42986</v>
      </c>
      <c r="C12" s="288">
        <v>64798.21</v>
      </c>
      <c r="D12" s="238" t="s">
        <v>776</v>
      </c>
      <c r="E12" s="281">
        <v>42986</v>
      </c>
      <c r="F12" s="282">
        <v>67478.210000000006</v>
      </c>
      <c r="G12" s="22"/>
      <c r="H12" s="23">
        <v>42986</v>
      </c>
      <c r="I12" s="292">
        <v>680</v>
      </c>
      <c r="J12" s="42"/>
      <c r="K12" s="37" t="s">
        <v>744</v>
      </c>
      <c r="L12" s="32">
        <v>0</v>
      </c>
      <c r="M12" s="39">
        <v>0</v>
      </c>
      <c r="N12" s="35">
        <v>100</v>
      </c>
      <c r="O12" s="44" t="s">
        <v>64</v>
      </c>
      <c r="P12" s="336"/>
    </row>
    <row r="13" spans="1:17" ht="15.75" thickBot="1" x14ac:dyDescent="0.3">
      <c r="A13" s="16"/>
      <c r="B13" s="287">
        <v>42987</v>
      </c>
      <c r="C13" s="288">
        <v>65924.45</v>
      </c>
      <c r="D13" s="239" t="s">
        <v>777</v>
      </c>
      <c r="E13" s="281">
        <v>42987</v>
      </c>
      <c r="F13" s="282">
        <v>68360.45</v>
      </c>
      <c r="G13" s="22"/>
      <c r="H13" s="23">
        <v>42987</v>
      </c>
      <c r="I13" s="292">
        <v>336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335"/>
    </row>
    <row r="14" spans="1:17" ht="15.75" thickBot="1" x14ac:dyDescent="0.3">
      <c r="A14" s="16"/>
      <c r="B14" s="287">
        <v>42988</v>
      </c>
      <c r="C14" s="288">
        <v>45467.06</v>
      </c>
      <c r="D14" s="238" t="s">
        <v>781</v>
      </c>
      <c r="E14" s="281">
        <v>42988</v>
      </c>
      <c r="F14" s="282">
        <v>49067.06</v>
      </c>
      <c r="G14" s="22"/>
      <c r="H14" s="23">
        <v>42988</v>
      </c>
      <c r="I14" s="292">
        <v>100</v>
      </c>
      <c r="J14" s="42" t="s">
        <v>701</v>
      </c>
      <c r="K14" s="178" t="s">
        <v>29</v>
      </c>
      <c r="L14" s="32">
        <v>0</v>
      </c>
      <c r="M14" s="39">
        <v>0</v>
      </c>
      <c r="N14" s="35">
        <v>100</v>
      </c>
      <c r="O14" s="22"/>
      <c r="P14" s="335"/>
    </row>
    <row r="15" spans="1:17" ht="15.75" thickBot="1" x14ac:dyDescent="0.3">
      <c r="A15" s="16"/>
      <c r="B15" s="287">
        <v>42989</v>
      </c>
      <c r="C15" s="288">
        <v>27165.62</v>
      </c>
      <c r="D15" s="238" t="s">
        <v>783</v>
      </c>
      <c r="E15" s="281">
        <v>42989</v>
      </c>
      <c r="F15" s="282">
        <v>29173.62</v>
      </c>
      <c r="G15" s="22"/>
      <c r="H15" s="23">
        <v>42989</v>
      </c>
      <c r="I15" s="292">
        <v>508</v>
      </c>
      <c r="J15" s="265"/>
      <c r="K15" s="49"/>
      <c r="L15" s="32">
        <v>0</v>
      </c>
      <c r="M15" s="39">
        <v>0</v>
      </c>
      <c r="N15" s="35">
        <v>100</v>
      </c>
      <c r="O15" s="22"/>
      <c r="P15" s="335"/>
    </row>
    <row r="16" spans="1:17" ht="15.75" thickBot="1" x14ac:dyDescent="0.3">
      <c r="A16" s="16"/>
      <c r="B16" s="287">
        <v>42990</v>
      </c>
      <c r="C16" s="288">
        <v>43738.1</v>
      </c>
      <c r="D16" s="238" t="s">
        <v>783</v>
      </c>
      <c r="E16" s="281">
        <v>42990</v>
      </c>
      <c r="F16" s="282">
        <v>43873.1</v>
      </c>
      <c r="G16" s="22"/>
      <c r="H16" s="23">
        <v>42990</v>
      </c>
      <c r="I16" s="292">
        <v>135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335"/>
    </row>
    <row r="17" spans="1:16" ht="15.75" thickBot="1" x14ac:dyDescent="0.3">
      <c r="A17" s="16"/>
      <c r="B17" s="287">
        <v>42991</v>
      </c>
      <c r="C17" s="288"/>
      <c r="D17" s="238"/>
      <c r="E17" s="281">
        <v>42991</v>
      </c>
      <c r="F17" s="282"/>
      <c r="G17" s="22"/>
      <c r="H17" s="23">
        <v>42991</v>
      </c>
      <c r="I17" s="292"/>
      <c r="J17" s="42"/>
      <c r="K17" s="52"/>
      <c r="L17" s="32">
        <v>0</v>
      </c>
      <c r="M17" s="39">
        <v>0</v>
      </c>
      <c r="N17" s="35"/>
      <c r="O17" s="44"/>
      <c r="P17" s="335"/>
    </row>
    <row r="18" spans="1:16" ht="15.75" thickBot="1" x14ac:dyDescent="0.3">
      <c r="A18" s="16"/>
      <c r="B18" s="287">
        <v>42992</v>
      </c>
      <c r="C18" s="288"/>
      <c r="D18" s="238"/>
      <c r="E18" s="281">
        <v>42992</v>
      </c>
      <c r="F18" s="282"/>
      <c r="G18" s="22"/>
      <c r="H18" s="23">
        <v>42992</v>
      </c>
      <c r="I18" s="292"/>
      <c r="J18" s="42"/>
      <c r="K18" s="398" t="s">
        <v>774</v>
      </c>
      <c r="L18" s="399">
        <v>2000</v>
      </c>
      <c r="M18" s="39">
        <v>0</v>
      </c>
      <c r="N18" s="35"/>
      <c r="O18" s="44"/>
      <c r="P18" s="335"/>
    </row>
    <row r="19" spans="1:16" ht="15.75" thickBot="1" x14ac:dyDescent="0.3">
      <c r="A19" s="16"/>
      <c r="B19" s="287">
        <v>42993</v>
      </c>
      <c r="C19" s="288"/>
      <c r="D19" s="238"/>
      <c r="E19" s="281">
        <v>42993</v>
      </c>
      <c r="F19" s="282"/>
      <c r="G19" s="22"/>
      <c r="H19" s="23">
        <v>42993</v>
      </c>
      <c r="I19" s="292"/>
      <c r="J19" s="42"/>
      <c r="K19" s="398" t="s">
        <v>775</v>
      </c>
      <c r="L19" s="400">
        <v>0</v>
      </c>
      <c r="M19" s="39">
        <v>0</v>
      </c>
      <c r="N19" s="35"/>
      <c r="O19" s="22"/>
      <c r="P19" s="335"/>
    </row>
    <row r="20" spans="1:16" ht="15.75" thickBot="1" x14ac:dyDescent="0.3">
      <c r="A20" s="16"/>
      <c r="B20" s="287">
        <v>42994</v>
      </c>
      <c r="C20" s="288"/>
      <c r="D20" s="239"/>
      <c r="E20" s="281">
        <v>42994</v>
      </c>
      <c r="F20" s="282"/>
      <c r="G20" s="22"/>
      <c r="H20" s="23">
        <v>42994</v>
      </c>
      <c r="I20" s="292"/>
      <c r="J20" s="42"/>
      <c r="K20" s="56" t="s">
        <v>38</v>
      </c>
      <c r="L20" s="51">
        <v>0</v>
      </c>
      <c r="M20" s="39">
        <v>0</v>
      </c>
      <c r="N20" s="35"/>
      <c r="O20" s="44">
        <v>25.33</v>
      </c>
      <c r="P20" s="22" t="s">
        <v>684</v>
      </c>
    </row>
    <row r="21" spans="1:16" ht="15.75" thickBot="1" x14ac:dyDescent="0.3">
      <c r="A21" s="16"/>
      <c r="B21" s="287">
        <v>42995</v>
      </c>
      <c r="C21" s="288"/>
      <c r="D21" s="238"/>
      <c r="E21" s="281">
        <v>42995</v>
      </c>
      <c r="F21" s="282"/>
      <c r="G21" s="22"/>
      <c r="H21" s="23">
        <v>42995</v>
      </c>
      <c r="I21" s="292"/>
      <c r="J21" s="42"/>
      <c r="K21" s="57" t="s">
        <v>418</v>
      </c>
      <c r="L21" s="51">
        <v>0</v>
      </c>
      <c r="M21" s="39">
        <v>0</v>
      </c>
      <c r="N21" s="35"/>
      <c r="O21" s="44"/>
      <c r="P21" s="44"/>
    </row>
    <row r="22" spans="1:16" ht="15.75" thickBot="1" x14ac:dyDescent="0.3">
      <c r="A22" s="16"/>
      <c r="B22" s="287">
        <v>42996</v>
      </c>
      <c r="C22" s="288"/>
      <c r="D22" s="238"/>
      <c r="E22" s="281">
        <v>42996</v>
      </c>
      <c r="F22" s="282"/>
      <c r="G22" s="22"/>
      <c r="H22" s="23">
        <v>42996</v>
      </c>
      <c r="I22" s="292"/>
      <c r="J22" s="58"/>
      <c r="K22" s="266" t="s">
        <v>42</v>
      </c>
      <c r="L22" s="51">
        <v>0</v>
      </c>
      <c r="M22" s="39">
        <v>0</v>
      </c>
      <c r="N22" s="35"/>
      <c r="O22" s="22"/>
      <c r="P22" s="22"/>
    </row>
    <row r="23" spans="1:16" ht="15.75" thickBot="1" x14ac:dyDescent="0.3">
      <c r="A23" s="16"/>
      <c r="B23" s="287">
        <v>42997</v>
      </c>
      <c r="C23" s="288"/>
      <c r="D23" s="241"/>
      <c r="E23" s="281">
        <v>42997</v>
      </c>
      <c r="F23" s="282"/>
      <c r="G23" s="22"/>
      <c r="H23" s="23">
        <v>42997</v>
      </c>
      <c r="I23" s="292"/>
      <c r="J23" s="36"/>
      <c r="K23" s="61">
        <v>42957</v>
      </c>
      <c r="L23" s="51">
        <v>0</v>
      </c>
      <c r="M23" s="39">
        <v>0</v>
      </c>
      <c r="N23" s="35"/>
      <c r="P23" s="22"/>
    </row>
    <row r="24" spans="1:16" ht="15.75" thickBot="1" x14ac:dyDescent="0.3">
      <c r="A24" s="16"/>
      <c r="B24" s="287">
        <v>42998</v>
      </c>
      <c r="C24" s="288"/>
      <c r="D24" s="238"/>
      <c r="E24" s="281">
        <v>42998</v>
      </c>
      <c r="F24" s="282"/>
      <c r="G24" s="22"/>
      <c r="H24" s="23">
        <v>42998</v>
      </c>
      <c r="I24" s="292"/>
      <c r="J24" s="42"/>
      <c r="K24" s="214"/>
      <c r="L24" s="197">
        <v>0</v>
      </c>
      <c r="M24" s="39">
        <v>0</v>
      </c>
      <c r="N24" s="35"/>
      <c r="P24" s="22"/>
    </row>
    <row r="25" spans="1:16" ht="15.75" thickBot="1" x14ac:dyDescent="0.3">
      <c r="A25" s="16"/>
      <c r="B25" s="287">
        <v>42999</v>
      </c>
      <c r="C25" s="288"/>
      <c r="D25" s="241"/>
      <c r="E25" s="281">
        <v>42999</v>
      </c>
      <c r="F25" s="282"/>
      <c r="G25" s="22"/>
      <c r="H25" s="23">
        <v>42999</v>
      </c>
      <c r="I25" s="292"/>
      <c r="J25" s="36"/>
      <c r="K25" s="198"/>
      <c r="L25" s="197">
        <v>0</v>
      </c>
      <c r="M25" s="39">
        <v>0</v>
      </c>
      <c r="N25" s="35"/>
      <c r="O25" s="22"/>
      <c r="P25" s="22"/>
    </row>
    <row r="26" spans="1:16" ht="15.75" thickBot="1" x14ac:dyDescent="0.3">
      <c r="A26" s="16"/>
      <c r="B26" s="287">
        <v>43000</v>
      </c>
      <c r="C26" s="288"/>
      <c r="D26" s="238"/>
      <c r="E26" s="281">
        <v>43000</v>
      </c>
      <c r="F26" s="282"/>
      <c r="G26" s="22"/>
      <c r="H26" s="23">
        <v>43000</v>
      </c>
      <c r="I26" s="292"/>
      <c r="J26" s="63"/>
      <c r="K26" s="61"/>
      <c r="L26" s="51">
        <v>0</v>
      </c>
      <c r="M26" s="39">
        <v>0</v>
      </c>
      <c r="N26" s="35"/>
      <c r="O26" s="44"/>
      <c r="P26" s="47"/>
    </row>
    <row r="27" spans="1:16" ht="15.75" thickBot="1" x14ac:dyDescent="0.3">
      <c r="A27" s="16"/>
      <c r="B27" s="287">
        <v>43001</v>
      </c>
      <c r="C27" s="288"/>
      <c r="D27" s="238"/>
      <c r="E27" s="281">
        <v>43001</v>
      </c>
      <c r="F27" s="282"/>
      <c r="G27" s="22"/>
      <c r="H27" s="23">
        <v>43001</v>
      </c>
      <c r="I27" s="292"/>
      <c r="J27" s="36"/>
      <c r="K27" s="64" t="s">
        <v>735</v>
      </c>
      <c r="L27" s="51">
        <v>16500</v>
      </c>
      <c r="M27" s="39">
        <v>0</v>
      </c>
      <c r="N27" s="35"/>
      <c r="O27" s="22"/>
      <c r="P27" s="22"/>
    </row>
    <row r="28" spans="1:16" ht="15.75" thickBot="1" x14ac:dyDescent="0.3">
      <c r="A28" s="16"/>
      <c r="B28" s="287">
        <v>43002</v>
      </c>
      <c r="C28" s="288"/>
      <c r="D28" s="238"/>
      <c r="E28" s="281">
        <v>43002</v>
      </c>
      <c r="F28" s="282"/>
      <c r="G28" s="22"/>
      <c r="H28" s="23">
        <v>43002</v>
      </c>
      <c r="I28" s="292"/>
      <c r="J28" s="36"/>
      <c r="K28" s="64" t="s">
        <v>745</v>
      </c>
      <c r="L28" s="51">
        <v>4000</v>
      </c>
      <c r="M28" s="39">
        <v>0</v>
      </c>
      <c r="N28" s="35"/>
      <c r="O28" s="44"/>
      <c r="P28" s="22"/>
    </row>
    <row r="29" spans="1:16" ht="16.5" thickBot="1" x14ac:dyDescent="0.3">
      <c r="A29" s="16"/>
      <c r="B29" s="287">
        <v>43003</v>
      </c>
      <c r="C29" s="288"/>
      <c r="D29" s="238"/>
      <c r="E29" s="281">
        <v>43003</v>
      </c>
      <c r="F29" s="282"/>
      <c r="G29" s="22"/>
      <c r="H29" s="23">
        <v>43003</v>
      </c>
      <c r="I29" s="292"/>
      <c r="J29" s="36"/>
      <c r="K29" s="350" t="s">
        <v>780</v>
      </c>
      <c r="L29" s="51">
        <v>3500</v>
      </c>
      <c r="M29" s="39">
        <v>0</v>
      </c>
      <c r="N29" s="35"/>
      <c r="O29" s="44"/>
      <c r="P29" s="44"/>
    </row>
    <row r="30" spans="1:16" ht="15.75" thickBot="1" x14ac:dyDescent="0.3">
      <c r="A30" s="16"/>
      <c r="B30" s="287">
        <v>43004</v>
      </c>
      <c r="C30" s="288"/>
      <c r="D30" s="238"/>
      <c r="E30" s="281">
        <v>43004</v>
      </c>
      <c r="F30" s="282"/>
      <c r="G30" s="22"/>
      <c r="H30" s="23">
        <v>43004</v>
      </c>
      <c r="I30" s="292"/>
      <c r="J30" s="63"/>
      <c r="K30" s="64" t="s">
        <v>782</v>
      </c>
      <c r="L30" s="51">
        <v>1500</v>
      </c>
      <c r="M30" s="39">
        <v>0</v>
      </c>
      <c r="N30" s="35"/>
      <c r="O30" s="22"/>
      <c r="P30" s="22"/>
    </row>
    <row r="31" spans="1:16" ht="15.75" thickBot="1" x14ac:dyDescent="0.3">
      <c r="A31" s="16"/>
      <c r="B31" s="287">
        <v>43005</v>
      </c>
      <c r="C31" s="288"/>
      <c r="D31" s="238"/>
      <c r="E31" s="281">
        <v>43005</v>
      </c>
      <c r="F31" s="282"/>
      <c r="G31" s="22"/>
      <c r="H31" s="23">
        <v>43005</v>
      </c>
      <c r="I31" s="292"/>
      <c r="J31" s="42"/>
      <c r="K31" s="66" t="s">
        <v>628</v>
      </c>
      <c r="L31" s="362"/>
      <c r="M31" s="39">
        <v>0</v>
      </c>
      <c r="N31" s="35"/>
      <c r="O31" s="44"/>
      <c r="P31" s="44"/>
    </row>
    <row r="32" spans="1:16" ht="15.75" thickBot="1" x14ac:dyDescent="0.3">
      <c r="A32" s="16"/>
      <c r="B32" s="287">
        <v>43006</v>
      </c>
      <c r="C32" s="288"/>
      <c r="D32" s="238"/>
      <c r="E32" s="281">
        <v>43006</v>
      </c>
      <c r="F32" s="282"/>
      <c r="G32" s="22"/>
      <c r="H32" s="23">
        <v>43006</v>
      </c>
      <c r="I32" s="292"/>
      <c r="J32" s="36"/>
      <c r="K32" s="64" t="s">
        <v>629</v>
      </c>
      <c r="L32" s="363"/>
      <c r="M32" s="39"/>
      <c r="N32" s="35">
        <v>0</v>
      </c>
      <c r="O32" s="22"/>
      <c r="P32" s="22"/>
    </row>
    <row r="33" spans="1:16" ht="15.75" customHeight="1" thickBot="1" x14ac:dyDescent="0.3">
      <c r="A33" s="16"/>
      <c r="B33" s="287">
        <v>43007</v>
      </c>
      <c r="C33" s="288"/>
      <c r="D33" s="240"/>
      <c r="E33" s="281">
        <v>43007</v>
      </c>
      <c r="F33" s="282"/>
      <c r="G33" s="22"/>
      <c r="H33" s="23">
        <v>43007</v>
      </c>
      <c r="I33" s="292"/>
      <c r="J33" s="36"/>
      <c r="K33" s="386" t="s">
        <v>738</v>
      </c>
      <c r="L33" s="232">
        <v>150</v>
      </c>
      <c r="M33" s="39">
        <v>0</v>
      </c>
      <c r="N33" s="35">
        <v>0</v>
      </c>
      <c r="O33" s="22"/>
      <c r="P33" s="22"/>
    </row>
    <row r="34" spans="1:16" ht="15.75" customHeight="1" thickBot="1" x14ac:dyDescent="0.3">
      <c r="A34" s="16"/>
      <c r="B34" s="287">
        <v>43008</v>
      </c>
      <c r="C34" s="289"/>
      <c r="D34" s="238"/>
      <c r="E34" s="281">
        <v>43008</v>
      </c>
      <c r="F34" s="282"/>
      <c r="G34" s="22"/>
      <c r="H34" s="23"/>
      <c r="I34" s="292"/>
      <c r="J34" s="36"/>
      <c r="K34" s="386"/>
      <c r="L34" s="233"/>
      <c r="M34" s="39">
        <v>0</v>
      </c>
      <c r="N34" s="35">
        <v>0</v>
      </c>
      <c r="O34" s="22"/>
    </row>
    <row r="35" spans="1:16" ht="15.75" thickBot="1" x14ac:dyDescent="0.3">
      <c r="A35" s="16"/>
      <c r="B35" s="287"/>
      <c r="C35" s="30"/>
      <c r="D35" s="45"/>
      <c r="E35" s="281"/>
      <c r="F35" s="284"/>
      <c r="G35" s="22"/>
      <c r="H35" s="23"/>
      <c r="I35" s="292"/>
      <c r="J35" s="36"/>
      <c r="K35" s="447"/>
      <c r="L35" s="38">
        <v>0</v>
      </c>
      <c r="M35" s="39">
        <v>0</v>
      </c>
      <c r="N35" s="70"/>
    </row>
    <row r="36" spans="1:16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0"/>
      <c r="I36" s="293">
        <v>0</v>
      </c>
      <c r="J36" s="77"/>
      <c r="K36" s="447"/>
      <c r="L36" s="41"/>
      <c r="M36" s="78">
        <v>0</v>
      </c>
      <c r="N36" s="79">
        <f>SUM(N5:N35)</f>
        <v>1200</v>
      </c>
      <c r="P36" s="80"/>
    </row>
    <row r="37" spans="1:16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9377.58</v>
      </c>
    </row>
    <row r="38" spans="1:16" x14ac:dyDescent="0.25">
      <c r="B38" s="91" t="s">
        <v>60</v>
      </c>
      <c r="C38" s="92">
        <f>SUM(C5:C37)</f>
        <v>536754.52</v>
      </c>
      <c r="E38" s="376" t="s">
        <v>60</v>
      </c>
      <c r="F38" s="94">
        <f>SUM(F5:F37)</f>
        <v>578916.56000000006</v>
      </c>
      <c r="H38" s="6" t="s">
        <v>60</v>
      </c>
      <c r="I38" s="4">
        <f>SUM(I5:I37)</f>
        <v>2793.5</v>
      </c>
      <c r="J38" s="4"/>
      <c r="K38" s="95" t="s">
        <v>60</v>
      </c>
      <c r="L38" s="96">
        <f>SUM(L5:L37)</f>
        <v>71741.350000000006</v>
      </c>
    </row>
    <row r="40" spans="1:16" ht="15.75" x14ac:dyDescent="0.25">
      <c r="A40" s="97"/>
      <c r="B40" s="98"/>
      <c r="C40" s="36"/>
      <c r="D40" s="99"/>
      <c r="E40" s="100"/>
      <c r="F40" s="77"/>
      <c r="H40" s="421" t="s">
        <v>61</v>
      </c>
      <c r="I40" s="422"/>
      <c r="J40" s="378"/>
      <c r="K40" s="423">
        <f>I38+L38</f>
        <v>74534.850000000006</v>
      </c>
      <c r="L40" s="424"/>
    </row>
    <row r="41" spans="1:16" ht="15.75" x14ac:dyDescent="0.25">
      <c r="B41" s="102"/>
      <c r="C41" s="77"/>
      <c r="D41" s="408" t="s">
        <v>62</v>
      </c>
      <c r="E41" s="408"/>
      <c r="F41" s="103">
        <f>F38-K40</f>
        <v>504381.71000000008</v>
      </c>
      <c r="I41" s="104"/>
      <c r="J41" s="104"/>
    </row>
    <row r="42" spans="1:16" ht="15.75" x14ac:dyDescent="0.25">
      <c r="D42" s="409" t="s">
        <v>63</v>
      </c>
      <c r="E42" s="409"/>
      <c r="F42" s="103"/>
      <c r="I42" s="104"/>
      <c r="J42" s="104" t="s">
        <v>64</v>
      </c>
    </row>
    <row r="43" spans="1:16" ht="15.75" thickBot="1" x14ac:dyDescent="0.3">
      <c r="D43" s="105"/>
      <c r="E43" s="106"/>
      <c r="F43" s="107"/>
    </row>
    <row r="44" spans="1:16" ht="15.75" thickTop="1" x14ac:dyDescent="0.25">
      <c r="C44" s="3" t="s">
        <v>64</v>
      </c>
      <c r="E44" s="97" t="s">
        <v>65</v>
      </c>
      <c r="F44" s="4">
        <f>SUM(F41:F43)</f>
        <v>504381.71000000008</v>
      </c>
      <c r="I44" s="410" t="s">
        <v>66</v>
      </c>
      <c r="J44" s="411"/>
      <c r="K44" s="414">
        <f>F48+L46</f>
        <v>504381.71000000008</v>
      </c>
      <c r="L44" s="415"/>
    </row>
    <row r="45" spans="1:16" ht="15.75" thickBot="1" x14ac:dyDescent="0.3">
      <c r="D45" s="108" t="s">
        <v>67</v>
      </c>
      <c r="E45" s="97" t="s">
        <v>68</v>
      </c>
      <c r="F45" s="4"/>
      <c r="I45" s="412"/>
      <c r="J45" s="413"/>
      <c r="K45" s="416"/>
      <c r="L45" s="417"/>
    </row>
    <row r="46" spans="1:16" ht="17.25" thickTop="1" thickBot="1" x14ac:dyDescent="0.3">
      <c r="C46" s="94"/>
      <c r="D46" s="418" t="s">
        <v>69</v>
      </c>
      <c r="E46" s="418"/>
      <c r="F46" s="109"/>
      <c r="I46" s="419"/>
      <c r="J46" s="419"/>
      <c r="K46" s="420"/>
      <c r="L46" s="110"/>
    </row>
    <row r="47" spans="1:16" ht="19.5" thickBot="1" x14ac:dyDescent="0.35">
      <c r="C47" s="94"/>
      <c r="D47" s="376"/>
      <c r="E47" s="376"/>
      <c r="F47" s="111"/>
      <c r="H47" s="112"/>
      <c r="I47" s="377" t="s">
        <v>275</v>
      </c>
      <c r="J47" s="377"/>
      <c r="K47" s="402">
        <f>-C4</f>
        <v>-170700.78</v>
      </c>
      <c r="L47" s="402"/>
      <c r="M47" s="114"/>
    </row>
    <row r="48" spans="1:16" ht="17.25" thickTop="1" thickBot="1" x14ac:dyDescent="0.3">
      <c r="E48" s="115" t="s">
        <v>71</v>
      </c>
      <c r="F48" s="116">
        <f>F44+F45+F46</f>
        <v>504381.71000000008</v>
      </c>
    </row>
    <row r="49" spans="2:14" ht="19.5" thickBot="1" x14ac:dyDescent="0.35">
      <c r="B49"/>
      <c r="C49"/>
      <c r="D49" s="403"/>
      <c r="E49" s="403"/>
      <c r="F49" s="77"/>
      <c r="I49" s="404"/>
      <c r="J49" s="405"/>
      <c r="K49" s="406">
        <f>K44+K47</f>
        <v>333680.93000000005</v>
      </c>
      <c r="L49" s="40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36"/>
      <c r="N54" s="97"/>
    </row>
    <row r="55" spans="2:14" x14ac:dyDescent="0.25">
      <c r="M55" s="130"/>
      <c r="N55" s="97"/>
    </row>
    <row r="56" spans="2:14" x14ac:dyDescent="0.25">
      <c r="M56" s="36"/>
      <c r="N56" s="97"/>
    </row>
    <row r="57" spans="2:14" x14ac:dyDescent="0.25">
      <c r="M57" s="36"/>
      <c r="N57" s="97"/>
    </row>
    <row r="58" spans="2:14" x14ac:dyDescent="0.25">
      <c r="M58" s="130"/>
    </row>
    <row r="59" spans="2:14" x14ac:dyDescent="0.25">
      <c r="M59" s="130"/>
    </row>
    <row r="60" spans="2:14" x14ac:dyDescent="0.25">
      <c r="M60" s="130"/>
    </row>
    <row r="61" spans="2:14" x14ac:dyDescent="0.25">
      <c r="M61" s="130"/>
    </row>
    <row r="62" spans="2:14" x14ac:dyDescent="0.25">
      <c r="M62" s="130"/>
    </row>
    <row r="63" spans="2:14" x14ac:dyDescent="0.25">
      <c r="M63" s="130"/>
    </row>
    <row r="64" spans="2:14" x14ac:dyDescent="0.25">
      <c r="M64" s="130"/>
    </row>
    <row r="65" spans="13:13" x14ac:dyDescent="0.25">
      <c r="M65" s="130"/>
    </row>
    <row r="66" spans="13:13" x14ac:dyDescent="0.25">
      <c r="M66" s="130"/>
    </row>
    <row r="67" spans="13:13" x14ac:dyDescent="0.25">
      <c r="M67" s="130"/>
    </row>
    <row r="68" spans="13:13" x14ac:dyDescent="0.25">
      <c r="M68" s="130"/>
    </row>
    <row r="69" spans="13:13" x14ac:dyDescent="0.25">
      <c r="M69" s="130"/>
    </row>
    <row r="70" spans="13:13" x14ac:dyDescent="0.25">
      <c r="M70" s="130"/>
    </row>
    <row r="71" spans="13:13" x14ac:dyDescent="0.25">
      <c r="M71" s="130"/>
    </row>
    <row r="72" spans="13:13" x14ac:dyDescent="0.25">
      <c r="M72" s="130"/>
    </row>
    <row r="73" spans="13:13" x14ac:dyDescent="0.25">
      <c r="M73" s="130"/>
    </row>
    <row r="74" spans="13:13" x14ac:dyDescent="0.25">
      <c r="M74" s="130"/>
    </row>
    <row r="75" spans="13:13" x14ac:dyDescent="0.25">
      <c r="M75" s="130"/>
    </row>
    <row r="76" spans="13:13" x14ac:dyDescent="0.25">
      <c r="M76" s="130"/>
    </row>
  </sheetData>
  <mergeCells count="16">
    <mergeCell ref="H40:I40"/>
    <mergeCell ref="K40:L40"/>
    <mergeCell ref="C1:K1"/>
    <mergeCell ref="E4:F4"/>
    <mergeCell ref="I4:L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</sheetPr>
  <dimension ref="A1:Q65"/>
  <sheetViews>
    <sheetView topLeftCell="A10" workbookViewId="0">
      <selection activeCell="A31" sqref="A31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5" customWidth="1"/>
    <col min="15" max="15" width="20.140625" bestFit="1" customWidth="1"/>
    <col min="16" max="16" width="12.7109375" bestFit="1" customWidth="1"/>
  </cols>
  <sheetData>
    <row r="1" spans="1:17" ht="19.5" thickBot="1" x14ac:dyDescent="0.35">
      <c r="B1" s="118" t="s">
        <v>715</v>
      </c>
      <c r="C1" s="119"/>
      <c r="D1" s="120"/>
      <c r="E1" s="119"/>
      <c r="F1" s="121"/>
      <c r="J1" s="151"/>
      <c r="K1" t="s">
        <v>64</v>
      </c>
      <c r="L1" s="154" t="s">
        <v>105</v>
      </c>
      <c r="M1" s="155"/>
      <c r="N1" s="156"/>
      <c r="O1" s="242">
        <v>42987</v>
      </c>
      <c r="P1" s="158"/>
    </row>
    <row r="2" spans="1:17" ht="16.5" thickBot="1" x14ac:dyDescent="0.3">
      <c r="A2" s="122"/>
      <c r="B2" s="123"/>
      <c r="C2" s="124"/>
      <c r="D2" s="123"/>
      <c r="E2" s="124"/>
      <c r="F2" s="124"/>
      <c r="I2" t="s">
        <v>722</v>
      </c>
      <c r="J2" s="151">
        <v>2600.98</v>
      </c>
      <c r="K2" s="159"/>
      <c r="L2" s="160"/>
      <c r="M2" s="159"/>
      <c r="N2" s="161"/>
      <c r="O2" s="160"/>
      <c r="P2" s="162"/>
    </row>
    <row r="3" spans="1:17" ht="15.75" x14ac:dyDescent="0.25">
      <c r="A3" s="125">
        <v>42979</v>
      </c>
      <c r="B3" s="126" t="s">
        <v>716</v>
      </c>
      <c r="C3" s="36">
        <v>88564.25</v>
      </c>
      <c r="D3" s="127">
        <v>42987</v>
      </c>
      <c r="E3" s="36">
        <v>88564.25</v>
      </c>
      <c r="F3" s="128">
        <f t="shared" ref="F3:F30" si="0">C3-E3</f>
        <v>0</v>
      </c>
      <c r="I3" t="s">
        <v>723</v>
      </c>
      <c r="J3" s="151">
        <v>19187.330000000002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7" ht="15.75" x14ac:dyDescent="0.25">
      <c r="A4" s="129">
        <v>42980</v>
      </c>
      <c r="B4" s="126" t="s">
        <v>717</v>
      </c>
      <c r="C4" s="130">
        <v>41044.31</v>
      </c>
      <c r="D4" s="127">
        <v>42987</v>
      </c>
      <c r="E4" s="130">
        <v>41044.31</v>
      </c>
      <c r="F4" s="128">
        <f t="shared" si="0"/>
        <v>0</v>
      </c>
      <c r="J4" s="164">
        <v>20787.14</v>
      </c>
      <c r="K4" s="126" t="s">
        <v>707</v>
      </c>
      <c r="L4" s="130">
        <v>19831.599999999999</v>
      </c>
      <c r="M4" s="165" t="s">
        <v>111</v>
      </c>
      <c r="N4" s="166" t="s">
        <v>113</v>
      </c>
      <c r="O4" s="167">
        <v>42575.5</v>
      </c>
      <c r="P4" s="168">
        <v>42979</v>
      </c>
    </row>
    <row r="5" spans="1:17" ht="15.75" x14ac:dyDescent="0.25">
      <c r="A5" s="129">
        <v>42982</v>
      </c>
      <c r="B5" s="132" t="s">
        <v>718</v>
      </c>
      <c r="C5" s="36">
        <v>72197.5</v>
      </c>
      <c r="D5" s="127">
        <v>42987</v>
      </c>
      <c r="E5" s="36">
        <v>72197.5</v>
      </c>
      <c r="F5" s="128">
        <f t="shared" si="0"/>
        <v>0</v>
      </c>
      <c r="J5" s="164">
        <f>29774.01+31521.71+15293.21</f>
        <v>76588.929999999993</v>
      </c>
      <c r="K5" s="126" t="s">
        <v>711</v>
      </c>
      <c r="L5" s="130">
        <v>76588.929999999993</v>
      </c>
      <c r="M5" s="165"/>
      <c r="N5" s="166" t="s">
        <v>113</v>
      </c>
      <c r="O5" s="167">
        <v>29774</v>
      </c>
      <c r="P5" s="168">
        <v>42979</v>
      </c>
    </row>
    <row r="6" spans="1:17" ht="15.75" x14ac:dyDescent="0.25">
      <c r="A6" s="129">
        <v>42983</v>
      </c>
      <c r="B6" s="126" t="s">
        <v>719</v>
      </c>
      <c r="C6" s="36">
        <v>18782.02</v>
      </c>
      <c r="D6" s="127">
        <v>42987</v>
      </c>
      <c r="E6" s="36">
        <v>18782.02</v>
      </c>
      <c r="F6" s="128">
        <f t="shared" si="0"/>
        <v>0</v>
      </c>
      <c r="J6" s="140">
        <v>9406.08</v>
      </c>
      <c r="K6" s="126" t="s">
        <v>712</v>
      </c>
      <c r="L6" s="130">
        <v>9486.08</v>
      </c>
      <c r="M6" s="165"/>
      <c r="N6" s="166" t="s">
        <v>113</v>
      </c>
      <c r="O6" s="167">
        <v>30992</v>
      </c>
      <c r="P6" s="168">
        <v>42979</v>
      </c>
    </row>
    <row r="7" spans="1:17" ht="15.75" x14ac:dyDescent="0.25">
      <c r="A7" s="129">
        <v>42983</v>
      </c>
      <c r="B7" s="126" t="s">
        <v>720</v>
      </c>
      <c r="C7" s="130">
        <v>13830.8</v>
      </c>
      <c r="D7" s="127">
        <v>42987</v>
      </c>
      <c r="E7" s="130">
        <v>13830.8</v>
      </c>
      <c r="F7" s="128">
        <f t="shared" si="0"/>
        <v>0</v>
      </c>
      <c r="J7" s="140">
        <f>65425.36+23138.89</f>
        <v>88564.25</v>
      </c>
      <c r="K7" s="126" t="s">
        <v>716</v>
      </c>
      <c r="L7" s="36">
        <v>88564.25</v>
      </c>
      <c r="M7" s="165"/>
      <c r="N7" s="166" t="s">
        <v>113</v>
      </c>
      <c r="O7" s="167">
        <v>530</v>
      </c>
      <c r="P7" s="168">
        <v>42979</v>
      </c>
    </row>
    <row r="8" spans="1:17" ht="15.75" x14ac:dyDescent="0.25">
      <c r="A8" s="129">
        <v>42984</v>
      </c>
      <c r="B8" s="126" t="s">
        <v>721</v>
      </c>
      <c r="C8" s="130">
        <v>37976.76</v>
      </c>
      <c r="D8" s="213" t="s">
        <v>765</v>
      </c>
      <c r="E8" s="130">
        <f>4010.91+33965.85</f>
        <v>37976.759999999995</v>
      </c>
      <c r="F8" s="128">
        <f t="shared" si="0"/>
        <v>0</v>
      </c>
      <c r="J8" s="140">
        <f>3330.43+37713.88</f>
        <v>41044.31</v>
      </c>
      <c r="K8" s="126" t="s">
        <v>717</v>
      </c>
      <c r="L8" s="130">
        <v>41044.31</v>
      </c>
      <c r="M8" s="165"/>
      <c r="N8" s="166">
        <v>3932774</v>
      </c>
      <c r="O8" s="167">
        <v>47838</v>
      </c>
      <c r="P8" s="168">
        <v>42982</v>
      </c>
      <c r="Q8" s="16">
        <v>42979</v>
      </c>
    </row>
    <row r="9" spans="1:17" ht="15.75" x14ac:dyDescent="0.25">
      <c r="A9" s="129">
        <v>42985</v>
      </c>
      <c r="B9" s="126" t="s">
        <v>752</v>
      </c>
      <c r="C9" s="130">
        <v>31888.85</v>
      </c>
      <c r="D9" s="127">
        <v>43001</v>
      </c>
      <c r="E9" s="130">
        <v>31888.85</v>
      </c>
      <c r="F9" s="128">
        <f t="shared" si="0"/>
        <v>0</v>
      </c>
      <c r="J9" s="164">
        <f>27909.22+33061.77+11226.28</f>
        <v>72197.27</v>
      </c>
      <c r="K9" s="132" t="s">
        <v>718</v>
      </c>
      <c r="L9" s="36">
        <v>72197.5</v>
      </c>
      <c r="M9" s="165"/>
      <c r="N9" s="166">
        <v>3932775</v>
      </c>
      <c r="O9" s="167">
        <v>59568</v>
      </c>
      <c r="P9" s="168">
        <v>42982</v>
      </c>
      <c r="Q9" s="16">
        <v>42980</v>
      </c>
    </row>
    <row r="10" spans="1:17" ht="15.75" x14ac:dyDescent="0.25">
      <c r="A10" s="129">
        <v>42986</v>
      </c>
      <c r="B10" s="126" t="s">
        <v>753</v>
      </c>
      <c r="C10" s="130">
        <v>85131.8</v>
      </c>
      <c r="D10" s="127">
        <v>43001</v>
      </c>
      <c r="E10" s="130">
        <v>85131.8</v>
      </c>
      <c r="F10" s="128">
        <f t="shared" si="0"/>
        <v>0</v>
      </c>
      <c r="J10" s="140">
        <v>13959.46</v>
      </c>
      <c r="K10" s="126" t="s">
        <v>719</v>
      </c>
      <c r="L10" s="36">
        <v>18782.02</v>
      </c>
      <c r="M10" s="165"/>
      <c r="N10" s="166" t="s">
        <v>113</v>
      </c>
      <c r="O10" s="167">
        <v>5007</v>
      </c>
      <c r="P10" s="168">
        <v>42976</v>
      </c>
      <c r="Q10" s="16">
        <v>42980</v>
      </c>
    </row>
    <row r="11" spans="1:17" ht="15.75" x14ac:dyDescent="0.25">
      <c r="A11" s="129">
        <v>42987</v>
      </c>
      <c r="B11" s="126" t="s">
        <v>754</v>
      </c>
      <c r="C11" s="130">
        <v>30442</v>
      </c>
      <c r="D11" s="127">
        <v>43001</v>
      </c>
      <c r="E11" s="130">
        <v>30442</v>
      </c>
      <c r="F11" s="128">
        <f t="shared" si="0"/>
        <v>0</v>
      </c>
      <c r="J11" s="140"/>
      <c r="K11" s="126" t="s">
        <v>720</v>
      </c>
      <c r="L11" s="130">
        <v>13830.8</v>
      </c>
      <c r="M11" s="165"/>
      <c r="N11" s="166" t="s">
        <v>113</v>
      </c>
      <c r="O11" s="167">
        <v>2185</v>
      </c>
      <c r="P11" s="168">
        <v>42977</v>
      </c>
      <c r="Q11" s="16">
        <v>42980</v>
      </c>
    </row>
    <row r="12" spans="1:17" ht="15.75" x14ac:dyDescent="0.25">
      <c r="A12" s="129">
        <v>42988</v>
      </c>
      <c r="B12" s="126" t="s">
        <v>755</v>
      </c>
      <c r="C12" s="130">
        <v>2712.62</v>
      </c>
      <c r="D12" s="127">
        <v>43001</v>
      </c>
      <c r="E12" s="130">
        <v>2712.62</v>
      </c>
      <c r="F12" s="128">
        <f t="shared" si="0"/>
        <v>0</v>
      </c>
      <c r="J12" s="140"/>
      <c r="K12" s="126" t="s">
        <v>721</v>
      </c>
      <c r="L12" s="130">
        <v>4010.91</v>
      </c>
      <c r="M12" s="183" t="s">
        <v>202</v>
      </c>
      <c r="N12" s="166" t="s">
        <v>113</v>
      </c>
      <c r="O12" s="167">
        <v>1996</v>
      </c>
      <c r="P12" s="168">
        <v>42979</v>
      </c>
      <c r="Q12" s="16">
        <v>42980</v>
      </c>
    </row>
    <row r="13" spans="1:17" ht="15.75" x14ac:dyDescent="0.25">
      <c r="A13" s="129">
        <v>42989</v>
      </c>
      <c r="B13" s="126" t="s">
        <v>756</v>
      </c>
      <c r="C13" s="130">
        <v>94170.26</v>
      </c>
      <c r="D13" s="127">
        <v>43001</v>
      </c>
      <c r="E13" s="130">
        <v>94170.26</v>
      </c>
      <c r="F13" s="128">
        <f t="shared" si="0"/>
        <v>0</v>
      </c>
      <c r="J13" s="164"/>
      <c r="K13" s="126"/>
      <c r="L13" s="130"/>
      <c r="M13" s="235"/>
      <c r="N13" s="184"/>
      <c r="O13" s="185">
        <v>37713.9</v>
      </c>
      <c r="P13" s="186">
        <v>42984</v>
      </c>
      <c r="Q13" s="16">
        <v>42981</v>
      </c>
    </row>
    <row r="14" spans="1:17" ht="15.75" x14ac:dyDescent="0.25">
      <c r="A14" s="129">
        <v>42990</v>
      </c>
      <c r="B14" s="126" t="s">
        <v>757</v>
      </c>
      <c r="C14" s="130">
        <v>21664.69</v>
      </c>
      <c r="D14" s="127">
        <v>43001</v>
      </c>
      <c r="E14" s="130">
        <v>21664.69</v>
      </c>
      <c r="F14" s="128">
        <f t="shared" si="0"/>
        <v>0</v>
      </c>
      <c r="J14" s="164"/>
      <c r="K14" s="126"/>
      <c r="L14" s="130"/>
      <c r="M14" s="187"/>
      <c r="N14" s="184"/>
      <c r="O14" s="301">
        <v>27909</v>
      </c>
      <c r="P14" s="186">
        <v>42984</v>
      </c>
      <c r="Q14" s="16">
        <v>42982</v>
      </c>
    </row>
    <row r="15" spans="1:17" ht="15.75" x14ac:dyDescent="0.25">
      <c r="A15" s="129">
        <v>42991</v>
      </c>
      <c r="B15" s="126" t="s">
        <v>758</v>
      </c>
      <c r="C15" s="130">
        <v>84976.3</v>
      </c>
      <c r="D15" s="127">
        <v>43001</v>
      </c>
      <c r="E15" s="130">
        <v>84976.3</v>
      </c>
      <c r="F15" s="128">
        <f t="shared" si="0"/>
        <v>0</v>
      </c>
      <c r="J15" s="164"/>
      <c r="K15" s="126"/>
      <c r="L15" s="130"/>
      <c r="M15" s="187"/>
      <c r="N15" s="184"/>
      <c r="O15" s="302">
        <v>33062</v>
      </c>
      <c r="P15" s="186">
        <v>42984</v>
      </c>
      <c r="Q15" s="16">
        <v>42983</v>
      </c>
    </row>
    <row r="16" spans="1:17" ht="15.75" x14ac:dyDescent="0.25">
      <c r="A16" s="129">
        <v>42992</v>
      </c>
      <c r="B16" s="126" t="s">
        <v>759</v>
      </c>
      <c r="C16" s="130">
        <v>15147.1</v>
      </c>
      <c r="D16" s="127">
        <v>43001</v>
      </c>
      <c r="E16" s="130">
        <v>15147.1</v>
      </c>
      <c r="F16" s="128">
        <f t="shared" si="0"/>
        <v>0</v>
      </c>
      <c r="J16" s="164"/>
      <c r="K16" s="126"/>
      <c r="L16" s="130"/>
      <c r="M16" s="227"/>
      <c r="N16" s="369"/>
      <c r="O16" s="302">
        <v>25186</v>
      </c>
      <c r="P16" s="186">
        <v>42986</v>
      </c>
      <c r="Q16" s="16">
        <v>42984</v>
      </c>
    </row>
    <row r="17" spans="1:16" ht="16.5" thickBot="1" x14ac:dyDescent="0.3">
      <c r="A17" s="129">
        <v>42993</v>
      </c>
      <c r="B17" s="126" t="s">
        <v>760</v>
      </c>
      <c r="C17" s="130">
        <v>59535.08</v>
      </c>
      <c r="D17" s="127">
        <v>43001</v>
      </c>
      <c r="E17" s="130">
        <v>59535.08</v>
      </c>
      <c r="F17" s="128">
        <f t="shared" si="0"/>
        <v>0</v>
      </c>
      <c r="J17" s="342"/>
      <c r="K17" s="143"/>
      <c r="L17" s="345"/>
      <c r="M17" s="207"/>
      <c r="N17" s="343" t="s">
        <v>113</v>
      </c>
      <c r="O17" s="344">
        <v>0</v>
      </c>
      <c r="P17" s="207"/>
    </row>
    <row r="18" spans="1:16" ht="16.5" thickTop="1" x14ac:dyDescent="0.25">
      <c r="A18" s="129">
        <v>42993</v>
      </c>
      <c r="B18" s="126" t="s">
        <v>761</v>
      </c>
      <c r="C18" s="130">
        <v>1929.2</v>
      </c>
      <c r="D18" s="127">
        <v>43001</v>
      </c>
      <c r="E18" s="130">
        <v>1929.2</v>
      </c>
      <c r="F18" s="128">
        <f t="shared" si="0"/>
        <v>0</v>
      </c>
      <c r="J18" s="160">
        <f>SUM(J2:J17)</f>
        <v>344335.75</v>
      </c>
      <c r="K18" s="163"/>
      <c r="L18" s="153">
        <f>SUM(L4:L17)</f>
        <v>344336.39999999997</v>
      </c>
      <c r="M18" s="163"/>
      <c r="N18" s="163"/>
      <c r="O18" s="153">
        <f>SUM(O4:O17)</f>
        <v>344336.4</v>
      </c>
      <c r="P18" s="163"/>
    </row>
    <row r="19" spans="1:16" x14ac:dyDescent="0.25">
      <c r="A19" s="129">
        <v>42993</v>
      </c>
      <c r="B19" s="126" t="s">
        <v>762</v>
      </c>
      <c r="C19" s="130">
        <v>3248</v>
      </c>
      <c r="D19" s="127">
        <v>43001</v>
      </c>
      <c r="E19" s="130">
        <v>3248</v>
      </c>
      <c r="F19" s="128">
        <f t="shared" si="0"/>
        <v>0</v>
      </c>
    </row>
    <row r="20" spans="1:16" x14ac:dyDescent="0.25">
      <c r="A20" s="236">
        <v>42995</v>
      </c>
      <c r="B20" s="126" t="s">
        <v>763</v>
      </c>
      <c r="C20" s="130">
        <v>109642.76</v>
      </c>
      <c r="D20" s="127">
        <v>43001</v>
      </c>
      <c r="E20" s="130">
        <v>109642.76</v>
      </c>
      <c r="F20" s="128">
        <f t="shared" si="0"/>
        <v>0</v>
      </c>
    </row>
    <row r="21" spans="1:16" x14ac:dyDescent="0.25">
      <c r="A21" s="236">
        <v>42997</v>
      </c>
      <c r="B21" s="126" t="s">
        <v>764</v>
      </c>
      <c r="C21" s="130">
        <v>60091.8</v>
      </c>
      <c r="D21" s="127" t="s">
        <v>772</v>
      </c>
      <c r="E21" s="130">
        <f>22450.99+37640.81</f>
        <v>60091.8</v>
      </c>
      <c r="F21" s="128">
        <f t="shared" si="0"/>
        <v>0</v>
      </c>
    </row>
    <row r="22" spans="1:16" ht="15.75" thickBot="1" x14ac:dyDescent="0.3">
      <c r="A22" s="393">
        <v>42999</v>
      </c>
      <c r="B22" s="372" t="s">
        <v>771</v>
      </c>
      <c r="C22" s="373">
        <v>111787.41</v>
      </c>
      <c r="D22" s="127">
        <v>43008</v>
      </c>
      <c r="E22" s="130">
        <v>111787.41</v>
      </c>
      <c r="F22" s="128">
        <f t="shared" si="0"/>
        <v>0</v>
      </c>
    </row>
    <row r="23" spans="1:16" ht="19.5" thickBot="1" x14ac:dyDescent="0.35">
      <c r="A23" s="236">
        <v>43000</v>
      </c>
      <c r="B23" s="126" t="s">
        <v>766</v>
      </c>
      <c r="C23" s="130">
        <v>1833.2</v>
      </c>
      <c r="D23" s="127">
        <v>43008</v>
      </c>
      <c r="E23" s="130">
        <v>1833.2</v>
      </c>
      <c r="F23" s="128">
        <f t="shared" si="0"/>
        <v>0</v>
      </c>
      <c r="J23" s="151"/>
      <c r="K23" t="s">
        <v>64</v>
      </c>
      <c r="L23" s="154" t="s">
        <v>105</v>
      </c>
      <c r="M23" s="155"/>
      <c r="N23" s="156"/>
      <c r="O23" s="182">
        <v>43001</v>
      </c>
      <c r="P23" s="158"/>
    </row>
    <row r="24" spans="1:16" ht="15.75" x14ac:dyDescent="0.25">
      <c r="A24" s="236">
        <v>43001</v>
      </c>
      <c r="B24" s="126" t="s">
        <v>767</v>
      </c>
      <c r="C24" s="130">
        <v>84990.98</v>
      </c>
      <c r="D24" s="127">
        <v>43008</v>
      </c>
      <c r="E24" s="389">
        <v>40167.08</v>
      </c>
      <c r="F24" s="390">
        <f t="shared" si="0"/>
        <v>44823.899999999994</v>
      </c>
      <c r="J24" s="151"/>
      <c r="K24" s="159"/>
      <c r="L24" s="160"/>
      <c r="M24" s="159"/>
      <c r="N24" s="161"/>
      <c r="O24" s="160"/>
      <c r="P24" s="162"/>
    </row>
    <row r="25" spans="1:16" ht="15.75" x14ac:dyDescent="0.25">
      <c r="A25" s="236">
        <v>43004</v>
      </c>
      <c r="B25" s="126" t="s">
        <v>768</v>
      </c>
      <c r="C25" s="130">
        <v>108333.8</v>
      </c>
      <c r="D25" s="127"/>
      <c r="E25" s="130"/>
      <c r="F25" s="128">
        <f t="shared" si="0"/>
        <v>108333.8</v>
      </c>
      <c r="J25" s="151">
        <v>0</v>
      </c>
      <c r="K25" s="163" t="s">
        <v>106</v>
      </c>
      <c r="L25" s="160" t="s">
        <v>107</v>
      </c>
      <c r="M25" s="159"/>
      <c r="N25" s="161" t="s">
        <v>108</v>
      </c>
      <c r="O25" s="160" t="s">
        <v>109</v>
      </c>
      <c r="P25" s="162"/>
    </row>
    <row r="26" spans="1:16" ht="15.75" x14ac:dyDescent="0.25">
      <c r="A26" s="236">
        <v>43006</v>
      </c>
      <c r="B26" s="126" t="s">
        <v>769</v>
      </c>
      <c r="C26" s="130">
        <v>31426.58</v>
      </c>
      <c r="D26" s="44"/>
      <c r="E26" s="130"/>
      <c r="F26" s="128">
        <f t="shared" si="0"/>
        <v>31426.58</v>
      </c>
      <c r="J26" s="164">
        <v>11932.1</v>
      </c>
      <c r="K26" s="126" t="s">
        <v>721</v>
      </c>
      <c r="L26" s="130">
        <v>33965.85</v>
      </c>
      <c r="M26" s="165" t="s">
        <v>111</v>
      </c>
      <c r="N26" s="166">
        <v>3932782</v>
      </c>
      <c r="O26" s="167">
        <v>44558</v>
      </c>
      <c r="P26" s="168">
        <v>42985</v>
      </c>
    </row>
    <row r="27" spans="1:16" ht="15.75" x14ac:dyDescent="0.25">
      <c r="A27" s="236">
        <v>43006</v>
      </c>
      <c r="B27" s="126" t="s">
        <v>770</v>
      </c>
      <c r="C27" s="130">
        <v>3815.7</v>
      </c>
      <c r="D27" s="202"/>
      <c r="E27" s="130"/>
      <c r="F27" s="128">
        <f t="shared" si="0"/>
        <v>3815.7</v>
      </c>
      <c r="J27" s="164">
        <v>31888.85</v>
      </c>
      <c r="K27" s="126" t="s">
        <v>752</v>
      </c>
      <c r="L27" s="130">
        <v>31888.85</v>
      </c>
      <c r="M27" s="165"/>
      <c r="N27" s="166">
        <v>3932786</v>
      </c>
      <c r="O27" s="167">
        <v>59302.5</v>
      </c>
      <c r="P27" s="168">
        <v>42989</v>
      </c>
    </row>
    <row r="28" spans="1:16" ht="15.75" x14ac:dyDescent="0.25">
      <c r="A28" s="236">
        <v>43007</v>
      </c>
      <c r="B28" s="126" t="s">
        <v>786</v>
      </c>
      <c r="C28" s="130">
        <v>6225.6</v>
      </c>
      <c r="D28" s="202"/>
      <c r="E28" s="130"/>
      <c r="F28" s="128">
        <f t="shared" si="0"/>
        <v>6225.6</v>
      </c>
      <c r="J28" s="140">
        <f>20977.26+64154.5</f>
        <v>85131.76</v>
      </c>
      <c r="K28" s="126" t="s">
        <v>753</v>
      </c>
      <c r="L28" s="130">
        <v>85131.8</v>
      </c>
      <c r="M28" s="165"/>
      <c r="N28" s="166" t="s">
        <v>113</v>
      </c>
      <c r="O28" s="167">
        <v>5496</v>
      </c>
      <c r="P28" s="168">
        <v>42983</v>
      </c>
    </row>
    <row r="29" spans="1:16" ht="15.75" x14ac:dyDescent="0.25">
      <c r="A29" s="236">
        <v>43008</v>
      </c>
      <c r="B29" s="126" t="s">
        <v>787</v>
      </c>
      <c r="C29" s="36">
        <v>115837.22</v>
      </c>
      <c r="D29" s="202"/>
      <c r="E29" s="130"/>
      <c r="F29" s="128">
        <f t="shared" si="0"/>
        <v>115837.22</v>
      </c>
      <c r="J29" s="140">
        <f>1266.95+29175.05</f>
        <v>30442</v>
      </c>
      <c r="K29" s="126" t="s">
        <v>754</v>
      </c>
      <c r="L29" s="130">
        <v>30442</v>
      </c>
      <c r="M29" s="165"/>
      <c r="N29" s="166">
        <v>3932785</v>
      </c>
      <c r="O29" s="167">
        <v>65421.5</v>
      </c>
      <c r="P29" s="168">
        <v>42989</v>
      </c>
    </row>
    <row r="30" spans="1:16" ht="16.5" thickBot="1" x14ac:dyDescent="0.3">
      <c r="A30" s="308">
        <v>43008</v>
      </c>
      <c r="B30" s="143" t="s">
        <v>788</v>
      </c>
      <c r="C30" s="144">
        <v>7141.46</v>
      </c>
      <c r="D30" s="145"/>
      <c r="E30" s="144"/>
      <c r="F30" s="128">
        <f t="shared" si="0"/>
        <v>7141.46</v>
      </c>
      <c r="H30" t="s">
        <v>64</v>
      </c>
      <c r="J30" s="140">
        <v>2712.62</v>
      </c>
      <c r="K30" s="126" t="s">
        <v>755</v>
      </c>
      <c r="L30" s="130">
        <v>2712.62</v>
      </c>
      <c r="M30" s="165"/>
      <c r="N30" s="166">
        <v>3932787</v>
      </c>
      <c r="O30" s="167">
        <v>44848</v>
      </c>
      <c r="P30" s="168">
        <v>42989</v>
      </c>
    </row>
    <row r="31" spans="1:16" ht="16.5" thickTop="1" x14ac:dyDescent="0.25">
      <c r="B31" s="44"/>
      <c r="C31" s="130">
        <f>SUM(C3:C30)</f>
        <v>1344368.05</v>
      </c>
      <c r="D31" s="148"/>
      <c r="E31" s="140">
        <f>SUM(E3:E30)</f>
        <v>1026763.7899999998</v>
      </c>
      <c r="F31" s="130">
        <f>SUM(F3:F30)</f>
        <v>317604.26000000007</v>
      </c>
      <c r="J31" s="164">
        <f>24888+41567.38+27715.26</f>
        <v>94170.64</v>
      </c>
      <c r="K31" s="126" t="s">
        <v>756</v>
      </c>
      <c r="L31" s="130">
        <v>94170.26</v>
      </c>
      <c r="M31" s="165"/>
      <c r="N31" s="166" t="s">
        <v>113</v>
      </c>
      <c r="O31" s="167">
        <v>24888</v>
      </c>
      <c r="P31" s="168">
        <v>42991</v>
      </c>
    </row>
    <row r="32" spans="1:16" ht="15.75" x14ac:dyDescent="0.25">
      <c r="A32"/>
      <c r="B32" s="149"/>
      <c r="D32" s="149"/>
      <c r="J32" s="140">
        <f>14168.59+7516.1</f>
        <v>21684.690000000002</v>
      </c>
      <c r="K32" s="126" t="s">
        <v>757</v>
      </c>
      <c r="L32" s="130">
        <v>21664.69</v>
      </c>
      <c r="M32" s="165"/>
      <c r="N32" s="166" t="s">
        <v>113</v>
      </c>
      <c r="O32" s="167">
        <v>41567.5</v>
      </c>
      <c r="P32" s="168">
        <v>42991</v>
      </c>
    </row>
    <row r="33" spans="1:17" ht="15.75" x14ac:dyDescent="0.25">
      <c r="A33"/>
      <c r="B33" s="149">
        <v>42979</v>
      </c>
      <c r="C33" s="140">
        <v>630</v>
      </c>
      <c r="D33" s="149" t="s">
        <v>737</v>
      </c>
      <c r="J33" s="140">
        <f>50014.73+34961.55</f>
        <v>84976.28</v>
      </c>
      <c r="K33" s="126" t="s">
        <v>758</v>
      </c>
      <c r="L33" s="130">
        <v>84976.3</v>
      </c>
      <c r="M33" s="165"/>
      <c r="N33" s="166">
        <v>3932791</v>
      </c>
      <c r="O33" s="167">
        <v>41884</v>
      </c>
      <c r="P33" s="168">
        <v>42991</v>
      </c>
    </row>
    <row r="34" spans="1:17" ht="15.75" x14ac:dyDescent="0.25">
      <c r="A34"/>
      <c r="B34" s="149">
        <v>42980</v>
      </c>
      <c r="C34" s="140">
        <v>1536.5</v>
      </c>
      <c r="D34" s="149" t="s">
        <v>737</v>
      </c>
      <c r="J34" s="140">
        <v>15147.1</v>
      </c>
      <c r="K34" s="126" t="s">
        <v>759</v>
      </c>
      <c r="L34" s="130">
        <v>15147.1</v>
      </c>
      <c r="M34" s="183"/>
      <c r="N34" s="166" t="s">
        <v>113</v>
      </c>
      <c r="O34" s="167">
        <v>51178</v>
      </c>
      <c r="P34" s="168">
        <v>42996</v>
      </c>
    </row>
    <row r="35" spans="1:17" ht="15.75" x14ac:dyDescent="0.25">
      <c r="A35"/>
      <c r="B35" s="149">
        <v>42981</v>
      </c>
      <c r="C35" s="140">
        <v>0</v>
      </c>
      <c r="D35" s="149"/>
      <c r="F35" s="22"/>
      <c r="J35" s="164">
        <f>52124.35+7410.73</f>
        <v>59535.08</v>
      </c>
      <c r="K35" s="126" t="s">
        <v>760</v>
      </c>
      <c r="L35" s="130">
        <v>59535.08</v>
      </c>
      <c r="M35" s="235"/>
      <c r="N35" s="184" t="s">
        <v>113</v>
      </c>
      <c r="O35" s="185">
        <v>4193</v>
      </c>
      <c r="P35" s="186">
        <v>42992</v>
      </c>
    </row>
    <row r="36" spans="1:17" ht="15.75" x14ac:dyDescent="0.25">
      <c r="A36"/>
      <c r="B36" s="149">
        <v>42982</v>
      </c>
      <c r="C36" s="140">
        <v>614</v>
      </c>
      <c r="D36" s="149" t="s">
        <v>737</v>
      </c>
      <c r="F36" s="22"/>
      <c r="J36" s="164">
        <v>1929.2</v>
      </c>
      <c r="K36" s="126" t="s">
        <v>761</v>
      </c>
      <c r="L36" s="130">
        <v>1929.2</v>
      </c>
      <c r="M36" s="187"/>
      <c r="N36" s="184" t="s">
        <v>113</v>
      </c>
      <c r="O36" s="301">
        <v>2160</v>
      </c>
      <c r="P36" s="186">
        <v>42991</v>
      </c>
    </row>
    <row r="37" spans="1:17" ht="15.75" x14ac:dyDescent="0.25">
      <c r="A37"/>
      <c r="B37" s="149">
        <v>42983</v>
      </c>
      <c r="C37" s="140">
        <v>0</v>
      </c>
      <c r="D37" s="149"/>
      <c r="F37" s="22"/>
      <c r="J37" s="164">
        <v>3248</v>
      </c>
      <c r="K37" s="126" t="s">
        <v>762</v>
      </c>
      <c r="L37" s="130">
        <v>3248</v>
      </c>
      <c r="M37" s="187"/>
      <c r="N37" s="184" t="s">
        <v>113</v>
      </c>
      <c r="O37" s="302">
        <v>102233</v>
      </c>
      <c r="P37" s="186">
        <v>42996</v>
      </c>
    </row>
    <row r="38" spans="1:17" ht="15.75" x14ac:dyDescent="0.25">
      <c r="A38"/>
      <c r="B38" s="149">
        <v>42984</v>
      </c>
      <c r="C38" s="140">
        <v>3340</v>
      </c>
      <c r="D38" s="149" t="s">
        <v>750</v>
      </c>
      <c r="F38" s="22"/>
      <c r="J38" s="151">
        <f>44558+12960.39+50344.42</f>
        <v>107862.81</v>
      </c>
      <c r="K38" s="205" t="s">
        <v>763</v>
      </c>
      <c r="L38" s="130">
        <v>109642.76</v>
      </c>
      <c r="M38" s="235"/>
      <c r="N38" s="369" t="s">
        <v>113</v>
      </c>
      <c r="O38" s="301">
        <v>62932.5</v>
      </c>
      <c r="P38" s="186">
        <v>42996</v>
      </c>
    </row>
    <row r="39" spans="1:17" ht="15.75" x14ac:dyDescent="0.25">
      <c r="A39"/>
      <c r="B39" s="149">
        <v>42985</v>
      </c>
      <c r="C39" s="140">
        <v>439.5</v>
      </c>
      <c r="D39" s="149" t="s">
        <v>365</v>
      </c>
      <c r="F39" s="22"/>
      <c r="J39" s="391">
        <f>21992+24251.5</f>
        <v>46243.5</v>
      </c>
      <c r="K39" s="126" t="s">
        <v>764</v>
      </c>
      <c r="L39" s="332">
        <v>22450.99</v>
      </c>
      <c r="M39" s="227" t="s">
        <v>125</v>
      </c>
      <c r="N39" s="166" t="s">
        <v>113</v>
      </c>
      <c r="O39" s="339">
        <v>21992</v>
      </c>
      <c r="P39" s="186">
        <v>43000</v>
      </c>
    </row>
    <row r="40" spans="1:17" ht="16.5" thickBot="1" x14ac:dyDescent="0.3">
      <c r="A40"/>
      <c r="B40" s="149">
        <v>42986</v>
      </c>
      <c r="C40" s="140">
        <v>0</v>
      </c>
      <c r="D40" s="149"/>
      <c r="F40" s="22"/>
      <c r="J40" s="270">
        <v>0</v>
      </c>
      <c r="K40" s="207"/>
      <c r="L40" s="270">
        <v>0</v>
      </c>
      <c r="M40" s="207"/>
      <c r="N40" s="343" t="s">
        <v>113</v>
      </c>
      <c r="O40" s="344">
        <v>24251.5</v>
      </c>
      <c r="P40" s="222">
        <v>43000</v>
      </c>
    </row>
    <row r="41" spans="1:17" ht="16.5" thickTop="1" x14ac:dyDescent="0.25">
      <c r="A41"/>
      <c r="B41" s="149">
        <v>42987</v>
      </c>
      <c r="C41" s="140">
        <v>503</v>
      </c>
      <c r="D41" s="149" t="s">
        <v>99</v>
      </c>
      <c r="F41" s="22"/>
      <c r="J41" s="392">
        <f>SUM(J25:J40)</f>
        <v>596904.62999999989</v>
      </c>
      <c r="K41" s="100"/>
      <c r="L41" s="352">
        <f>SUM(L26:L40)</f>
        <v>596905.5</v>
      </c>
      <c r="M41" s="100"/>
      <c r="N41" s="100"/>
      <c r="O41" s="307">
        <f>SUM(O26:O40)</f>
        <v>596905.5</v>
      </c>
      <c r="P41" s="245"/>
    </row>
    <row r="42" spans="1:17" ht="15.75" x14ac:dyDescent="0.25">
      <c r="A42"/>
      <c r="B42" s="149">
        <v>42988</v>
      </c>
      <c r="C42" s="140">
        <v>619</v>
      </c>
      <c r="D42" s="149" t="s">
        <v>99</v>
      </c>
      <c r="F42" s="22"/>
      <c r="J42" s="100"/>
      <c r="K42" s="100"/>
      <c r="L42" s="248"/>
      <c r="M42" s="100"/>
      <c r="N42" s="100"/>
      <c r="O42" s="249"/>
      <c r="P42" s="245"/>
    </row>
    <row r="43" spans="1:17" ht="15.75" x14ac:dyDescent="0.25">
      <c r="A43"/>
      <c r="B43" s="149">
        <v>42989</v>
      </c>
      <c r="C43" s="140">
        <v>2278</v>
      </c>
      <c r="D43" s="149" t="s">
        <v>784</v>
      </c>
      <c r="F43" s="22"/>
      <c r="J43" s="100"/>
      <c r="K43" s="100"/>
      <c r="L43" s="248"/>
      <c r="M43" s="100"/>
      <c r="N43" s="100"/>
      <c r="O43" s="249"/>
      <c r="P43" s="245"/>
    </row>
    <row r="44" spans="1:17" ht="16.5" thickBot="1" x14ac:dyDescent="0.3">
      <c r="A44"/>
      <c r="B44" s="149">
        <v>42990</v>
      </c>
      <c r="C44" s="140">
        <v>2170.7199999999998</v>
      </c>
      <c r="D44" s="149" t="s">
        <v>785</v>
      </c>
      <c r="E44"/>
      <c r="F44" s="22"/>
      <c r="J44" s="100"/>
      <c r="K44" s="100"/>
      <c r="L44" s="248"/>
      <c r="M44" s="100"/>
      <c r="N44" s="100"/>
      <c r="O44" s="249"/>
      <c r="P44" s="245"/>
    </row>
    <row r="45" spans="1:17" ht="19.5" thickBot="1" x14ac:dyDescent="0.35">
      <c r="A45"/>
      <c r="B45" s="149">
        <v>42991</v>
      </c>
      <c r="D45" s="149"/>
      <c r="E45"/>
      <c r="F45" s="22"/>
      <c r="J45" s="151"/>
      <c r="K45" t="s">
        <v>64</v>
      </c>
      <c r="L45" s="154" t="s">
        <v>105</v>
      </c>
      <c r="M45" s="155"/>
      <c r="N45" s="156"/>
      <c r="O45" s="182">
        <v>43008</v>
      </c>
      <c r="P45" s="158"/>
    </row>
    <row r="46" spans="1:17" ht="15.75" x14ac:dyDescent="0.25">
      <c r="A46"/>
      <c r="B46" s="149">
        <v>42992</v>
      </c>
      <c r="D46" s="149"/>
      <c r="E46"/>
      <c r="F46" s="22"/>
      <c r="J46" s="151"/>
      <c r="K46" s="159"/>
      <c r="L46" s="160"/>
      <c r="M46" s="159"/>
      <c r="N46" s="161"/>
      <c r="O46" s="160"/>
      <c r="P46" s="162"/>
    </row>
    <row r="47" spans="1:17" ht="15.75" x14ac:dyDescent="0.25">
      <c r="A47"/>
      <c r="B47" s="149">
        <v>42993</v>
      </c>
      <c r="D47" s="149"/>
      <c r="E47"/>
      <c r="F47" s="22"/>
      <c r="J47" s="151">
        <v>5648.01</v>
      </c>
      <c r="K47" s="163" t="s">
        <v>106</v>
      </c>
      <c r="L47" s="160" t="s">
        <v>107</v>
      </c>
      <c r="M47" s="159"/>
      <c r="N47" s="161" t="s">
        <v>108</v>
      </c>
      <c r="O47" s="160" t="s">
        <v>109</v>
      </c>
      <c r="P47" s="162"/>
    </row>
    <row r="48" spans="1:17" ht="15.75" x14ac:dyDescent="0.25">
      <c r="A48"/>
      <c r="B48" s="149">
        <v>42994</v>
      </c>
      <c r="D48" s="149"/>
      <c r="E48"/>
      <c r="F48" s="22"/>
      <c r="H48" s="100"/>
      <c r="J48" s="164">
        <f>35070.58+770.25</f>
        <v>35840.83</v>
      </c>
      <c r="K48" s="126" t="s">
        <v>764</v>
      </c>
      <c r="L48" s="130">
        <v>37640.81</v>
      </c>
      <c r="M48" s="165" t="s">
        <v>111</v>
      </c>
      <c r="N48" s="166">
        <v>353472</v>
      </c>
      <c r="O48" s="167">
        <v>40718</v>
      </c>
      <c r="P48" s="168">
        <v>43001</v>
      </c>
      <c r="Q48" s="16">
        <v>42998</v>
      </c>
    </row>
    <row r="49" spans="1:16" ht="15.75" x14ac:dyDescent="0.25">
      <c r="A49"/>
      <c r="B49" s="149">
        <v>42995</v>
      </c>
      <c r="D49" s="149"/>
      <c r="E49"/>
      <c r="F49" s="22"/>
      <c r="H49" s="100"/>
      <c r="J49" s="164">
        <f>62103.29+48253.51+987</f>
        <v>111343.8</v>
      </c>
      <c r="K49" s="372" t="s">
        <v>771</v>
      </c>
      <c r="L49" s="373">
        <v>111787.41</v>
      </c>
      <c r="M49" s="165"/>
      <c r="N49" s="166" t="s">
        <v>113</v>
      </c>
      <c r="O49" s="167">
        <v>62873</v>
      </c>
      <c r="P49" s="168">
        <v>43003</v>
      </c>
    </row>
    <row r="50" spans="1:16" ht="15.75" x14ac:dyDescent="0.25">
      <c r="B50" s="149">
        <v>42996</v>
      </c>
      <c r="D50" s="149"/>
      <c r="E50"/>
      <c r="H50" s="100"/>
      <c r="J50" s="140">
        <v>1833.2</v>
      </c>
      <c r="K50" s="126" t="s">
        <v>766</v>
      </c>
      <c r="L50" s="130">
        <v>1833.2</v>
      </c>
      <c r="M50" s="165"/>
      <c r="N50" s="166" t="s">
        <v>113</v>
      </c>
      <c r="O50" s="167">
        <v>48253.5</v>
      </c>
      <c r="P50" s="168">
        <v>43005</v>
      </c>
    </row>
    <row r="51" spans="1:16" ht="15.75" x14ac:dyDescent="0.25">
      <c r="B51" s="149">
        <v>42997</v>
      </c>
      <c r="D51" s="149"/>
      <c r="E51"/>
      <c r="H51" s="100"/>
      <c r="J51" s="140">
        <f>7019.21+29744.5</f>
        <v>36763.71</v>
      </c>
      <c r="K51" s="126" t="s">
        <v>767</v>
      </c>
      <c r="L51" s="130">
        <v>40167.08</v>
      </c>
      <c r="M51" s="165" t="s">
        <v>125</v>
      </c>
      <c r="N51" s="166" t="s">
        <v>113</v>
      </c>
      <c r="O51" s="167">
        <v>9839.5</v>
      </c>
      <c r="P51" s="168">
        <v>43005</v>
      </c>
    </row>
    <row r="52" spans="1:16" ht="15.75" x14ac:dyDescent="0.25">
      <c r="B52" s="149">
        <v>42998</v>
      </c>
      <c r="D52" s="149"/>
      <c r="E52"/>
      <c r="H52" s="100"/>
      <c r="J52" s="140">
        <v>0</v>
      </c>
      <c r="K52" s="126"/>
      <c r="L52" s="130">
        <v>0</v>
      </c>
      <c r="M52" s="165"/>
      <c r="N52" s="166" t="s">
        <v>113</v>
      </c>
      <c r="O52" s="167">
        <v>29744.5</v>
      </c>
      <c r="P52" s="168">
        <v>43007</v>
      </c>
    </row>
    <row r="53" spans="1:16" ht="16.5" thickBot="1" x14ac:dyDescent="0.3">
      <c r="B53" s="149">
        <v>42999</v>
      </c>
      <c r="D53" s="149"/>
      <c r="E53"/>
      <c r="H53" s="100"/>
      <c r="J53" s="355">
        <v>0</v>
      </c>
      <c r="K53" s="143"/>
      <c r="L53" s="144">
        <v>0</v>
      </c>
      <c r="M53" s="357"/>
      <c r="N53" s="343" t="s">
        <v>113</v>
      </c>
      <c r="O53" s="397">
        <v>0</v>
      </c>
      <c r="P53" s="222"/>
    </row>
    <row r="54" spans="1:16" ht="16.5" thickTop="1" x14ac:dyDescent="0.25">
      <c r="B54" s="149">
        <v>43000</v>
      </c>
      <c r="D54" s="149"/>
      <c r="E54"/>
      <c r="J54" s="394">
        <f>SUM(J47:J53)</f>
        <v>191429.55000000002</v>
      </c>
      <c r="K54" s="176"/>
      <c r="L54" s="36">
        <f>SUM(L48:L53)</f>
        <v>191428.5</v>
      </c>
      <c r="M54" s="395"/>
      <c r="N54" s="244"/>
      <c r="O54" s="307">
        <f>SUM(O48:O53)</f>
        <v>191428.5</v>
      </c>
      <c r="P54" s="245"/>
    </row>
    <row r="55" spans="1:16" ht="15.75" x14ac:dyDescent="0.25">
      <c r="B55" s="149">
        <v>43001</v>
      </c>
      <c r="D55" s="149"/>
      <c r="E55"/>
      <c r="J55" s="394"/>
      <c r="K55" s="176"/>
      <c r="L55" s="36"/>
      <c r="M55" s="395"/>
      <c r="N55" s="244"/>
      <c r="O55" s="307"/>
      <c r="P55" s="245"/>
    </row>
    <row r="56" spans="1:16" ht="15.75" x14ac:dyDescent="0.25">
      <c r="B56" s="149">
        <v>43002</v>
      </c>
      <c r="D56" s="149"/>
      <c r="E56"/>
      <c r="J56" s="394"/>
      <c r="K56" s="176"/>
      <c r="L56" s="36"/>
      <c r="M56" s="395"/>
      <c r="N56" s="244"/>
      <c r="O56" s="307"/>
      <c r="P56" s="245"/>
    </row>
    <row r="57" spans="1:16" ht="15.75" x14ac:dyDescent="0.25">
      <c r="B57" s="149">
        <v>43003</v>
      </c>
      <c r="D57"/>
      <c r="E57"/>
      <c r="J57" s="351"/>
      <c r="K57" s="176"/>
      <c r="L57" s="36"/>
      <c r="M57" s="246"/>
      <c r="N57" s="244"/>
      <c r="O57" s="396"/>
      <c r="P57" s="245"/>
    </row>
    <row r="58" spans="1:16" ht="15.75" x14ac:dyDescent="0.25">
      <c r="B58" s="149">
        <v>43004</v>
      </c>
      <c r="C58" s="164"/>
      <c r="D58" s="149"/>
      <c r="E58"/>
      <c r="J58" s="351"/>
      <c r="K58" s="176"/>
      <c r="L58" s="36"/>
      <c r="M58" s="100"/>
      <c r="N58" s="244"/>
      <c r="O58" s="303"/>
      <c r="P58" s="245"/>
    </row>
    <row r="59" spans="1:16" ht="15.75" x14ac:dyDescent="0.25">
      <c r="B59" s="149">
        <v>43005</v>
      </c>
      <c r="J59" s="351"/>
      <c r="K59" s="176"/>
      <c r="L59" s="36"/>
      <c r="M59" s="100"/>
      <c r="N59" s="244"/>
      <c r="O59" s="303"/>
      <c r="P59" s="245"/>
    </row>
    <row r="60" spans="1:16" ht="15.75" x14ac:dyDescent="0.25">
      <c r="B60" s="149">
        <v>43006</v>
      </c>
      <c r="J60" s="248"/>
      <c r="K60" s="176"/>
      <c r="L60" s="36"/>
      <c r="M60" s="246"/>
      <c r="N60" s="179"/>
      <c r="O60" s="303"/>
      <c r="P60" s="245"/>
    </row>
    <row r="61" spans="1:16" ht="15.75" x14ac:dyDescent="0.25">
      <c r="B61" s="149">
        <v>43007</v>
      </c>
      <c r="J61" s="177"/>
      <c r="K61" s="176"/>
      <c r="L61" s="36"/>
      <c r="M61" s="246"/>
      <c r="N61" s="244"/>
      <c r="O61" s="249"/>
      <c r="P61" s="245"/>
    </row>
    <row r="62" spans="1:16" ht="15.75" x14ac:dyDescent="0.25">
      <c r="B62" s="149">
        <v>43008</v>
      </c>
      <c r="J62" s="248"/>
      <c r="K62" s="100"/>
      <c r="L62" s="248"/>
      <c r="M62" s="100"/>
      <c r="N62" s="244"/>
      <c r="O62" s="249"/>
      <c r="P62" s="245"/>
    </row>
    <row r="63" spans="1:16" ht="15.75" x14ac:dyDescent="0.25">
      <c r="B63" s="149"/>
      <c r="J63" s="392"/>
      <c r="K63" s="100"/>
      <c r="L63" s="352"/>
      <c r="M63" s="100"/>
      <c r="N63" s="100"/>
      <c r="O63" s="307"/>
      <c r="P63" s="245"/>
    </row>
    <row r="64" spans="1:16" ht="15.75" x14ac:dyDescent="0.25">
      <c r="B64" s="149"/>
      <c r="J64" s="100"/>
      <c r="K64" s="100"/>
      <c r="L64" s="248"/>
      <c r="M64" s="100"/>
      <c r="N64" s="100"/>
      <c r="O64" s="249"/>
      <c r="P64" s="245"/>
    </row>
    <row r="65" spans="3:3" ht="18.75" x14ac:dyDescent="0.3">
      <c r="C65" s="215">
        <f>SUM(C36:C64)</f>
        <v>9964.2199999999993</v>
      </c>
    </row>
  </sheetData>
  <sortState ref="K49:L54">
    <sortCondition ref="K49:K54"/>
  </sortState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F26"/>
  <sheetViews>
    <sheetView workbookViewId="0">
      <selection activeCell="H26" sqref="H26"/>
    </sheetView>
  </sheetViews>
  <sheetFormatPr baseColWidth="10" defaultRowHeight="15" x14ac:dyDescent="0.25"/>
  <cols>
    <col min="3" max="3" width="15.85546875" bestFit="1" customWidth="1"/>
    <col min="6" max="6" width="15.85546875" bestFit="1" customWidth="1"/>
  </cols>
  <sheetData>
    <row r="3" spans="2:6" x14ac:dyDescent="0.25">
      <c r="B3" s="64" t="s">
        <v>49</v>
      </c>
      <c r="C3" s="51">
        <v>3000</v>
      </c>
      <c r="E3" s="64" t="s">
        <v>450</v>
      </c>
      <c r="F3" s="51">
        <v>3500</v>
      </c>
    </row>
    <row r="4" spans="2:6" x14ac:dyDescent="0.25">
      <c r="B4" s="64" t="s">
        <v>51</v>
      </c>
      <c r="C4" s="51">
        <v>4000</v>
      </c>
      <c r="E4" s="64" t="s">
        <v>457</v>
      </c>
      <c r="F4" s="51">
        <v>5000</v>
      </c>
    </row>
    <row r="5" spans="2:6" ht="15.75" x14ac:dyDescent="0.25">
      <c r="B5" s="64" t="s">
        <v>52</v>
      </c>
      <c r="C5" s="65">
        <v>3500</v>
      </c>
      <c r="E5" s="294" t="s">
        <v>458</v>
      </c>
      <c r="F5" s="51">
        <v>3000</v>
      </c>
    </row>
    <row r="6" spans="2:6" ht="15.75" thickBot="1" x14ac:dyDescent="0.3">
      <c r="B6" s="64" t="s">
        <v>54</v>
      </c>
      <c r="C6" s="65">
        <v>0</v>
      </c>
      <c r="E6" s="64" t="s">
        <v>465</v>
      </c>
      <c r="F6" s="65">
        <v>3000</v>
      </c>
    </row>
    <row r="7" spans="2:6" x14ac:dyDescent="0.25">
      <c r="B7" s="199" t="s">
        <v>147</v>
      </c>
      <c r="C7" s="51">
        <v>3500</v>
      </c>
      <c r="E7" s="66" t="s">
        <v>485</v>
      </c>
      <c r="F7" s="67">
        <v>3500</v>
      </c>
    </row>
    <row r="8" spans="2:6" ht="15.75" thickBot="1" x14ac:dyDescent="0.3">
      <c r="B8" s="64" t="s">
        <v>148</v>
      </c>
      <c r="C8" s="51">
        <v>3500</v>
      </c>
      <c r="E8" s="64" t="s">
        <v>529</v>
      </c>
      <c r="F8" s="68">
        <v>3500</v>
      </c>
    </row>
    <row r="9" spans="2:6" ht="15.75" x14ac:dyDescent="0.25">
      <c r="B9" s="64" t="s">
        <v>184</v>
      </c>
      <c r="C9" s="51">
        <v>3500</v>
      </c>
      <c r="E9" s="69" t="s">
        <v>530</v>
      </c>
      <c r="F9" s="232">
        <v>3600</v>
      </c>
    </row>
    <row r="10" spans="2:6" x14ac:dyDescent="0.25">
      <c r="B10" s="64" t="s">
        <v>193</v>
      </c>
      <c r="C10" s="65">
        <v>3000</v>
      </c>
      <c r="E10" s="64" t="s">
        <v>557</v>
      </c>
      <c r="F10" s="51">
        <v>3500</v>
      </c>
    </row>
    <row r="11" spans="2:6" x14ac:dyDescent="0.25">
      <c r="B11" s="199" t="s">
        <v>215</v>
      </c>
      <c r="C11" s="51">
        <v>3500</v>
      </c>
      <c r="E11" s="64" t="s">
        <v>577</v>
      </c>
      <c r="F11" s="51">
        <v>3500</v>
      </c>
    </row>
    <row r="12" spans="2:6" ht="15.75" x14ac:dyDescent="0.25">
      <c r="B12" s="64" t="s">
        <v>241</v>
      </c>
      <c r="C12" s="51">
        <v>3500</v>
      </c>
      <c r="E12" s="350" t="s">
        <v>594</v>
      </c>
      <c r="F12" s="51">
        <v>3500</v>
      </c>
    </row>
    <row r="13" spans="2:6" ht="15.75" thickBot="1" x14ac:dyDescent="0.3">
      <c r="B13" s="64" t="s">
        <v>240</v>
      </c>
      <c r="C13" s="51">
        <v>3500</v>
      </c>
      <c r="E13" s="64" t="s">
        <v>610</v>
      </c>
      <c r="F13" s="51">
        <v>3500</v>
      </c>
    </row>
    <row r="14" spans="2:6" x14ac:dyDescent="0.25">
      <c r="B14" s="64" t="s">
        <v>255</v>
      </c>
      <c r="C14" s="65">
        <v>3500</v>
      </c>
      <c r="E14" s="66" t="s">
        <v>612</v>
      </c>
      <c r="F14" s="362">
        <v>500</v>
      </c>
    </row>
    <row r="15" spans="2:6" ht="15.75" thickBot="1" x14ac:dyDescent="0.3">
      <c r="B15" s="64" t="s">
        <v>287</v>
      </c>
      <c r="C15" s="51">
        <v>3500</v>
      </c>
      <c r="E15" s="64" t="s">
        <v>625</v>
      </c>
      <c r="F15" s="68">
        <v>3500</v>
      </c>
    </row>
    <row r="16" spans="2:6" x14ac:dyDescent="0.25">
      <c r="B16" s="64" t="s">
        <v>325</v>
      </c>
      <c r="C16" s="51">
        <v>4000</v>
      </c>
      <c r="E16" s="64" t="s">
        <v>678</v>
      </c>
      <c r="F16" s="51">
        <v>3500</v>
      </c>
    </row>
    <row r="17" spans="2:6" x14ac:dyDescent="0.25">
      <c r="B17" s="64" t="s">
        <v>326</v>
      </c>
      <c r="C17" s="51">
        <v>3500</v>
      </c>
      <c r="E17" s="64" t="s">
        <v>680</v>
      </c>
      <c r="F17" s="51">
        <v>1000</v>
      </c>
    </row>
    <row r="18" spans="2:6" ht="16.5" thickBot="1" x14ac:dyDescent="0.3">
      <c r="B18" s="64" t="s">
        <v>334</v>
      </c>
      <c r="C18" s="65">
        <v>3500</v>
      </c>
      <c r="E18" s="350" t="s">
        <v>704</v>
      </c>
      <c r="F18" s="51">
        <v>3500</v>
      </c>
    </row>
    <row r="19" spans="2:6" x14ac:dyDescent="0.25">
      <c r="B19" s="66" t="s">
        <v>363</v>
      </c>
      <c r="C19" s="67">
        <v>3500</v>
      </c>
      <c r="E19" s="64" t="s">
        <v>705</v>
      </c>
      <c r="F19" s="51">
        <v>500</v>
      </c>
    </row>
    <row r="20" spans="2:6" x14ac:dyDescent="0.25">
      <c r="B20" s="64" t="s">
        <v>395</v>
      </c>
      <c r="C20" s="51">
        <v>3500</v>
      </c>
      <c r="E20" s="64" t="s">
        <v>735</v>
      </c>
      <c r="F20" s="51">
        <v>16500</v>
      </c>
    </row>
    <row r="21" spans="2:6" x14ac:dyDescent="0.25">
      <c r="B21" s="64" t="s">
        <v>396</v>
      </c>
      <c r="C21" s="51">
        <v>3500</v>
      </c>
      <c r="E21" s="64" t="s">
        <v>745</v>
      </c>
      <c r="F21" s="51">
        <v>4000</v>
      </c>
    </row>
    <row r="22" spans="2:6" ht="15.75" thickBot="1" x14ac:dyDescent="0.3">
      <c r="B22" s="64" t="s">
        <v>406</v>
      </c>
      <c r="C22" s="51">
        <v>3500</v>
      </c>
      <c r="F22" s="51">
        <v>0</v>
      </c>
    </row>
    <row r="23" spans="2:6" ht="19.5" thickBot="1" x14ac:dyDescent="0.35">
      <c r="B23" s="64" t="s">
        <v>435</v>
      </c>
      <c r="C23" s="65">
        <v>3500</v>
      </c>
      <c r="F23" s="388">
        <f>SUM(F3:F22)</f>
        <v>72100</v>
      </c>
    </row>
    <row r="24" spans="2:6" x14ac:dyDescent="0.25">
      <c r="B24" s="199" t="s">
        <v>436</v>
      </c>
      <c r="C24" s="67">
        <v>500</v>
      </c>
    </row>
    <row r="25" spans="2:6" ht="15.75" thickBot="1" x14ac:dyDescent="0.3">
      <c r="C25" s="54">
        <v>0</v>
      </c>
    </row>
    <row r="26" spans="2:6" ht="19.5" thickBot="1" x14ac:dyDescent="0.35">
      <c r="C26" s="388">
        <f>SUM(C3:C25)</f>
        <v>70500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72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57">
        <v>42749</v>
      </c>
      <c r="P1" s="158"/>
      <c r="U1" t="s">
        <v>64</v>
      </c>
      <c r="V1" s="154" t="s">
        <v>105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73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42739</v>
      </c>
      <c r="B4" s="126" t="s">
        <v>74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110</v>
      </c>
      <c r="L4" s="130">
        <v>29880.36</v>
      </c>
      <c r="M4" s="165" t="s">
        <v>111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79</v>
      </c>
      <c r="V4" s="130">
        <v>62984.800000000003</v>
      </c>
      <c r="W4" s="165" t="s">
        <v>111</v>
      </c>
      <c r="X4" s="166" t="s">
        <v>113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75</v>
      </c>
      <c r="C5" s="36">
        <v>120457.54</v>
      </c>
      <c r="D5" s="133" t="s">
        <v>76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112</v>
      </c>
      <c r="L5" s="130">
        <v>16463</v>
      </c>
      <c r="M5" s="165"/>
      <c r="N5" s="166" t="s">
        <v>113</v>
      </c>
      <c r="O5" s="167">
        <v>7700</v>
      </c>
      <c r="P5" s="168">
        <v>42731</v>
      </c>
      <c r="T5" s="164">
        <v>13659.8</v>
      </c>
      <c r="U5" s="126" t="s">
        <v>82</v>
      </c>
      <c r="V5" s="130">
        <v>13659.8</v>
      </c>
      <c r="W5" s="165"/>
      <c r="X5" s="166" t="s">
        <v>113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77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114</v>
      </c>
      <c r="L6" s="130">
        <v>183603.48</v>
      </c>
      <c r="M6" s="165"/>
      <c r="N6" s="166" t="s">
        <v>113</v>
      </c>
      <c r="O6" s="167">
        <v>23965</v>
      </c>
      <c r="P6" s="168">
        <v>42732</v>
      </c>
      <c r="T6" s="140">
        <f>8428.33+27566.87</f>
        <v>35995.199999999997</v>
      </c>
      <c r="U6" s="126" t="s">
        <v>83</v>
      </c>
      <c r="V6" s="130">
        <v>35995.199999999997</v>
      </c>
      <c r="W6" s="165"/>
      <c r="X6" s="166" t="s">
        <v>113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78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115</v>
      </c>
      <c r="L7" s="130">
        <v>1159.2</v>
      </c>
      <c r="M7" s="165"/>
      <c r="N7" s="166" t="s">
        <v>113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84</v>
      </c>
      <c r="V7" s="130">
        <v>69561.22</v>
      </c>
      <c r="W7" s="165"/>
      <c r="X7" s="166" t="s">
        <v>113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79</v>
      </c>
      <c r="C8" s="130">
        <v>77436.040999999997</v>
      </c>
      <c r="D8" s="127" t="s">
        <v>80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116</v>
      </c>
      <c r="L8" s="130">
        <v>131842.43</v>
      </c>
      <c r="M8" s="165"/>
      <c r="N8" s="166" t="s">
        <v>113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85</v>
      </c>
      <c r="V8" s="130">
        <v>131798.07</v>
      </c>
      <c r="W8" s="165"/>
      <c r="X8" s="166" t="s">
        <v>113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81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117</v>
      </c>
      <c r="L9" s="130">
        <v>18188.599999999999</v>
      </c>
      <c r="M9" s="165"/>
      <c r="N9" s="166" t="s">
        <v>113</v>
      </c>
      <c r="O9" s="167">
        <v>62062</v>
      </c>
      <c r="P9" s="168">
        <v>42734</v>
      </c>
      <c r="T9" s="140">
        <v>10002.700000000001</v>
      </c>
      <c r="U9" s="126" t="s">
        <v>86</v>
      </c>
      <c r="V9" s="130">
        <v>10002.700000000001</v>
      </c>
      <c r="W9" s="165"/>
      <c r="X9" s="166" t="s">
        <v>113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82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118</v>
      </c>
      <c r="L10" s="130">
        <v>85146.73</v>
      </c>
      <c r="M10" s="165"/>
      <c r="N10" s="166" t="s">
        <v>113</v>
      </c>
      <c r="O10" s="167">
        <v>3519.5</v>
      </c>
      <c r="P10" s="168">
        <v>42727</v>
      </c>
      <c r="T10" s="140">
        <f>19407.65+29414.38</f>
        <v>48822.03</v>
      </c>
      <c r="U10" s="126" t="s">
        <v>87</v>
      </c>
      <c r="V10" s="130">
        <v>48822.03</v>
      </c>
      <c r="W10" s="165"/>
      <c r="X10" s="166" t="s">
        <v>113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83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119</v>
      </c>
      <c r="L11" s="130">
        <v>32692.2</v>
      </c>
      <c r="M11" s="165"/>
      <c r="N11" s="166" t="s">
        <v>113</v>
      </c>
      <c r="O11" s="167">
        <v>10932</v>
      </c>
      <c r="P11" s="168">
        <v>42724</v>
      </c>
      <c r="T11" s="140">
        <f>18829.67+34891.37</f>
        <v>53721.04</v>
      </c>
      <c r="U11" s="126" t="s">
        <v>88</v>
      </c>
      <c r="V11" s="130">
        <v>53721.04</v>
      </c>
      <c r="W11" s="165"/>
      <c r="X11" s="166" t="s">
        <v>113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84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120</v>
      </c>
      <c r="L12" s="130">
        <v>4228.8</v>
      </c>
      <c r="M12" s="165"/>
      <c r="N12" s="166" t="s">
        <v>113</v>
      </c>
      <c r="O12" s="167">
        <v>1257.5</v>
      </c>
      <c r="P12" s="168">
        <v>42732</v>
      </c>
      <c r="T12" s="140">
        <v>3000.61</v>
      </c>
      <c r="U12" s="126" t="s">
        <v>89</v>
      </c>
      <c r="V12" s="130">
        <v>3649.64</v>
      </c>
      <c r="W12" s="183" t="s">
        <v>125</v>
      </c>
      <c r="X12" s="184" t="s">
        <v>113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85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121</v>
      </c>
      <c r="L13" s="130">
        <v>11014.8</v>
      </c>
      <c r="M13" s="165"/>
      <c r="N13" s="166" t="s">
        <v>113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113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86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122</v>
      </c>
      <c r="L14" s="130">
        <v>141361.57</v>
      </c>
      <c r="M14" s="165"/>
      <c r="N14" s="166" t="s">
        <v>113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113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87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123</v>
      </c>
      <c r="L15" s="130">
        <v>190171.7</v>
      </c>
      <c r="M15" s="165"/>
      <c r="N15" s="166" t="s">
        <v>113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113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88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124</v>
      </c>
      <c r="L16" s="130">
        <v>25191.200000000001</v>
      </c>
      <c r="M16" s="165"/>
      <c r="N16" s="166" t="s">
        <v>113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113</v>
      </c>
      <c r="Y16" s="188">
        <v>0</v>
      </c>
      <c r="Z16" s="186"/>
    </row>
    <row r="17" spans="1:26" ht="15.75" x14ac:dyDescent="0.25">
      <c r="A17" s="129">
        <v>42758</v>
      </c>
      <c r="B17" s="126" t="s">
        <v>89</v>
      </c>
      <c r="C17" s="130">
        <v>33530</v>
      </c>
      <c r="D17" s="136" t="s">
        <v>90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73</v>
      </c>
      <c r="L17" s="36">
        <v>33648.699999999997</v>
      </c>
      <c r="M17" s="165"/>
      <c r="N17" s="166" t="s">
        <v>113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113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91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74</v>
      </c>
      <c r="L18" s="130">
        <v>36932.800000000003</v>
      </c>
      <c r="M18" s="165"/>
      <c r="N18" s="166" t="s">
        <v>113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113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92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75</v>
      </c>
      <c r="L19" s="36">
        <v>5489.44</v>
      </c>
      <c r="M19" s="165" t="s">
        <v>125</v>
      </c>
      <c r="N19" s="166" t="s">
        <v>113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93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113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94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113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95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113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96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113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113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113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113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113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113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113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113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113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113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113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105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106</v>
      </c>
      <c r="L43" s="160" t="s">
        <v>107</v>
      </c>
      <c r="M43" s="159"/>
      <c r="N43" s="161" t="s">
        <v>108</v>
      </c>
      <c r="O43" s="160" t="s">
        <v>109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75</v>
      </c>
      <c r="L44" s="130">
        <v>114968.1</v>
      </c>
      <c r="M44" s="165" t="s">
        <v>111</v>
      </c>
      <c r="N44" s="166" t="s">
        <v>113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77</v>
      </c>
      <c r="L45" s="130">
        <v>102030.76</v>
      </c>
      <c r="M45" s="165"/>
      <c r="N45" s="166" t="s">
        <v>113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78</v>
      </c>
      <c r="L46" s="130">
        <v>37947.9</v>
      </c>
      <c r="M46" s="165"/>
      <c r="N46" s="166" t="s">
        <v>113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79</v>
      </c>
      <c r="L47" s="130">
        <v>14451.24</v>
      </c>
      <c r="M47" s="165" t="s">
        <v>125</v>
      </c>
      <c r="N47" s="166" t="s">
        <v>113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81</v>
      </c>
      <c r="L48" s="130">
        <v>4800</v>
      </c>
      <c r="M48" s="165"/>
      <c r="N48" s="166" t="s">
        <v>113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113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113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113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113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113</v>
      </c>
      <c r="O53" s="188"/>
      <c r="P53" s="186"/>
    </row>
    <row r="54" spans="1:16" ht="15.75" x14ac:dyDescent="0.25">
      <c r="K54" s="126"/>
      <c r="L54" s="130"/>
      <c r="M54" s="187"/>
      <c r="N54" s="184" t="s">
        <v>113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113</v>
      </c>
      <c r="O55" s="189"/>
      <c r="P55" s="186"/>
    </row>
    <row r="56" spans="1:16" ht="15.75" x14ac:dyDescent="0.25">
      <c r="K56" s="187"/>
      <c r="L56" s="187"/>
      <c r="M56" s="187"/>
      <c r="N56" s="184" t="s">
        <v>113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97</v>
      </c>
      <c r="K57" s="187"/>
      <c r="L57" s="187"/>
      <c r="M57" s="187"/>
      <c r="N57" s="184" t="s">
        <v>113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98</v>
      </c>
      <c r="J58" s="153"/>
      <c r="K58" s="171"/>
      <c r="L58" s="172">
        <v>0</v>
      </c>
      <c r="M58" s="171"/>
      <c r="N58" s="173" t="s">
        <v>113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99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100</v>
      </c>
    </row>
    <row r="61" spans="1:16" x14ac:dyDescent="0.25">
      <c r="B61" s="149">
        <v>42749</v>
      </c>
      <c r="C61" s="150">
        <v>1305</v>
      </c>
      <c r="D61" s="22" t="s">
        <v>101</v>
      </c>
    </row>
    <row r="62" spans="1:16" x14ac:dyDescent="0.25">
      <c r="B62" s="149">
        <v>42752</v>
      </c>
      <c r="C62" s="150">
        <v>618</v>
      </c>
      <c r="D62" s="22" t="s">
        <v>99</v>
      </c>
    </row>
    <row r="63" spans="1:16" x14ac:dyDescent="0.25">
      <c r="B63" s="149">
        <v>42755</v>
      </c>
      <c r="C63" s="150">
        <v>1131</v>
      </c>
      <c r="D63" s="22" t="s">
        <v>102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99</v>
      </c>
    </row>
    <row r="66" spans="2:4" x14ac:dyDescent="0.25">
      <c r="B66" s="149">
        <v>42758</v>
      </c>
      <c r="C66" s="150">
        <v>370</v>
      </c>
      <c r="D66" s="22" t="s">
        <v>103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97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99</v>
      </c>
    </row>
    <row r="74" spans="2:4" x14ac:dyDescent="0.25">
      <c r="B74" s="149">
        <v>42766</v>
      </c>
      <c r="C74" s="150">
        <v>361</v>
      </c>
      <c r="D74" s="22" t="s">
        <v>104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19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25" t="s">
        <v>126</v>
      </c>
      <c r="D1" s="425"/>
      <c r="E1" s="425"/>
      <c r="F1" s="425"/>
      <c r="G1" s="425"/>
      <c r="H1" s="425"/>
      <c r="I1" s="425"/>
      <c r="J1" s="425"/>
      <c r="K1" s="425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426" t="s">
        <v>4</v>
      </c>
      <c r="F4" s="427"/>
      <c r="I4" s="428" t="s">
        <v>5</v>
      </c>
      <c r="J4" s="429"/>
      <c r="K4" s="429"/>
      <c r="L4" s="429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128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129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130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132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133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134</v>
      </c>
      <c r="K9" s="37" t="s">
        <v>135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133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136</v>
      </c>
      <c r="K10" s="37" t="s">
        <v>137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138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182</v>
      </c>
      <c r="K11" s="37" t="s">
        <v>139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140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195</v>
      </c>
      <c r="K12" s="37" t="s">
        <v>141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142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143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144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145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176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177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177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177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178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180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183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185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146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186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188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191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147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190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148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194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184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196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193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197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198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430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431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432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32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421" t="s">
        <v>61</v>
      </c>
      <c r="I40" s="422"/>
      <c r="J40" s="191"/>
      <c r="K40" s="423">
        <f>I38+L38</f>
        <v>108856.45000000001</v>
      </c>
      <c r="L40" s="424"/>
    </row>
    <row r="41" spans="1:17" ht="15.75" x14ac:dyDescent="0.25">
      <c r="B41" s="102"/>
      <c r="C41" s="77"/>
      <c r="D41" s="408" t="s">
        <v>62</v>
      </c>
      <c r="E41" s="408"/>
      <c r="F41" s="103">
        <f>F38-K40</f>
        <v>1098170.8900000001</v>
      </c>
      <c r="I41" s="104"/>
      <c r="J41" s="104"/>
    </row>
    <row r="42" spans="1:17" ht="15.75" x14ac:dyDescent="0.25">
      <c r="D42" s="409" t="s">
        <v>63</v>
      </c>
      <c r="E42" s="409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410" t="s">
        <v>66</v>
      </c>
      <c r="J44" s="411"/>
      <c r="K44" s="414">
        <f>F48+L46</f>
        <v>200580.19000000003</v>
      </c>
      <c r="L44" s="415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412"/>
      <c r="J45" s="413"/>
      <c r="K45" s="416"/>
      <c r="L45" s="417"/>
    </row>
    <row r="46" spans="1:17" ht="17.25" thickTop="1" thickBot="1" x14ac:dyDescent="0.3">
      <c r="C46" s="94"/>
      <c r="D46" s="418" t="s">
        <v>69</v>
      </c>
      <c r="E46" s="418"/>
      <c r="F46" s="109">
        <v>229801.74</v>
      </c>
      <c r="I46" s="419"/>
      <c r="J46" s="419"/>
      <c r="K46" s="420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275</v>
      </c>
      <c r="J47" s="193"/>
      <c r="K47" s="402">
        <f>-C4</f>
        <v>-263182.99</v>
      </c>
      <c r="L47" s="402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403"/>
      <c r="E49" s="403"/>
      <c r="F49" s="77"/>
      <c r="I49" s="404" t="s">
        <v>274</v>
      </c>
      <c r="J49" s="405"/>
      <c r="K49" s="406">
        <f>K44+K47</f>
        <v>-62602.799999999959</v>
      </c>
      <c r="L49" s="40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149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42780</v>
      </c>
      <c r="P1" s="158"/>
      <c r="T1" t="s">
        <v>64</v>
      </c>
      <c r="U1" s="154" t="s">
        <v>105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150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s="151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42767</v>
      </c>
      <c r="B4" s="126" t="s">
        <v>151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89</v>
      </c>
      <c r="L4" s="130">
        <v>29580.36</v>
      </c>
      <c r="M4" s="165" t="s">
        <v>111</v>
      </c>
      <c r="N4" s="166" t="s">
        <v>113</v>
      </c>
      <c r="O4" s="167">
        <v>27424</v>
      </c>
      <c r="P4" s="168">
        <v>42766</v>
      </c>
      <c r="S4" s="151">
        <v>32848.92</v>
      </c>
      <c r="T4" s="126" t="s">
        <v>154</v>
      </c>
      <c r="U4" s="130">
        <v>32848.92</v>
      </c>
      <c r="V4" s="165"/>
      <c r="W4" s="166" t="s">
        <v>113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152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91</v>
      </c>
      <c r="L5" s="130">
        <v>42260.1</v>
      </c>
      <c r="M5" s="165"/>
      <c r="N5" s="166" t="s">
        <v>113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164</v>
      </c>
      <c r="U5" s="130">
        <v>101376.79</v>
      </c>
      <c r="V5" s="165" t="s">
        <v>111</v>
      </c>
      <c r="W5" s="166" t="s">
        <v>113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153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92</v>
      </c>
      <c r="L6" s="130">
        <v>48906.53</v>
      </c>
      <c r="M6" s="165"/>
      <c r="N6" s="166" t="s">
        <v>113</v>
      </c>
      <c r="O6" s="167">
        <v>28870.5</v>
      </c>
      <c r="P6" s="168">
        <v>42767</v>
      </c>
      <c r="S6" s="151">
        <f>34076.39+30909.44+20954.87</f>
        <v>85940.7</v>
      </c>
      <c r="T6" s="126" t="s">
        <v>170</v>
      </c>
      <c r="U6" s="130">
        <v>85940.7</v>
      </c>
      <c r="V6" s="165"/>
      <c r="W6" s="166" t="s">
        <v>113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154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93</v>
      </c>
      <c r="L7" s="130">
        <v>38425.1</v>
      </c>
      <c r="M7" s="165"/>
      <c r="N7" s="166" t="s">
        <v>113</v>
      </c>
      <c r="O7" s="167">
        <v>27608</v>
      </c>
      <c r="P7" s="168">
        <v>42768</v>
      </c>
      <c r="S7" s="151">
        <v>11484.6</v>
      </c>
      <c r="T7" s="126" t="s">
        <v>168</v>
      </c>
      <c r="U7" s="130">
        <v>11484.6</v>
      </c>
      <c r="V7" s="165"/>
      <c r="W7" s="166" t="s">
        <v>113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155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94</v>
      </c>
      <c r="L8" s="130">
        <v>23513.279999999999</v>
      </c>
      <c r="M8" s="165"/>
      <c r="N8" s="166" t="s">
        <v>113</v>
      </c>
      <c r="O8" s="167">
        <v>40478</v>
      </c>
      <c r="P8" s="168">
        <v>42769</v>
      </c>
      <c r="S8" s="151">
        <f>1279.72+17837.93</f>
        <v>19117.650000000001</v>
      </c>
      <c r="T8" s="126" t="s">
        <v>169</v>
      </c>
      <c r="U8" s="130">
        <v>19767</v>
      </c>
      <c r="V8" s="165" t="s">
        <v>202</v>
      </c>
      <c r="W8" s="166" t="s">
        <v>113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156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95</v>
      </c>
      <c r="L9" s="130">
        <v>151174.9</v>
      </c>
      <c r="M9" s="165"/>
      <c r="N9" s="166" t="s">
        <v>113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113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157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96</v>
      </c>
      <c r="L10" s="130">
        <v>62978.38</v>
      </c>
      <c r="M10" s="165"/>
      <c r="N10" s="166" t="s">
        <v>113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113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158</v>
      </c>
      <c r="C11" s="130">
        <v>40570.559999999998</v>
      </c>
      <c r="D11" s="213" t="s">
        <v>175</v>
      </c>
      <c r="E11" s="130">
        <f>16934.62+23635.94</f>
        <v>40570.559999999998</v>
      </c>
      <c r="F11" s="128">
        <f t="shared" si="0"/>
        <v>0</v>
      </c>
      <c r="J11" s="140"/>
      <c r="K11" s="126" t="s">
        <v>150</v>
      </c>
      <c r="L11" s="36">
        <v>4549.8999999999996</v>
      </c>
      <c r="M11" s="165"/>
      <c r="N11" s="166" t="s">
        <v>113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113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159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151</v>
      </c>
      <c r="L12" s="130">
        <v>1064</v>
      </c>
      <c r="M12" s="183"/>
      <c r="N12" s="184" t="s">
        <v>113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113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160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152</v>
      </c>
      <c r="L13" s="36">
        <v>6749.6</v>
      </c>
      <c r="M13" s="187"/>
      <c r="N13" s="184" t="s">
        <v>113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113</v>
      </c>
      <c r="X13" s="188"/>
      <c r="Y13" s="186"/>
    </row>
    <row r="14" spans="1:25" ht="15.75" x14ac:dyDescent="0.25">
      <c r="A14" s="129">
        <v>42777</v>
      </c>
      <c r="B14" s="126" t="s">
        <v>161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153</v>
      </c>
      <c r="L14" s="36">
        <v>20426.2</v>
      </c>
      <c r="M14" s="187"/>
      <c r="N14" s="184" t="s">
        <v>113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113</v>
      </c>
      <c r="X14" s="188"/>
      <c r="Y14" s="186"/>
    </row>
    <row r="15" spans="1:25" ht="16.5" thickBot="1" x14ac:dyDescent="0.3">
      <c r="A15" s="129">
        <v>42780</v>
      </c>
      <c r="B15" s="126" t="s">
        <v>162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155</v>
      </c>
      <c r="L15" s="130">
        <v>35977.449999999997</v>
      </c>
      <c r="M15" s="165"/>
      <c r="N15" s="184" t="s">
        <v>113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163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156</v>
      </c>
      <c r="L16" s="130">
        <v>86104.04</v>
      </c>
      <c r="M16" s="187"/>
      <c r="N16" s="184" t="s">
        <v>113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164</v>
      </c>
      <c r="C17" s="130">
        <v>146610.29999999999</v>
      </c>
      <c r="D17" s="138" t="s">
        <v>203</v>
      </c>
      <c r="E17" s="137">
        <f>45233.51+101376.79</f>
        <v>146610.29999999999</v>
      </c>
      <c r="F17" s="128">
        <f t="shared" si="0"/>
        <v>0</v>
      </c>
      <c r="K17" s="126" t="s">
        <v>157</v>
      </c>
      <c r="L17" s="130">
        <v>38879.040000000001</v>
      </c>
      <c r="M17" s="187"/>
      <c r="N17" s="184" t="s">
        <v>113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170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158</v>
      </c>
      <c r="L18" s="36">
        <v>16934.62</v>
      </c>
      <c r="M18" s="211" t="s">
        <v>125</v>
      </c>
      <c r="N18" s="206" t="s">
        <v>113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168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169</v>
      </c>
      <c r="C20" s="130">
        <v>96159</v>
      </c>
      <c r="D20" s="136" t="s">
        <v>220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172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173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174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189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105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106</v>
      </c>
      <c r="L29" s="160" t="s">
        <v>107</v>
      </c>
      <c r="M29" s="159"/>
      <c r="N29" s="161" t="s">
        <v>108</v>
      </c>
      <c r="O29" s="160" t="s">
        <v>109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113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158</v>
      </c>
      <c r="L31" s="130">
        <v>23635.94</v>
      </c>
      <c r="M31" s="165" t="s">
        <v>171</v>
      </c>
      <c r="N31" s="166" t="s">
        <v>113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159</v>
      </c>
      <c r="L32" s="130">
        <v>131945.18</v>
      </c>
      <c r="M32" s="165"/>
      <c r="N32" s="166" t="s">
        <v>113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160</v>
      </c>
      <c r="L33" s="130">
        <v>19194.599999999999</v>
      </c>
      <c r="M33" s="165"/>
      <c r="N33" s="166" t="s">
        <v>113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161</v>
      </c>
      <c r="L34" s="130">
        <v>141072.01999999999</v>
      </c>
      <c r="M34" s="165"/>
      <c r="N34" s="166" t="s">
        <v>113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162</v>
      </c>
      <c r="L35" s="130">
        <v>25712.65</v>
      </c>
      <c r="M35" s="165"/>
      <c r="N35" s="166" t="s">
        <v>113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163</v>
      </c>
      <c r="L36" s="130">
        <v>16306.1</v>
      </c>
      <c r="M36" s="165"/>
      <c r="N36" s="166" t="s">
        <v>113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164</v>
      </c>
      <c r="L37" s="130">
        <v>45233.51</v>
      </c>
      <c r="M37" s="165"/>
      <c r="N37" s="166" t="s">
        <v>113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113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113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113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97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165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97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166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167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97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179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181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104</v>
      </c>
      <c r="E67"/>
    </row>
    <row r="68" spans="1:7" x14ac:dyDescent="0.25">
      <c r="B68" s="149">
        <v>42788</v>
      </c>
      <c r="C68" s="164">
        <v>1223</v>
      </c>
      <c r="D68" t="s">
        <v>187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192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104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10" workbookViewId="0">
      <selection activeCell="K27" sqref="K27:L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25" t="s">
        <v>263</v>
      </c>
      <c r="D1" s="425"/>
      <c r="E1" s="425"/>
      <c r="F1" s="425"/>
      <c r="G1" s="425"/>
      <c r="H1" s="425"/>
      <c r="I1" s="425"/>
      <c r="J1" s="425"/>
      <c r="K1" s="425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426" t="s">
        <v>4</v>
      </c>
      <c r="F4" s="427"/>
      <c r="I4" s="428" t="s">
        <v>5</v>
      </c>
      <c r="J4" s="429"/>
      <c r="K4" s="429"/>
      <c r="L4" s="429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201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212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213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214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216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257</v>
      </c>
      <c r="K9" s="37" t="s">
        <v>282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216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256</v>
      </c>
      <c r="K10" s="37" t="s">
        <v>279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217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258</v>
      </c>
      <c r="K11" s="37" t="s">
        <v>280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219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306</v>
      </c>
      <c r="K12" s="37" t="s">
        <v>281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219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229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230</v>
      </c>
      <c r="K14" s="48" t="s">
        <v>233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231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232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234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235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236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200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237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238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239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242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218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242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243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248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248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248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241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254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240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259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260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260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267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268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269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432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32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421" t="s">
        <v>61</v>
      </c>
      <c r="I40" s="422"/>
      <c r="J40" s="216"/>
      <c r="K40" s="423">
        <f>I38+L38</f>
        <v>124117.51</v>
      </c>
      <c r="L40" s="424"/>
    </row>
    <row r="41" spans="1:17" ht="15.75" x14ac:dyDescent="0.25">
      <c r="B41" s="102"/>
      <c r="C41" s="77"/>
      <c r="D41" s="408" t="s">
        <v>62</v>
      </c>
      <c r="E41" s="408"/>
      <c r="F41" s="103">
        <f>F38-K40</f>
        <v>1030122.0600000003</v>
      </c>
      <c r="I41" s="104"/>
      <c r="J41" s="104"/>
    </row>
    <row r="42" spans="1:17" ht="15.75" x14ac:dyDescent="0.25">
      <c r="D42" s="409" t="s">
        <v>63</v>
      </c>
      <c r="E42" s="409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410" t="s">
        <v>66</v>
      </c>
      <c r="J44" s="411"/>
      <c r="K44" s="414">
        <f>F48+L46</f>
        <v>179821.11000000036</v>
      </c>
      <c r="L44" s="415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412"/>
      <c r="J45" s="413"/>
      <c r="K45" s="416"/>
      <c r="L45" s="417"/>
    </row>
    <row r="46" spans="1:17" ht="17.25" thickTop="1" thickBot="1" x14ac:dyDescent="0.3">
      <c r="C46" s="94"/>
      <c r="D46" s="418" t="s">
        <v>69</v>
      </c>
      <c r="E46" s="418"/>
      <c r="F46" s="109">
        <v>255743.74</v>
      </c>
      <c r="I46" s="419"/>
      <c r="J46" s="419"/>
      <c r="K46" s="420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276</v>
      </c>
      <c r="J47" s="218"/>
      <c r="K47" s="402">
        <f>-C4</f>
        <v>-229801.74</v>
      </c>
      <c r="L47" s="402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403"/>
      <c r="E49" s="403"/>
      <c r="F49" s="77"/>
      <c r="I49" s="404" t="s">
        <v>274</v>
      </c>
      <c r="J49" s="405"/>
      <c r="K49" s="406">
        <f>K44+K47</f>
        <v>-49980.629999999626</v>
      </c>
      <c r="L49" s="40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199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42807</v>
      </c>
      <c r="P1" s="158"/>
      <c r="T1" t="s">
        <v>64</v>
      </c>
      <c r="U1" s="154" t="s">
        <v>105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204</v>
      </c>
      <c r="C3" s="36">
        <v>12132.5</v>
      </c>
      <c r="D3" s="133" t="s">
        <v>244</v>
      </c>
      <c r="E3" s="36">
        <f>4594.6+7537.9</f>
        <v>12132.5</v>
      </c>
      <c r="F3" s="128">
        <f t="shared" ref="F3:F27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42796</v>
      </c>
      <c r="B4" s="126" t="s">
        <v>205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169</v>
      </c>
      <c r="L4" s="130">
        <v>76392</v>
      </c>
      <c r="M4" s="165" t="s">
        <v>111</v>
      </c>
      <c r="N4" s="166" t="s">
        <v>113</v>
      </c>
      <c r="O4" s="167">
        <v>20175</v>
      </c>
      <c r="P4" s="168">
        <v>42797</v>
      </c>
      <c r="S4" s="164">
        <f>26160+18510+46566.91+40922</f>
        <v>132158.91</v>
      </c>
      <c r="T4" s="126" t="s">
        <v>225</v>
      </c>
      <c r="U4" s="130">
        <v>131511.19</v>
      </c>
      <c r="V4" s="165" t="s">
        <v>111</v>
      </c>
      <c r="W4" s="166" t="s">
        <v>113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206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172</v>
      </c>
      <c r="L5" s="130">
        <v>22916.6</v>
      </c>
      <c r="M5" s="165"/>
      <c r="N5" s="166" t="s">
        <v>113</v>
      </c>
      <c r="O5" s="167">
        <v>11187</v>
      </c>
      <c r="P5" s="168">
        <v>42793</v>
      </c>
      <c r="S5" s="164">
        <f>19357.52+9819.36+15419.02</f>
        <v>44595.9</v>
      </c>
      <c r="T5" s="126" t="s">
        <v>226</v>
      </c>
      <c r="U5" s="130">
        <v>44595.9</v>
      </c>
      <c r="V5" s="165"/>
      <c r="W5" s="166" t="s">
        <v>113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207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173</v>
      </c>
      <c r="L6" s="130">
        <v>80829.320000000007</v>
      </c>
      <c r="M6" s="165"/>
      <c r="N6" s="166" t="s">
        <v>113</v>
      </c>
      <c r="O6" s="167">
        <v>32746</v>
      </c>
      <c r="P6" s="168">
        <v>42797</v>
      </c>
      <c r="S6" s="140">
        <f>12996.72+27026.79+26992.76</f>
        <v>67016.27</v>
      </c>
      <c r="T6" s="126" t="s">
        <v>227</v>
      </c>
      <c r="U6" s="130">
        <v>67664.61</v>
      </c>
      <c r="V6" s="165" t="s">
        <v>202</v>
      </c>
      <c r="W6" s="166" t="s">
        <v>113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208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174</v>
      </c>
      <c r="L7" s="130">
        <v>102225.48</v>
      </c>
      <c r="M7" s="165"/>
      <c r="N7" s="166" t="s">
        <v>113</v>
      </c>
      <c r="O7" s="167">
        <v>32434</v>
      </c>
      <c r="P7" s="168">
        <v>42801</v>
      </c>
      <c r="S7" s="140">
        <v>800</v>
      </c>
      <c r="T7" s="126" t="s">
        <v>228</v>
      </c>
      <c r="U7" s="130">
        <v>800.8</v>
      </c>
      <c r="V7" s="165"/>
      <c r="W7" s="166" t="s">
        <v>113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209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189</v>
      </c>
      <c r="L8" s="130">
        <v>14086.5</v>
      </c>
      <c r="M8" s="165"/>
      <c r="N8" s="166" t="s">
        <v>113</v>
      </c>
      <c r="O8" s="167">
        <v>58167</v>
      </c>
      <c r="P8" s="168">
        <v>42801</v>
      </c>
      <c r="S8" s="140"/>
      <c r="T8" s="126"/>
      <c r="U8" s="130"/>
      <c r="V8" s="165"/>
      <c r="W8" s="166" t="s">
        <v>113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210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204</v>
      </c>
      <c r="L9" s="36">
        <v>4594.6000000000004</v>
      </c>
      <c r="M9" s="165" t="s">
        <v>125</v>
      </c>
      <c r="N9" s="166" t="s">
        <v>113</v>
      </c>
      <c r="O9" s="167">
        <v>25221.5</v>
      </c>
      <c r="P9" s="168">
        <v>42801</v>
      </c>
      <c r="S9" s="140"/>
      <c r="T9" s="126"/>
      <c r="U9" s="36"/>
      <c r="V9" s="165"/>
      <c r="W9" s="166" t="s">
        <v>113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211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113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113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221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113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113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222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113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113</v>
      </c>
      <c r="X12" s="185"/>
      <c r="Y12" s="186"/>
    </row>
    <row r="13" spans="1:25" ht="15.75" x14ac:dyDescent="0.25">
      <c r="A13" s="129">
        <v>42804</v>
      </c>
      <c r="B13" s="126" t="s">
        <v>223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113</v>
      </c>
      <c r="O13" s="188">
        <v>27257</v>
      </c>
      <c r="P13" s="186">
        <v>42804</v>
      </c>
      <c r="T13" s="132"/>
      <c r="U13" s="36"/>
      <c r="V13" s="187"/>
      <c r="W13" s="184" t="s">
        <v>113</v>
      </c>
      <c r="X13" s="188"/>
      <c r="Y13" s="186"/>
    </row>
    <row r="14" spans="1:25" ht="16.5" thickBot="1" x14ac:dyDescent="0.3">
      <c r="A14" s="129">
        <v>42805</v>
      </c>
      <c r="B14" s="126" t="s">
        <v>224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225</v>
      </c>
      <c r="C15" s="130">
        <v>135881.9</v>
      </c>
      <c r="D15" s="127" t="s">
        <v>261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226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227</v>
      </c>
      <c r="C17" s="130">
        <v>106205.4</v>
      </c>
      <c r="D17" s="136" t="s">
        <v>296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228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245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246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105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249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250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106</v>
      </c>
      <c r="L22" s="160" t="s">
        <v>107</v>
      </c>
      <c r="M22" s="159"/>
      <c r="N22" s="161" t="s">
        <v>108</v>
      </c>
      <c r="O22" s="160" t="s">
        <v>109</v>
      </c>
      <c r="P22" s="162"/>
    </row>
    <row r="23" spans="1:16" ht="15.75" x14ac:dyDescent="0.25">
      <c r="A23" s="134">
        <v>42822</v>
      </c>
      <c r="B23" s="126" t="s">
        <v>251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204</v>
      </c>
      <c r="L23" s="36">
        <v>7537.9</v>
      </c>
      <c r="M23" s="165" t="s">
        <v>111</v>
      </c>
      <c r="N23" s="166" t="s">
        <v>113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252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205</v>
      </c>
      <c r="L24" s="130">
        <v>11609.3</v>
      </c>
      <c r="M24" s="165"/>
      <c r="N24" s="166" t="s">
        <v>113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253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206</v>
      </c>
      <c r="L25" s="36">
        <v>30505.200000000001</v>
      </c>
      <c r="M25" s="165"/>
      <c r="N25" s="166" t="s">
        <v>113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262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207</v>
      </c>
      <c r="L26" s="36">
        <v>51011.92</v>
      </c>
      <c r="M26" s="165"/>
      <c r="N26" s="166" t="s">
        <v>113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208</v>
      </c>
      <c r="L27" s="130">
        <v>32047.62</v>
      </c>
      <c r="M27" s="165"/>
      <c r="N27" s="166" t="s">
        <v>113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209</v>
      </c>
      <c r="L28" s="130">
        <v>20043.2</v>
      </c>
      <c r="M28" s="165"/>
      <c r="N28" s="166" t="s">
        <v>113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210</v>
      </c>
      <c r="L29" s="130">
        <v>46218.04</v>
      </c>
      <c r="M29" s="165"/>
      <c r="N29" s="166" t="s">
        <v>113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211</v>
      </c>
      <c r="L30" s="130">
        <v>1339</v>
      </c>
      <c r="M30" s="165"/>
      <c r="N30" s="166" t="s">
        <v>113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221</v>
      </c>
      <c r="L31" s="130">
        <v>101899.98</v>
      </c>
      <c r="M31" s="183"/>
      <c r="N31" s="184" t="s">
        <v>113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222</v>
      </c>
      <c r="L32" s="130">
        <v>30677.4</v>
      </c>
      <c r="M32" s="224"/>
      <c r="N32" s="184" t="s">
        <v>113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223</v>
      </c>
      <c r="L33" s="130">
        <v>92913.88</v>
      </c>
      <c r="M33" s="187"/>
      <c r="N33" s="184" t="s">
        <v>113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224</v>
      </c>
      <c r="L34" s="130">
        <v>3555.2</v>
      </c>
      <c r="M34" s="187"/>
      <c r="N34" s="184" t="s">
        <v>113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225</v>
      </c>
      <c r="L35" s="130">
        <v>4370.71</v>
      </c>
      <c r="M35" s="227" t="s">
        <v>202</v>
      </c>
      <c r="N35" s="184" t="s">
        <v>113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113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113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113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113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270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99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271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104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99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99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100</v>
      </c>
      <c r="E59"/>
    </row>
    <row r="60" spans="1:7" x14ac:dyDescent="0.25">
      <c r="B60" s="149">
        <v>42812</v>
      </c>
      <c r="C60" s="140">
        <v>520</v>
      </c>
      <c r="D60" t="s">
        <v>272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99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273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100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99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10" workbookViewId="0">
      <selection activeCell="K27" sqref="K27:L3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425" t="s">
        <v>264</v>
      </c>
      <c r="D1" s="425"/>
      <c r="E1" s="425"/>
      <c r="F1" s="425"/>
      <c r="G1" s="425"/>
      <c r="H1" s="425"/>
      <c r="I1" s="425"/>
      <c r="J1" s="425"/>
      <c r="K1" s="425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426" t="s">
        <v>4</v>
      </c>
      <c r="F4" s="427"/>
      <c r="I4" s="428" t="s">
        <v>5</v>
      </c>
      <c r="J4" s="429"/>
      <c r="K4" s="429"/>
      <c r="L4" s="429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277</v>
      </c>
      <c r="E5" s="20">
        <v>42826</v>
      </c>
      <c r="F5" s="32">
        <v>50718.19</v>
      </c>
      <c r="G5" s="22"/>
      <c r="H5" s="23">
        <v>42826</v>
      </c>
      <c r="I5" s="26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297</v>
      </c>
      <c r="E6" s="20">
        <v>42827</v>
      </c>
      <c r="F6" s="32">
        <v>42075.85</v>
      </c>
      <c r="G6" s="33"/>
      <c r="H6" s="23">
        <v>42827</v>
      </c>
      <c r="I6" s="260">
        <v>400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298</v>
      </c>
      <c r="E7" s="20">
        <v>42828</v>
      </c>
      <c r="F7" s="32">
        <v>22012.45</v>
      </c>
      <c r="G7" s="22"/>
      <c r="H7" s="23">
        <v>42828</v>
      </c>
      <c r="I7" s="260">
        <v>100</v>
      </c>
      <c r="J7" s="36"/>
      <c r="K7" s="40" t="s">
        <v>131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299</v>
      </c>
      <c r="E8" s="20">
        <v>42829</v>
      </c>
      <c r="F8" s="32">
        <v>20061.03</v>
      </c>
      <c r="G8" s="22"/>
      <c r="H8" s="23">
        <v>42829</v>
      </c>
      <c r="I8" s="260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300</v>
      </c>
      <c r="E9" s="20">
        <v>42830</v>
      </c>
      <c r="F9" s="32">
        <v>34435.54</v>
      </c>
      <c r="G9" s="22"/>
      <c r="H9" s="23">
        <v>42830</v>
      </c>
      <c r="I9" s="260">
        <v>100</v>
      </c>
      <c r="J9" s="42" t="s">
        <v>307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301</v>
      </c>
      <c r="E10" s="20">
        <v>42831</v>
      </c>
      <c r="F10" s="32">
        <v>27976.73</v>
      </c>
      <c r="G10" s="22"/>
      <c r="H10" s="23">
        <v>42831</v>
      </c>
      <c r="I10" s="260">
        <v>100</v>
      </c>
      <c r="J10" s="42" t="s">
        <v>308</v>
      </c>
      <c r="K10" s="37" t="s">
        <v>284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302</v>
      </c>
      <c r="E11" s="20">
        <v>42832</v>
      </c>
      <c r="F11" s="32">
        <v>34781.370000000003</v>
      </c>
      <c r="G11" s="22"/>
      <c r="H11" s="23">
        <v>42832</v>
      </c>
      <c r="I11" s="260">
        <v>184</v>
      </c>
      <c r="J11" s="42" t="s">
        <v>327</v>
      </c>
      <c r="K11" s="37" t="s">
        <v>285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303</v>
      </c>
      <c r="E12" s="20">
        <v>42833</v>
      </c>
      <c r="F12" s="32">
        <v>50708.5</v>
      </c>
      <c r="G12" s="22"/>
      <c r="H12" s="23">
        <v>42833</v>
      </c>
      <c r="I12" s="260">
        <v>100</v>
      </c>
      <c r="J12" s="42" t="s">
        <v>335</v>
      </c>
      <c r="K12" s="37" t="s">
        <v>286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309</v>
      </c>
      <c r="E13" s="20">
        <v>42834</v>
      </c>
      <c r="F13" s="32">
        <v>43480.78</v>
      </c>
      <c r="G13" s="22"/>
      <c r="H13" s="23">
        <v>42834</v>
      </c>
      <c r="I13" s="260">
        <v>400</v>
      </c>
      <c r="J13" s="42" t="s">
        <v>362</v>
      </c>
      <c r="K13" s="37" t="s">
        <v>347</v>
      </c>
      <c r="L13" s="32">
        <v>11400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310</v>
      </c>
      <c r="E14" s="20">
        <v>42835</v>
      </c>
      <c r="F14" s="32">
        <v>23488.07</v>
      </c>
      <c r="G14" s="22"/>
      <c r="H14" s="23">
        <v>42835</v>
      </c>
      <c r="I14" s="260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311</v>
      </c>
      <c r="E15" s="20">
        <v>42836</v>
      </c>
      <c r="F15" s="32">
        <v>32968.19</v>
      </c>
      <c r="G15" s="22"/>
      <c r="H15" s="23">
        <v>42836</v>
      </c>
      <c r="I15" s="260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321</v>
      </c>
      <c r="E16" s="20">
        <v>42837</v>
      </c>
      <c r="F16" s="32">
        <v>33997.33</v>
      </c>
      <c r="G16" s="22"/>
      <c r="H16" s="23">
        <v>42837</v>
      </c>
      <c r="I16" s="260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322</v>
      </c>
      <c r="E17" s="20">
        <v>42838</v>
      </c>
      <c r="F17" s="32">
        <v>67250.62</v>
      </c>
      <c r="G17" s="22"/>
      <c r="H17" s="23">
        <v>42838</v>
      </c>
      <c r="I17" s="260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262">
        <v>400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323</v>
      </c>
      <c r="E19" s="20">
        <v>42840</v>
      </c>
      <c r="F19" s="32">
        <v>90681.63</v>
      </c>
      <c r="G19" s="22"/>
      <c r="H19" s="23">
        <v>42840</v>
      </c>
      <c r="I19" s="260">
        <v>570</v>
      </c>
      <c r="J19" s="42"/>
      <c r="K19" s="53">
        <v>42826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324</v>
      </c>
      <c r="E20" s="20">
        <v>42841</v>
      </c>
      <c r="F20" s="32">
        <v>52859.51</v>
      </c>
      <c r="G20" s="22"/>
      <c r="H20" s="23">
        <v>42841</v>
      </c>
      <c r="I20" s="264" t="s">
        <v>64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328</v>
      </c>
      <c r="E21" s="20">
        <v>42842</v>
      </c>
      <c r="F21" s="32">
        <v>42308.47</v>
      </c>
      <c r="G21" s="22"/>
      <c r="H21" s="23">
        <v>42842</v>
      </c>
      <c r="I21" s="264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329</v>
      </c>
      <c r="E22" s="20">
        <v>42843</v>
      </c>
      <c r="F22" s="32">
        <v>45524.23</v>
      </c>
      <c r="G22" s="22"/>
      <c r="H22" s="23">
        <v>42843</v>
      </c>
      <c r="I22" s="264">
        <v>184</v>
      </c>
      <c r="J22" s="58"/>
      <c r="K22" s="59" t="s">
        <v>42</v>
      </c>
      <c r="L22" s="197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330</v>
      </c>
      <c r="E23" s="20">
        <v>42844</v>
      </c>
      <c r="F23" s="32">
        <v>46197.01</v>
      </c>
      <c r="G23" s="22"/>
      <c r="H23" s="23">
        <v>42844</v>
      </c>
      <c r="I23" s="264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331</v>
      </c>
      <c r="E24" s="20">
        <v>42845</v>
      </c>
      <c r="F24" s="32">
        <v>34433.69</v>
      </c>
      <c r="G24" s="22"/>
      <c r="H24" s="23">
        <v>42845</v>
      </c>
      <c r="I24" s="264">
        <v>100</v>
      </c>
      <c r="J24" s="42"/>
      <c r="K24" s="263"/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332</v>
      </c>
      <c r="E25" s="20">
        <v>42846</v>
      </c>
      <c r="F25" s="32">
        <v>80403.100000000006</v>
      </c>
      <c r="G25" s="22"/>
      <c r="H25" s="23">
        <v>42846</v>
      </c>
      <c r="I25" s="264">
        <v>100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333</v>
      </c>
      <c r="E26" s="20">
        <v>42847</v>
      </c>
      <c r="F26" s="32">
        <v>67967.37</v>
      </c>
      <c r="G26" s="22"/>
      <c r="H26" s="23">
        <v>42847</v>
      </c>
      <c r="I26" s="264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336</v>
      </c>
      <c r="E27" s="20">
        <v>42848</v>
      </c>
      <c r="F27" s="32">
        <v>51527.4</v>
      </c>
      <c r="G27" s="22"/>
      <c r="H27" s="23">
        <v>42848</v>
      </c>
      <c r="I27" s="264">
        <v>400</v>
      </c>
      <c r="J27" s="36"/>
      <c r="K27" s="64" t="s">
        <v>287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337</v>
      </c>
      <c r="E28" s="20">
        <v>42849</v>
      </c>
      <c r="F28" s="32">
        <v>29862.21</v>
      </c>
      <c r="G28" s="22"/>
      <c r="H28" s="23">
        <v>42849</v>
      </c>
      <c r="I28" s="264">
        <v>100</v>
      </c>
      <c r="J28" s="36"/>
      <c r="K28" s="64" t="s">
        <v>325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341</v>
      </c>
      <c r="E29" s="20">
        <v>42850</v>
      </c>
      <c r="F29" s="32">
        <v>29190.85</v>
      </c>
      <c r="G29" s="22"/>
      <c r="H29" s="23">
        <v>42850</v>
      </c>
      <c r="I29" s="264">
        <v>128</v>
      </c>
      <c r="J29" s="36"/>
      <c r="K29" s="64" t="s">
        <v>326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342</v>
      </c>
      <c r="E30" s="20">
        <v>42851</v>
      </c>
      <c r="F30" s="32">
        <v>40786.36</v>
      </c>
      <c r="G30" s="22"/>
      <c r="H30" s="23">
        <v>42851</v>
      </c>
      <c r="I30" s="264">
        <v>874.88</v>
      </c>
      <c r="J30" s="63"/>
      <c r="K30" s="64" t="s">
        <v>334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343</v>
      </c>
      <c r="E31" s="20">
        <v>42852</v>
      </c>
      <c r="F31" s="32">
        <v>30557.47</v>
      </c>
      <c r="G31" s="22"/>
      <c r="H31" s="23">
        <v>42852</v>
      </c>
      <c r="I31" s="264">
        <v>220</v>
      </c>
      <c r="J31" s="42"/>
      <c r="K31" s="66" t="s">
        <v>363</v>
      </c>
      <c r="L31" s="67">
        <v>3500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360</v>
      </c>
      <c r="E32" s="20">
        <v>42853</v>
      </c>
      <c r="F32" s="32">
        <v>59450.96</v>
      </c>
      <c r="G32" s="22"/>
      <c r="H32" s="23">
        <v>42853</v>
      </c>
      <c r="I32" s="264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>
        <v>69411.58</v>
      </c>
      <c r="D33" s="240" t="s">
        <v>361</v>
      </c>
      <c r="E33" s="20">
        <v>42854</v>
      </c>
      <c r="F33" s="32">
        <v>69737.649999999994</v>
      </c>
      <c r="G33" s="22"/>
      <c r="H33" s="23">
        <v>42854</v>
      </c>
      <c r="I33" s="264">
        <v>326.06</v>
      </c>
      <c r="J33" s="36"/>
      <c r="K33" s="69"/>
      <c r="L33" s="430">
        <v>0</v>
      </c>
      <c r="M33" s="39">
        <v>0</v>
      </c>
      <c r="N33" s="35">
        <v>100</v>
      </c>
      <c r="O33" s="22"/>
      <c r="P33" s="22"/>
      <c r="Q33" s="22"/>
    </row>
    <row r="34" spans="1:17" ht="15.75" thickBot="1" x14ac:dyDescent="0.3">
      <c r="A34" s="16"/>
      <c r="B34" s="17">
        <v>42855</v>
      </c>
      <c r="C34" s="30">
        <v>32671.55</v>
      </c>
      <c r="D34" s="238"/>
      <c r="E34" s="20">
        <v>42855</v>
      </c>
      <c r="F34" s="32">
        <v>43991.55</v>
      </c>
      <c r="G34" s="22"/>
      <c r="H34" s="23">
        <v>42855</v>
      </c>
      <c r="I34" s="264">
        <v>770</v>
      </c>
      <c r="J34" s="36"/>
      <c r="K34" s="69"/>
      <c r="L34" s="431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432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432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1252744.1500000001</v>
      </c>
      <c r="E38" s="229" t="s">
        <v>60</v>
      </c>
      <c r="F38" s="94">
        <f>SUM(F5:F37)</f>
        <v>1299434.1099999999</v>
      </c>
      <c r="H38" s="6" t="s">
        <v>60</v>
      </c>
      <c r="I38" s="4">
        <f>SUM(I5:I37)</f>
        <v>8229.65</v>
      </c>
      <c r="J38" s="4"/>
      <c r="K38" s="95" t="s">
        <v>60</v>
      </c>
      <c r="L38" s="96">
        <f>SUM(L5:L37)</f>
        <v>118730</v>
      </c>
    </row>
    <row r="40" spans="1:17" ht="15.75" x14ac:dyDescent="0.25">
      <c r="A40" s="97"/>
      <c r="B40" s="98"/>
      <c r="C40" s="36"/>
      <c r="D40" s="99"/>
      <c r="E40" s="100"/>
      <c r="F40" s="77"/>
      <c r="H40" s="421" t="s">
        <v>61</v>
      </c>
      <c r="I40" s="422"/>
      <c r="J40" s="228"/>
      <c r="K40" s="423">
        <f>I38+L38</f>
        <v>126959.65</v>
      </c>
      <c r="L40" s="424"/>
    </row>
    <row r="41" spans="1:17" ht="15.75" x14ac:dyDescent="0.25">
      <c r="B41" s="102"/>
      <c r="C41" s="77"/>
      <c r="D41" s="408" t="s">
        <v>62</v>
      </c>
      <c r="E41" s="408"/>
      <c r="F41" s="103">
        <f>F38-K40</f>
        <v>1172474.46</v>
      </c>
      <c r="I41" s="104"/>
      <c r="J41" s="104"/>
    </row>
    <row r="42" spans="1:17" ht="15.75" x14ac:dyDescent="0.25">
      <c r="D42" s="409" t="s">
        <v>63</v>
      </c>
      <c r="E42" s="409"/>
      <c r="F42" s="103">
        <v>-1192915.8600000001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-20441.40000000014</v>
      </c>
      <c r="I44" s="410" t="s">
        <v>66</v>
      </c>
      <c r="J44" s="411"/>
      <c r="K44" s="414">
        <f>F48+L46</f>
        <v>199961.28999999986</v>
      </c>
      <c r="L44" s="415"/>
    </row>
    <row r="45" spans="1:17" ht="15.75" thickBot="1" x14ac:dyDescent="0.3">
      <c r="D45" s="108" t="s">
        <v>67</v>
      </c>
      <c r="E45" s="97" t="s">
        <v>68</v>
      </c>
      <c r="F45" s="4">
        <v>29463.1</v>
      </c>
      <c r="I45" s="412"/>
      <c r="J45" s="413"/>
      <c r="K45" s="416"/>
      <c r="L45" s="417"/>
    </row>
    <row r="46" spans="1:17" ht="17.25" thickTop="1" thickBot="1" x14ac:dyDescent="0.3">
      <c r="C46" s="94"/>
      <c r="D46" s="418" t="s">
        <v>69</v>
      </c>
      <c r="E46" s="418"/>
      <c r="F46" s="109">
        <v>190939.59</v>
      </c>
      <c r="I46" s="419"/>
      <c r="J46" s="419"/>
      <c r="K46" s="420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275</v>
      </c>
      <c r="J47" s="230"/>
      <c r="K47" s="402">
        <f>-C4</f>
        <v>-255743.74</v>
      </c>
      <c r="L47" s="402"/>
      <c r="M47" s="114"/>
    </row>
    <row r="48" spans="1:17" ht="17.25" thickTop="1" thickBot="1" x14ac:dyDescent="0.3">
      <c r="E48" s="115" t="s">
        <v>71</v>
      </c>
      <c r="F48" s="116">
        <f>F44+F45+F46</f>
        <v>199961.28999999986</v>
      </c>
    </row>
    <row r="49" spans="2:14" ht="19.5" thickBot="1" x14ac:dyDescent="0.35">
      <c r="B49"/>
      <c r="C49"/>
      <c r="D49" s="403"/>
      <c r="E49" s="403"/>
      <c r="F49" s="77"/>
      <c r="I49" s="404" t="s">
        <v>274</v>
      </c>
      <c r="J49" s="405"/>
      <c r="K49" s="406">
        <f>K44+K47</f>
        <v>-55782.450000000128</v>
      </c>
      <c r="L49" s="407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E26" sqref="E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265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34">
        <v>42838</v>
      </c>
      <c r="P1" s="158"/>
      <c r="U1" t="s">
        <v>64</v>
      </c>
      <c r="V1" s="154" t="s">
        <v>105</v>
      </c>
      <c r="W1" s="155"/>
      <c r="X1" s="156"/>
      <c r="Y1" s="242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295</v>
      </c>
      <c r="C3" s="36">
        <v>82596.3</v>
      </c>
      <c r="D3" s="133" t="s">
        <v>338</v>
      </c>
      <c r="E3" s="36">
        <f>55014.6+27581.7</f>
        <v>82596.3</v>
      </c>
      <c r="F3" s="128">
        <f t="shared" ref="F3:F25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42828</v>
      </c>
      <c r="B4" s="126" t="s">
        <v>266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227</v>
      </c>
      <c r="L4" s="36">
        <v>38540.79</v>
      </c>
      <c r="M4" s="165" t="s">
        <v>111</v>
      </c>
      <c r="N4" s="166" t="s">
        <v>113</v>
      </c>
      <c r="O4" s="167">
        <v>29315</v>
      </c>
      <c r="P4" s="168">
        <v>42824</v>
      </c>
      <c r="T4" s="164">
        <v>13729</v>
      </c>
      <c r="U4" s="126" t="s">
        <v>304</v>
      </c>
      <c r="V4" s="130">
        <v>13729</v>
      </c>
      <c r="W4" s="165"/>
      <c r="X4" s="166" t="s">
        <v>113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288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245</v>
      </c>
      <c r="L5" s="130">
        <v>129251.8</v>
      </c>
      <c r="M5" s="165"/>
      <c r="N5" s="166" t="s">
        <v>113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317</v>
      </c>
      <c r="V5" s="130">
        <v>21092.53</v>
      </c>
      <c r="W5" s="165" t="s">
        <v>111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289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246</v>
      </c>
      <c r="L6" s="130">
        <v>17182.400000000001</v>
      </c>
      <c r="M6" s="165"/>
      <c r="N6" s="166" t="s">
        <v>113</v>
      </c>
      <c r="O6" s="167">
        <v>8115</v>
      </c>
      <c r="P6" s="168">
        <v>42811</v>
      </c>
      <c r="T6" s="140">
        <v>31250.560000000001</v>
      </c>
      <c r="U6" s="126" t="s">
        <v>318</v>
      </c>
      <c r="V6" s="130">
        <v>31250.560000000001</v>
      </c>
      <c r="W6" s="165"/>
      <c r="X6" s="166" t="s">
        <v>113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290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249</v>
      </c>
      <c r="L7" s="130">
        <v>30839.119999999999</v>
      </c>
      <c r="M7" s="165"/>
      <c r="N7" s="166" t="s">
        <v>113</v>
      </c>
      <c r="O7" s="167">
        <v>3352.3</v>
      </c>
      <c r="P7" s="168">
        <v>42824</v>
      </c>
      <c r="T7" s="140">
        <f>1014.78+28509.12</f>
        <v>29523.899999999998</v>
      </c>
      <c r="U7" s="126" t="s">
        <v>319</v>
      </c>
      <c r="V7" s="130">
        <v>29523.9</v>
      </c>
      <c r="W7" s="165"/>
      <c r="X7" s="166" t="s">
        <v>113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291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250</v>
      </c>
      <c r="L8" s="130">
        <v>87604.800000000003</v>
      </c>
      <c r="M8" s="165"/>
      <c r="N8" s="166" t="s">
        <v>113</v>
      </c>
      <c r="O8" s="167">
        <v>11599.5</v>
      </c>
      <c r="P8" s="168">
        <v>42822</v>
      </c>
      <c r="T8" s="164">
        <v>1828.5</v>
      </c>
      <c r="U8" s="126" t="s">
        <v>320</v>
      </c>
      <c r="V8" s="130">
        <v>2573.41</v>
      </c>
      <c r="W8" s="165" t="s">
        <v>125</v>
      </c>
      <c r="X8" s="166" t="s">
        <v>113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292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251</v>
      </c>
      <c r="L9" s="130">
        <v>31892</v>
      </c>
      <c r="M9" s="165"/>
      <c r="N9" s="166" t="s">
        <v>113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113</v>
      </c>
      <c r="Y9" s="167">
        <v>0</v>
      </c>
      <c r="Z9" s="168"/>
    </row>
    <row r="10" spans="1:26" ht="15.75" x14ac:dyDescent="0.25">
      <c r="A10" s="129">
        <v>42836</v>
      </c>
      <c r="B10" s="126" t="s">
        <v>293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252</v>
      </c>
      <c r="L10" s="130">
        <v>95225.69</v>
      </c>
      <c r="M10" s="165"/>
      <c r="N10" s="166" t="s">
        <v>113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113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304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253</v>
      </c>
      <c r="L11" s="130">
        <v>8247.4</v>
      </c>
      <c r="M11" s="165"/>
      <c r="N11" s="166" t="s">
        <v>113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113</v>
      </c>
      <c r="Y11" s="243">
        <v>0</v>
      </c>
      <c r="Z11" s="186"/>
    </row>
    <row r="12" spans="1:26" ht="16.5" thickBot="1" x14ac:dyDescent="0.3">
      <c r="A12" s="129">
        <v>42838</v>
      </c>
      <c r="B12" s="126" t="s">
        <v>305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262</v>
      </c>
      <c r="L12" s="130">
        <v>4087.2</v>
      </c>
      <c r="M12" s="183"/>
      <c r="N12" s="184" t="s">
        <v>113</v>
      </c>
      <c r="O12" s="185">
        <v>22423.5</v>
      </c>
      <c r="P12" s="186">
        <v>42829</v>
      </c>
      <c r="T12" s="250">
        <f>SUM(T4:T11)</f>
        <v>98169.349999999991</v>
      </c>
      <c r="U12" s="251"/>
      <c r="V12" s="256">
        <f>SUM(V4:V11)</f>
        <v>98169.4</v>
      </c>
      <c r="W12" s="252"/>
      <c r="X12" s="253"/>
      <c r="Y12" s="254">
        <f>SUM(Y4:Y11)</f>
        <v>98169.4</v>
      </c>
      <c r="Z12" s="255"/>
    </row>
    <row r="13" spans="1:26" ht="15.75" x14ac:dyDescent="0.25">
      <c r="A13" s="129">
        <v>42838</v>
      </c>
      <c r="B13" s="126" t="s">
        <v>312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295</v>
      </c>
      <c r="L13" s="36">
        <v>55014.6</v>
      </c>
      <c r="M13" s="235" t="s">
        <v>125</v>
      </c>
      <c r="N13" s="184" t="s">
        <v>113</v>
      </c>
      <c r="O13" s="225">
        <v>19216</v>
      </c>
      <c r="P13" s="186">
        <v>42830</v>
      </c>
      <c r="T13" s="151"/>
      <c r="U13" s="176"/>
      <c r="V13" s="36"/>
      <c r="W13" s="246"/>
      <c r="X13" s="244"/>
      <c r="Y13" s="247"/>
      <c r="Z13" s="245"/>
    </row>
    <row r="14" spans="1:26" ht="15.75" x14ac:dyDescent="0.25">
      <c r="A14" s="129">
        <v>42841</v>
      </c>
      <c r="B14" s="126" t="s">
        <v>314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113</v>
      </c>
      <c r="O14" s="188">
        <v>36084</v>
      </c>
      <c r="P14" s="186">
        <v>42831</v>
      </c>
      <c r="T14" s="151"/>
      <c r="U14" s="176"/>
      <c r="V14" s="36"/>
      <c r="W14" s="100"/>
      <c r="X14" s="244"/>
      <c r="Y14" s="247"/>
      <c r="Z14" s="245"/>
    </row>
    <row r="15" spans="1:26" ht="15.75" x14ac:dyDescent="0.25">
      <c r="A15" s="129">
        <v>42843</v>
      </c>
      <c r="B15" s="126" t="s">
        <v>313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294</v>
      </c>
      <c r="O15" s="188">
        <v>11671.5</v>
      </c>
      <c r="P15" s="186">
        <v>42829</v>
      </c>
      <c r="T15" s="151"/>
      <c r="U15" s="176"/>
      <c r="V15" s="36"/>
      <c r="W15" s="100"/>
      <c r="X15" s="244"/>
      <c r="Y15" s="247"/>
      <c r="Z15" s="245"/>
    </row>
    <row r="16" spans="1:26" ht="15.75" x14ac:dyDescent="0.25">
      <c r="A16" s="129">
        <v>42844</v>
      </c>
      <c r="B16" s="126" t="s">
        <v>315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113</v>
      </c>
      <c r="O16" s="188">
        <v>27877</v>
      </c>
      <c r="P16" s="186">
        <v>42832</v>
      </c>
      <c r="T16" s="151"/>
      <c r="U16" s="176"/>
      <c r="V16" s="36"/>
      <c r="W16" s="246"/>
      <c r="X16" s="244"/>
      <c r="Y16" s="247"/>
      <c r="Z16" s="245"/>
    </row>
    <row r="17" spans="1:26" ht="15.75" x14ac:dyDescent="0.25">
      <c r="A17" s="129">
        <v>42844</v>
      </c>
      <c r="B17" s="126" t="s">
        <v>316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113</v>
      </c>
      <c r="O17" s="188">
        <v>33295</v>
      </c>
      <c r="P17" s="186">
        <v>42835</v>
      </c>
      <c r="T17" s="151"/>
      <c r="U17" s="176"/>
      <c r="V17" s="36"/>
      <c r="W17" s="100"/>
      <c r="X17" s="244"/>
      <c r="Y17" s="247"/>
      <c r="Z17" s="245"/>
    </row>
    <row r="18" spans="1:26" ht="15.75" x14ac:dyDescent="0.25">
      <c r="A18" s="129">
        <v>42845</v>
      </c>
      <c r="B18" s="126" t="s">
        <v>317</v>
      </c>
      <c r="C18" s="130">
        <v>24565.8</v>
      </c>
      <c r="D18" s="127" t="s">
        <v>344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113</v>
      </c>
      <c r="O18" s="188">
        <v>49848.5</v>
      </c>
      <c r="P18" s="186">
        <v>42835</v>
      </c>
      <c r="T18" s="151"/>
      <c r="U18" s="176"/>
      <c r="V18" s="36"/>
      <c r="W18" s="100"/>
      <c r="X18" s="244"/>
      <c r="Y18" s="247"/>
      <c r="Z18" s="245"/>
    </row>
    <row r="19" spans="1:26" ht="15.75" x14ac:dyDescent="0.25">
      <c r="A19" s="129">
        <v>42845</v>
      </c>
      <c r="B19" s="126" t="s">
        <v>318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113</v>
      </c>
      <c r="O19" s="188">
        <v>500</v>
      </c>
      <c r="P19" s="186">
        <v>42837</v>
      </c>
      <c r="T19" s="151"/>
      <c r="U19" s="176"/>
      <c r="V19" s="36"/>
      <c r="W19" s="246"/>
      <c r="X19" s="244"/>
      <c r="Y19" s="247"/>
      <c r="Z19" s="245"/>
    </row>
    <row r="20" spans="1:26" ht="15.75" x14ac:dyDescent="0.25">
      <c r="A20" s="129">
        <v>42846</v>
      </c>
      <c r="B20" s="126" t="s">
        <v>319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113</v>
      </c>
      <c r="O20" s="188">
        <v>40123</v>
      </c>
      <c r="P20" s="186">
        <v>42835</v>
      </c>
      <c r="T20" s="151"/>
      <c r="U20" s="176"/>
      <c r="V20" s="36"/>
      <c r="W20" s="100"/>
      <c r="X20" s="244"/>
      <c r="Y20" s="247"/>
      <c r="Z20" s="245"/>
    </row>
    <row r="21" spans="1:26" ht="15.75" x14ac:dyDescent="0.25">
      <c r="A21" s="129">
        <v>42847</v>
      </c>
      <c r="B21" s="126" t="s">
        <v>320</v>
      </c>
      <c r="C21" s="130">
        <v>111920.95</v>
      </c>
      <c r="D21" s="268" t="s">
        <v>383</v>
      </c>
      <c r="E21" s="137">
        <f>2573.41+109347.54</f>
        <v>111920.95</v>
      </c>
      <c r="F21" s="128">
        <f t="shared" si="0"/>
        <v>0</v>
      </c>
      <c r="J21" s="151"/>
      <c r="K21" s="187"/>
      <c r="L21" s="187"/>
      <c r="M21" s="187"/>
      <c r="N21" s="184" t="s">
        <v>113</v>
      </c>
      <c r="O21" s="188">
        <v>24963.5</v>
      </c>
      <c r="P21" s="186">
        <v>42837</v>
      </c>
      <c r="T21" s="151"/>
      <c r="U21" s="100"/>
      <c r="V21" s="100"/>
      <c r="W21" s="100"/>
      <c r="X21" s="244"/>
      <c r="Y21" s="247"/>
      <c r="Z21" s="245"/>
    </row>
    <row r="22" spans="1:26" ht="15.75" x14ac:dyDescent="0.25">
      <c r="A22" s="236">
        <v>42849</v>
      </c>
      <c r="B22" s="126" t="s">
        <v>339</v>
      </c>
      <c r="C22" s="130">
        <v>71567.81</v>
      </c>
      <c r="D22" s="138">
        <v>42868</v>
      </c>
      <c r="E22" s="137">
        <v>71567.81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30103</v>
      </c>
      <c r="P22" s="186">
        <v>42837</v>
      </c>
      <c r="T22" s="248"/>
      <c r="U22" s="100"/>
      <c r="V22" s="100"/>
      <c r="W22" s="100"/>
      <c r="X22" s="244"/>
      <c r="Y22" s="247"/>
      <c r="Z22" s="245"/>
    </row>
    <row r="23" spans="1:26" ht="16.5" thickBot="1" x14ac:dyDescent="0.3">
      <c r="A23" s="236">
        <v>42852</v>
      </c>
      <c r="B23" s="126" t="s">
        <v>340</v>
      </c>
      <c r="C23" s="130">
        <v>165656.38</v>
      </c>
      <c r="D23" s="138">
        <v>42868</v>
      </c>
      <c r="E23" s="137">
        <v>165656.38</v>
      </c>
      <c r="F23" s="128">
        <f t="shared" si="0"/>
        <v>0</v>
      </c>
      <c r="J23" s="177">
        <f>SUM(J4:J22)</f>
        <v>497888.30200000003</v>
      </c>
      <c r="K23" s="207"/>
      <c r="L23" s="207"/>
      <c r="M23" s="207"/>
      <c r="N23" s="184" t="s">
        <v>113</v>
      </c>
      <c r="O23" s="221">
        <v>0</v>
      </c>
      <c r="P23" s="222"/>
      <c r="T23" s="177"/>
      <c r="U23" s="100"/>
      <c r="V23" s="100"/>
      <c r="W23" s="100"/>
      <c r="X23" s="244"/>
      <c r="Y23" s="247"/>
      <c r="Z23" s="245"/>
    </row>
    <row r="24" spans="1:26" ht="17.25" thickTop="1" thickBot="1" x14ac:dyDescent="0.3">
      <c r="A24" s="236">
        <v>42854</v>
      </c>
      <c r="B24" s="126" t="s">
        <v>345</v>
      </c>
      <c r="C24" s="130">
        <v>60441.74</v>
      </c>
      <c r="D24" s="138">
        <v>42868</v>
      </c>
      <c r="E24" s="137">
        <v>60441.74</v>
      </c>
      <c r="F24" s="128">
        <f t="shared" si="0"/>
        <v>0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49"/>
      <c r="Z24" s="181"/>
    </row>
    <row r="25" spans="1:26" ht="15.75" thickBot="1" x14ac:dyDescent="0.3">
      <c r="A25" s="142">
        <v>42853</v>
      </c>
      <c r="B25" s="143" t="s">
        <v>346</v>
      </c>
      <c r="C25" s="144">
        <v>6681.15</v>
      </c>
      <c r="D25" s="267">
        <v>42868</v>
      </c>
      <c r="E25" s="269">
        <v>6681.15</v>
      </c>
      <c r="F25" s="147">
        <f t="shared" si="0"/>
        <v>0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30">
        <f>SUM(E3:E25)</f>
        <v>1182549.1199999999</v>
      </c>
      <c r="F26" s="130">
        <f>SUM(F3:F25)</f>
        <v>0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105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295</v>
      </c>
      <c r="L32" s="36">
        <v>27581.7</v>
      </c>
      <c r="M32" s="165" t="s">
        <v>111</v>
      </c>
      <c r="N32" s="166" t="s">
        <v>113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266</v>
      </c>
      <c r="L33" s="130">
        <v>21741.4</v>
      </c>
      <c r="M33" s="165"/>
      <c r="N33" s="166" t="s">
        <v>113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288</v>
      </c>
      <c r="L34" s="36">
        <v>2856</v>
      </c>
      <c r="M34" s="165"/>
      <c r="N34" s="166" t="s">
        <v>113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289</v>
      </c>
      <c r="L35" s="36">
        <v>105882.12</v>
      </c>
      <c r="M35" s="165"/>
      <c r="N35" s="166" t="s">
        <v>113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290</v>
      </c>
      <c r="L36" s="130">
        <v>7179</v>
      </c>
      <c r="M36" s="165"/>
      <c r="N36" s="166" t="s">
        <v>113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291</v>
      </c>
      <c r="L37" s="130">
        <v>121549.99</v>
      </c>
      <c r="M37" s="165"/>
      <c r="N37" s="166" t="s">
        <v>113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278</v>
      </c>
      <c r="F38"/>
      <c r="G38"/>
      <c r="J38" s="140">
        <v>25086.09</v>
      </c>
      <c r="K38" s="126" t="s">
        <v>292</v>
      </c>
      <c r="L38" s="130">
        <v>25086.9</v>
      </c>
      <c r="M38" s="165"/>
      <c r="N38" s="166" t="s">
        <v>113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293</v>
      </c>
      <c r="L39" s="130">
        <v>27355</v>
      </c>
      <c r="M39" s="165"/>
      <c r="N39" s="166" t="s">
        <v>113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113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305</v>
      </c>
      <c r="L41" s="130">
        <v>118168.98</v>
      </c>
      <c r="M41" s="235"/>
      <c r="N41" s="184" t="s">
        <v>113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305.7</v>
      </c>
      <c r="D42" s="149" t="s">
        <v>104</v>
      </c>
      <c r="F42"/>
      <c r="G42"/>
      <c r="J42" s="151">
        <f>24759.82+6157</f>
        <v>30916.82</v>
      </c>
      <c r="K42" s="126" t="s">
        <v>312</v>
      </c>
      <c r="L42" s="130">
        <v>30916.799999999999</v>
      </c>
      <c r="M42" s="187"/>
      <c r="N42" s="184" t="s">
        <v>113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314</v>
      </c>
      <c r="L43" s="130">
        <v>33333.699999999997</v>
      </c>
      <c r="M43" s="187"/>
      <c r="N43" s="184" t="s">
        <v>113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764</v>
      </c>
      <c r="D44" s="149" t="s">
        <v>364</v>
      </c>
      <c r="F44"/>
      <c r="G44"/>
      <c r="J44" s="151">
        <v>15951.56</v>
      </c>
      <c r="K44" s="126" t="s">
        <v>313</v>
      </c>
      <c r="L44" s="130">
        <v>15851.56</v>
      </c>
      <c r="M44" s="227"/>
      <c r="N44" s="184" t="s">
        <v>113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260</v>
      </c>
      <c r="D45" s="149" t="s">
        <v>167</v>
      </c>
      <c r="F45"/>
      <c r="G45"/>
      <c r="J45" s="151">
        <f>39757.5+26254.8</f>
        <v>66012.3</v>
      </c>
      <c r="K45" s="126" t="s">
        <v>315</v>
      </c>
      <c r="L45" s="130">
        <v>66012.38</v>
      </c>
      <c r="M45" s="187"/>
      <c r="N45" s="184" t="s">
        <v>113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316</v>
      </c>
      <c r="L46" s="130">
        <v>8681.7000000000007</v>
      </c>
      <c r="M46" s="187"/>
      <c r="N46" s="184" t="s">
        <v>113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317</v>
      </c>
      <c r="L47" s="130">
        <v>3473.27</v>
      </c>
      <c r="M47" s="227" t="s">
        <v>125</v>
      </c>
      <c r="N47" s="184" t="s">
        <v>113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1314</v>
      </c>
      <c r="D48" t="s">
        <v>365</v>
      </c>
      <c r="E48"/>
      <c r="F48"/>
      <c r="G48"/>
      <c r="J48" s="151"/>
      <c r="K48" s="126"/>
      <c r="L48" s="130">
        <v>0</v>
      </c>
      <c r="M48" s="187"/>
      <c r="N48" s="184" t="s">
        <v>113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113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113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113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870</v>
      </c>
      <c r="D54" t="s">
        <v>97</v>
      </c>
      <c r="E54"/>
    </row>
    <row r="55" spans="1:16" x14ac:dyDescent="0.25">
      <c r="B55" s="149">
        <v>42843</v>
      </c>
      <c r="C55" s="140">
        <v>461.44</v>
      </c>
      <c r="D55" t="s">
        <v>104</v>
      </c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980</v>
      </c>
      <c r="D57" t="s">
        <v>97</v>
      </c>
      <c r="E57"/>
    </row>
    <row r="58" spans="1:16" x14ac:dyDescent="0.25">
      <c r="B58" s="149">
        <v>42846</v>
      </c>
      <c r="C58" s="140">
        <v>1040</v>
      </c>
      <c r="D58" t="s">
        <v>167</v>
      </c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779</v>
      </c>
      <c r="D61" s="22" t="s">
        <v>97</v>
      </c>
    </row>
    <row r="62" spans="1:16" x14ac:dyDescent="0.25">
      <c r="B62" s="149">
        <v>42850</v>
      </c>
      <c r="C62" s="140">
        <v>362.6</v>
      </c>
      <c r="D62" s="22" t="s">
        <v>104</v>
      </c>
    </row>
    <row r="63" spans="1:16" x14ac:dyDescent="0.25">
      <c r="B63" s="149">
        <v>42851</v>
      </c>
      <c r="C63" s="140">
        <v>780</v>
      </c>
      <c r="D63" s="22" t="s">
        <v>167</v>
      </c>
    </row>
    <row r="64" spans="1:16" x14ac:dyDescent="0.25">
      <c r="B64" s="149">
        <v>42852</v>
      </c>
      <c r="C64" s="140">
        <v>0</v>
      </c>
      <c r="D64" s="22" t="s">
        <v>64</v>
      </c>
    </row>
    <row r="65" spans="2:4" x14ac:dyDescent="0.25">
      <c r="B65" s="149">
        <v>42853</v>
      </c>
      <c r="C65" s="140">
        <v>0</v>
      </c>
    </row>
    <row r="66" spans="2:4" x14ac:dyDescent="0.25">
      <c r="B66" s="149">
        <v>42854</v>
      </c>
      <c r="C66" s="140">
        <v>1280</v>
      </c>
      <c r="D66" s="22" t="s">
        <v>97</v>
      </c>
    </row>
    <row r="67" spans="2:4" ht="18.75" x14ac:dyDescent="0.3">
      <c r="C67" s="215">
        <f>SUM(C38:C66)</f>
        <v>10366.74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2 0 1 7     </vt:lpstr>
      <vt:lpstr>Hoja1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M A Y O      2 0 1 7    </vt:lpstr>
      <vt:lpstr>REMISIONES  MAYO   2017   </vt:lpstr>
      <vt:lpstr>J U N I O     2 0 1 7    </vt:lpstr>
      <vt:lpstr>REMISIONES JUNIO 2017      </vt:lpstr>
      <vt:lpstr>J U L I O     2 0 1 7      </vt:lpstr>
      <vt:lpstr>REMISIONES  JULIO   2017</vt:lpstr>
      <vt:lpstr>A G O S T O     2 0 1 7    </vt:lpstr>
      <vt:lpstr>REMISIONES Ago 2 0 1 7    </vt:lpstr>
      <vt:lpstr>SEPTIEMBRE   2017   </vt:lpstr>
      <vt:lpstr>REMISIONES Septiembre 2017</vt:lpstr>
      <vt:lpstr>Hoja5</vt:lpstr>
      <vt:lpstr>Hoja2</vt:lpstr>
      <vt:lpstr>Hoja3</vt:lpstr>
      <vt:lpstr>Hoja4</vt:lpstr>
      <vt:lpstr>Hoja6</vt:lpstr>
      <vt:lpstr>Hoja7</vt:lpstr>
      <vt:lpstr>Hoja8</vt:lpstr>
      <vt:lpstr>ELIAS Y PEPE    2 0 1 7   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2017-09-30T17:34:56Z</cp:lastPrinted>
  <dcterms:created xsi:type="dcterms:W3CDTF">2017-02-21T16:04:10Z</dcterms:created>
  <dcterms:modified xsi:type="dcterms:W3CDTF">2017-10-05T20:25:28Z</dcterms:modified>
</cp:coreProperties>
</file>