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0 OCTUBRE  2017\"/>
    </mc:Choice>
  </mc:AlternateContent>
  <bookViews>
    <workbookView xWindow="0" yWindow="0" windowWidth="13470" windowHeight="6420" activeTab="3"/>
  </bookViews>
  <sheets>
    <sheet name="marzo" sheetId="1" r:id="rId1"/>
    <sheet name="abril" sheetId="2" r:id="rId2"/>
    <sheet name="jun" sheetId="3" r:id="rId3"/>
    <sheet name="jul" sheetId="4" r:id="rId4"/>
    <sheet name="ago" sheetId="5" r:id="rId5"/>
    <sheet name="sep" sheetId="6" r:id="rId6"/>
    <sheet name="oct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1" i="7" l="1"/>
  <c r="T91" i="7" s="1"/>
  <c r="Y91" i="7" s="1"/>
  <c r="Z91" i="7" s="1"/>
  <c r="H91" i="7"/>
  <c r="U90" i="7"/>
  <c r="S90" i="7"/>
  <c r="R90" i="7"/>
  <c r="X90" i="7" s="1"/>
  <c r="T90" i="7" s="1"/>
  <c r="H90" i="7"/>
  <c r="U89" i="7"/>
  <c r="S89" i="7"/>
  <c r="R89" i="7"/>
  <c r="X89" i="7" s="1"/>
  <c r="T89" i="7" s="1"/>
  <c r="H89" i="7"/>
  <c r="X88" i="7"/>
  <c r="T88" i="7" s="1"/>
  <c r="Y88" i="7" s="1"/>
  <c r="Z88" i="7" s="1"/>
  <c r="H88" i="7"/>
  <c r="U87" i="7"/>
  <c r="S87" i="7"/>
  <c r="R87" i="7"/>
  <c r="H87" i="7"/>
  <c r="U86" i="7"/>
  <c r="S86" i="7"/>
  <c r="R86" i="7"/>
  <c r="H86" i="7"/>
  <c r="X85" i="7"/>
  <c r="T85" i="7" s="1"/>
  <c r="Y85" i="7" s="1"/>
  <c r="Z85" i="7" s="1"/>
  <c r="H85" i="7"/>
  <c r="U84" i="7"/>
  <c r="S84" i="7"/>
  <c r="R84" i="7"/>
  <c r="H84" i="7"/>
  <c r="X83" i="7"/>
  <c r="T83" i="7" s="1"/>
  <c r="Y83" i="7" s="1"/>
  <c r="Z83" i="7" s="1"/>
  <c r="H83" i="7"/>
  <c r="X82" i="7"/>
  <c r="T82" i="7" s="1"/>
  <c r="Y82" i="7" s="1"/>
  <c r="Z82" i="7" s="1"/>
  <c r="H82" i="7"/>
  <c r="U81" i="7"/>
  <c r="S81" i="7"/>
  <c r="R81" i="7"/>
  <c r="H81" i="7"/>
  <c r="P80" i="7"/>
  <c r="H80" i="7"/>
  <c r="X79" i="7"/>
  <c r="T79" i="7" s="1"/>
  <c r="Y79" i="7" s="1"/>
  <c r="Z79" i="7" s="1"/>
  <c r="H79" i="7"/>
  <c r="U78" i="7"/>
  <c r="S78" i="7"/>
  <c r="R78" i="7"/>
  <c r="H78" i="7"/>
  <c r="U77" i="7"/>
  <c r="S77" i="7"/>
  <c r="R77" i="7"/>
  <c r="H77" i="7"/>
  <c r="P75" i="7"/>
  <c r="X75" i="7" s="1"/>
  <c r="T75" i="7" s="1"/>
  <c r="Y75" i="7" s="1"/>
  <c r="Z75" i="7" s="1"/>
  <c r="H75" i="7"/>
  <c r="U74" i="7"/>
  <c r="S74" i="7"/>
  <c r="R74" i="7"/>
  <c r="X74" i="7" s="1"/>
  <c r="T74" i="7" s="1"/>
  <c r="H74" i="7"/>
  <c r="U73" i="7"/>
  <c r="S73" i="7"/>
  <c r="R73" i="7"/>
  <c r="X73" i="7" s="1"/>
  <c r="T73" i="7" s="1"/>
  <c r="H73" i="7"/>
  <c r="P72" i="7"/>
  <c r="X72" i="7" s="1"/>
  <c r="F72" i="7"/>
  <c r="H72" i="7" s="1"/>
  <c r="U71" i="7"/>
  <c r="S71" i="7"/>
  <c r="R71" i="7"/>
  <c r="X71" i="7" s="1"/>
  <c r="T71" i="7" s="1"/>
  <c r="H71" i="7"/>
  <c r="U70" i="7"/>
  <c r="S70" i="7"/>
  <c r="R70" i="7"/>
  <c r="X70" i="7" s="1"/>
  <c r="T70" i="7" s="1"/>
  <c r="H70" i="7"/>
  <c r="X69" i="7"/>
  <c r="F69" i="7"/>
  <c r="H69" i="7" s="1"/>
  <c r="U68" i="7"/>
  <c r="S68" i="7"/>
  <c r="R68" i="7"/>
  <c r="G68" i="7"/>
  <c r="H68" i="7" s="1"/>
  <c r="X67" i="7"/>
  <c r="P67" i="7"/>
  <c r="F67" i="7"/>
  <c r="H67" i="7" s="1"/>
  <c r="X66" i="7"/>
  <c r="P66" i="7"/>
  <c r="F66" i="7"/>
  <c r="H66" i="7" s="1"/>
  <c r="U65" i="7"/>
  <c r="S65" i="7"/>
  <c r="R65" i="7"/>
  <c r="G65" i="7"/>
  <c r="H65" i="7" s="1"/>
  <c r="X64" i="7"/>
  <c r="P64" i="7"/>
  <c r="F64" i="7"/>
  <c r="H64" i="7" s="1"/>
  <c r="P63" i="7"/>
  <c r="X63" i="7" s="1"/>
  <c r="T63" i="7" s="1"/>
  <c r="F63" i="7"/>
  <c r="H63" i="7" s="1"/>
  <c r="U62" i="7"/>
  <c r="S62" i="7"/>
  <c r="R62" i="7"/>
  <c r="X62" i="7" s="1"/>
  <c r="T62" i="7" s="1"/>
  <c r="G62" i="7"/>
  <c r="H62" i="7" s="1"/>
  <c r="U61" i="7"/>
  <c r="S61" i="7"/>
  <c r="R61" i="7"/>
  <c r="X61" i="7" s="1"/>
  <c r="T61" i="7" s="1"/>
  <c r="H61" i="7"/>
  <c r="Q60" i="7"/>
  <c r="G60" i="7"/>
  <c r="H60" i="7" s="1"/>
  <c r="F60" i="7"/>
  <c r="E60" i="7"/>
  <c r="R60" i="7" s="1"/>
  <c r="Y58" i="7"/>
  <c r="X58" i="7"/>
  <c r="H58" i="7"/>
  <c r="F58" i="7"/>
  <c r="U57" i="7"/>
  <c r="S57" i="7"/>
  <c r="R57" i="7"/>
  <c r="H57" i="7"/>
  <c r="Q56" i="7"/>
  <c r="G56" i="7"/>
  <c r="H56" i="7" s="1"/>
  <c r="F56" i="7"/>
  <c r="E56" i="7"/>
  <c r="S56" i="7" s="1"/>
  <c r="X55" i="7"/>
  <c r="T55" i="7" s="1"/>
  <c r="Y55" i="7" s="1"/>
  <c r="Z55" i="7" s="1"/>
  <c r="P55" i="7"/>
  <c r="F55" i="7"/>
  <c r="H55" i="7" s="1"/>
  <c r="U54" i="7"/>
  <c r="S54" i="7"/>
  <c r="R54" i="7"/>
  <c r="H54" i="7"/>
  <c r="U53" i="7"/>
  <c r="S53" i="7"/>
  <c r="R53" i="7"/>
  <c r="H53" i="7"/>
  <c r="P52" i="7"/>
  <c r="X52" i="7" s="1"/>
  <c r="F52" i="7"/>
  <c r="H52" i="7" s="1"/>
  <c r="Y51" i="7"/>
  <c r="Z51" i="7" s="1"/>
  <c r="X51" i="7"/>
  <c r="H51" i="7"/>
  <c r="Y50" i="7"/>
  <c r="Z50" i="7" s="1"/>
  <c r="X50" i="7"/>
  <c r="H50" i="7"/>
  <c r="Y49" i="7"/>
  <c r="Z49" i="7" s="1"/>
  <c r="X49" i="7"/>
  <c r="H49" i="7"/>
  <c r="U48" i="7"/>
  <c r="S48" i="7"/>
  <c r="R48" i="7"/>
  <c r="X48" i="7" s="1"/>
  <c r="T48" i="7" s="1"/>
  <c r="H48" i="7"/>
  <c r="Q47" i="7"/>
  <c r="G47" i="7"/>
  <c r="H47" i="7" s="1"/>
  <c r="F47" i="7"/>
  <c r="E47" i="7"/>
  <c r="U47" i="7" s="1"/>
  <c r="X46" i="7"/>
  <c r="T46" i="7" s="1"/>
  <c r="Y46" i="7" s="1"/>
  <c r="Z46" i="7" s="1"/>
  <c r="H46" i="7"/>
  <c r="F46" i="7"/>
  <c r="X45" i="7"/>
  <c r="F45" i="7"/>
  <c r="H45" i="7" s="1"/>
  <c r="U44" i="7"/>
  <c r="S44" i="7"/>
  <c r="R44" i="7"/>
  <c r="G44" i="7"/>
  <c r="H44" i="7" s="1"/>
  <c r="X43" i="7"/>
  <c r="F43" i="7"/>
  <c r="H43" i="7" s="1"/>
  <c r="P42" i="7"/>
  <c r="X42" i="7" s="1"/>
  <c r="T42" i="7" s="1"/>
  <c r="H42" i="7"/>
  <c r="F42" i="7"/>
  <c r="Y41" i="7"/>
  <c r="Z41" i="7" s="1"/>
  <c r="X41" i="7"/>
  <c r="H41" i="7"/>
  <c r="U40" i="7"/>
  <c r="S40" i="7"/>
  <c r="R40" i="7"/>
  <c r="X40" i="7" s="1"/>
  <c r="T40" i="7" s="1"/>
  <c r="J40" i="7"/>
  <c r="G40" i="7"/>
  <c r="H40" i="7" s="1"/>
  <c r="U39" i="7"/>
  <c r="S39" i="7"/>
  <c r="R39" i="7"/>
  <c r="H39" i="7"/>
  <c r="Q38" i="7"/>
  <c r="G38" i="7"/>
  <c r="F38" i="7"/>
  <c r="E38" i="7"/>
  <c r="S38" i="7" s="1"/>
  <c r="X36" i="7"/>
  <c r="P36" i="7"/>
  <c r="F36" i="7"/>
  <c r="H36" i="7" s="1"/>
  <c r="U35" i="7"/>
  <c r="S35" i="7"/>
  <c r="R35" i="7"/>
  <c r="H35" i="7"/>
  <c r="Q34" i="7"/>
  <c r="G34" i="7"/>
  <c r="H34" i="7" s="1"/>
  <c r="F34" i="7"/>
  <c r="E34" i="7"/>
  <c r="R34" i="7" s="1"/>
  <c r="P33" i="7"/>
  <c r="X33" i="7" s="1"/>
  <c r="F33" i="7"/>
  <c r="H33" i="7" s="1"/>
  <c r="U32" i="7"/>
  <c r="S32" i="7"/>
  <c r="R32" i="7"/>
  <c r="H32" i="7"/>
  <c r="S31" i="7"/>
  <c r="Q31" i="7"/>
  <c r="G31" i="7"/>
  <c r="H31" i="7" s="1"/>
  <c r="F31" i="7"/>
  <c r="E31" i="7"/>
  <c r="U31" i="7" s="1"/>
  <c r="P30" i="7"/>
  <c r="F30" i="7"/>
  <c r="H30" i="7" s="1"/>
  <c r="U29" i="7"/>
  <c r="S29" i="7"/>
  <c r="R29" i="7"/>
  <c r="X29" i="7" s="1"/>
  <c r="T29" i="7" s="1"/>
  <c r="H29" i="7"/>
  <c r="G29" i="7"/>
  <c r="X28" i="7"/>
  <c r="F28" i="7"/>
  <c r="H28" i="7" s="1"/>
  <c r="Y27" i="7"/>
  <c r="X27" i="7"/>
  <c r="F27" i="7"/>
  <c r="Z27" i="7" s="1"/>
  <c r="Y26" i="7"/>
  <c r="Z26" i="7" s="1"/>
  <c r="X26" i="7"/>
  <c r="H26" i="7"/>
  <c r="H25" i="7"/>
  <c r="G25" i="7"/>
  <c r="E25" i="7"/>
  <c r="S25" i="7" s="1"/>
  <c r="P24" i="7"/>
  <c r="X24" i="7" s="1"/>
  <c r="T24" i="7" s="1"/>
  <c r="H24" i="7"/>
  <c r="F24" i="7"/>
  <c r="P23" i="7"/>
  <c r="F23" i="7"/>
  <c r="H23" i="7" s="1"/>
  <c r="G22" i="7"/>
  <c r="F22" i="7"/>
  <c r="E22" i="7"/>
  <c r="R22" i="7" s="1"/>
  <c r="U21" i="7"/>
  <c r="S21" i="7"/>
  <c r="R21" i="7"/>
  <c r="H21" i="7"/>
  <c r="X19" i="7"/>
  <c r="P19" i="7"/>
  <c r="F19" i="7"/>
  <c r="H19" i="7" s="1"/>
  <c r="U18" i="7"/>
  <c r="S18" i="7"/>
  <c r="R18" i="7"/>
  <c r="H18" i="7"/>
  <c r="Q17" i="7"/>
  <c r="G17" i="7"/>
  <c r="F17" i="7"/>
  <c r="H17" i="7" s="1"/>
  <c r="E17" i="7"/>
  <c r="P16" i="7"/>
  <c r="X16" i="7" s="1"/>
  <c r="T16" i="7" s="1"/>
  <c r="F16" i="7"/>
  <c r="H16" i="7" s="1"/>
  <c r="P15" i="7"/>
  <c r="H15" i="7"/>
  <c r="F15" i="7"/>
  <c r="U14" i="7"/>
  <c r="S14" i="7"/>
  <c r="R14" i="7"/>
  <c r="H14" i="7"/>
  <c r="Q13" i="7"/>
  <c r="G13" i="7"/>
  <c r="F13" i="7"/>
  <c r="E13" i="7"/>
  <c r="U13" i="7" s="1"/>
  <c r="X12" i="7"/>
  <c r="T12" i="7" s="1"/>
  <c r="Y12" i="7" s="1"/>
  <c r="Z12" i="7" s="1"/>
  <c r="P12" i="7"/>
  <c r="F12" i="7"/>
  <c r="H12" i="7" s="1"/>
  <c r="U11" i="7"/>
  <c r="S11" i="7"/>
  <c r="R11" i="7"/>
  <c r="G11" i="7"/>
  <c r="H11" i="7" s="1"/>
  <c r="X10" i="7"/>
  <c r="T10" i="7" s="1"/>
  <c r="Y10" i="7" s="1"/>
  <c r="Z10" i="7" s="1"/>
  <c r="P10" i="7"/>
  <c r="F10" i="7"/>
  <c r="H10" i="7" s="1"/>
  <c r="G9" i="7"/>
  <c r="H9" i="7" s="1"/>
  <c r="F9" i="7"/>
  <c r="E9" i="7"/>
  <c r="S9" i="7" s="1"/>
  <c r="X8" i="7"/>
  <c r="T8" i="7"/>
  <c r="Y8" i="7" s="1"/>
  <c r="Z8" i="7" s="1"/>
  <c r="P8" i="7"/>
  <c r="F8" i="7"/>
  <c r="H8" i="7" s="1"/>
  <c r="P7" i="7"/>
  <c r="F7" i="7"/>
  <c r="H7" i="7" s="1"/>
  <c r="U6" i="7"/>
  <c r="S6" i="7"/>
  <c r="R6" i="7"/>
  <c r="G6" i="7"/>
  <c r="H6" i="7" s="1"/>
  <c r="U5" i="7"/>
  <c r="S5" i="7"/>
  <c r="R5" i="7"/>
  <c r="H5" i="7"/>
  <c r="Q4" i="7"/>
  <c r="G4" i="7"/>
  <c r="H4" i="7" s="1"/>
  <c r="F4" i="7"/>
  <c r="E4" i="7"/>
  <c r="U4" i="7" s="1"/>
  <c r="Y87" i="6"/>
  <c r="X87" i="6"/>
  <c r="F87" i="6"/>
  <c r="H87" i="6" s="1"/>
  <c r="U86" i="6"/>
  <c r="S86" i="6"/>
  <c r="R86" i="6"/>
  <c r="H86" i="6"/>
  <c r="Q85" i="6"/>
  <c r="G85" i="6"/>
  <c r="F85" i="6"/>
  <c r="E85" i="6"/>
  <c r="U85" i="6" s="1"/>
  <c r="P84" i="6"/>
  <c r="F84" i="6"/>
  <c r="H84" i="6" s="1"/>
  <c r="P83" i="6"/>
  <c r="X83" i="6" s="1"/>
  <c r="F83" i="6"/>
  <c r="H83" i="6" s="1"/>
  <c r="U82" i="6"/>
  <c r="S82" i="6"/>
  <c r="R82" i="6"/>
  <c r="H82" i="6"/>
  <c r="Q81" i="6"/>
  <c r="H81" i="6"/>
  <c r="G81" i="6"/>
  <c r="F81" i="6"/>
  <c r="E81" i="6"/>
  <c r="U81" i="6" s="1"/>
  <c r="P80" i="6"/>
  <c r="F80" i="6"/>
  <c r="H80" i="6" s="1"/>
  <c r="X79" i="6"/>
  <c r="T79" i="6"/>
  <c r="Y79" i="6" s="1"/>
  <c r="Z79" i="6" s="1"/>
  <c r="H79" i="6"/>
  <c r="U78" i="6"/>
  <c r="S78" i="6"/>
  <c r="R78" i="6"/>
  <c r="H78" i="6"/>
  <c r="P77" i="6"/>
  <c r="F77" i="6"/>
  <c r="H77" i="6" s="1"/>
  <c r="U76" i="6"/>
  <c r="S76" i="6"/>
  <c r="R76" i="6"/>
  <c r="X76" i="6" s="1"/>
  <c r="T76" i="6" s="1"/>
  <c r="Y76" i="6" s="1"/>
  <c r="Z76" i="6" s="1"/>
  <c r="H76" i="6"/>
  <c r="Q75" i="6"/>
  <c r="G75" i="6"/>
  <c r="H75" i="6" s="1"/>
  <c r="F75" i="6"/>
  <c r="E75" i="6"/>
  <c r="U75" i="6" s="1"/>
  <c r="P74" i="6"/>
  <c r="X74" i="6" s="1"/>
  <c r="T74" i="6" s="1"/>
  <c r="Y74" i="6" s="1"/>
  <c r="Z74" i="6" s="1"/>
  <c r="F74" i="6"/>
  <c r="H74" i="6" s="1"/>
  <c r="Y73" i="6"/>
  <c r="Z73" i="6" s="1"/>
  <c r="X73" i="6"/>
  <c r="H73" i="6"/>
  <c r="U72" i="6"/>
  <c r="S72" i="6"/>
  <c r="R72" i="6"/>
  <c r="G72" i="6"/>
  <c r="H72" i="6" s="1"/>
  <c r="F72" i="6"/>
  <c r="U71" i="6"/>
  <c r="S71" i="6"/>
  <c r="R71" i="6"/>
  <c r="G71" i="6"/>
  <c r="H71" i="6" s="1"/>
  <c r="P69" i="6"/>
  <c r="F69" i="6"/>
  <c r="H69" i="6" s="1"/>
  <c r="P68" i="6"/>
  <c r="F68" i="6"/>
  <c r="H68" i="6" s="1"/>
  <c r="U67" i="6"/>
  <c r="S67" i="6"/>
  <c r="R67" i="6"/>
  <c r="H67" i="6"/>
  <c r="U66" i="6"/>
  <c r="S66" i="6"/>
  <c r="R66" i="6"/>
  <c r="H66" i="6"/>
  <c r="Y65" i="6"/>
  <c r="Z65" i="6" s="1"/>
  <c r="X65" i="6"/>
  <c r="H65" i="6"/>
  <c r="U64" i="6"/>
  <c r="S64" i="6"/>
  <c r="R64" i="6"/>
  <c r="H64" i="6"/>
  <c r="Q63" i="6"/>
  <c r="G63" i="6"/>
  <c r="F63" i="6"/>
  <c r="E63" i="6"/>
  <c r="U63" i="6" s="1"/>
  <c r="X62" i="6"/>
  <c r="P62" i="6"/>
  <c r="F62" i="6"/>
  <c r="H62" i="6" s="1"/>
  <c r="U61" i="6"/>
  <c r="S61" i="6"/>
  <c r="R61" i="6"/>
  <c r="X61" i="6" s="1"/>
  <c r="T61" i="6" s="1"/>
  <c r="H61" i="6"/>
  <c r="G61" i="6"/>
  <c r="P60" i="6"/>
  <c r="X60" i="6" s="1"/>
  <c r="T60" i="6" s="1"/>
  <c r="Y60" i="6" s="1"/>
  <c r="Z60" i="6" s="1"/>
  <c r="H60" i="6"/>
  <c r="F60" i="6"/>
  <c r="P59" i="6"/>
  <c r="X59" i="6" s="1"/>
  <c r="F59" i="6"/>
  <c r="H59" i="6" s="1"/>
  <c r="Z58" i="6"/>
  <c r="Y58" i="6"/>
  <c r="X58" i="6"/>
  <c r="H58" i="6"/>
  <c r="Z57" i="6"/>
  <c r="Y57" i="6"/>
  <c r="X57" i="6"/>
  <c r="H57" i="6"/>
  <c r="Z56" i="6"/>
  <c r="Y56" i="6"/>
  <c r="X56" i="6"/>
  <c r="H56" i="6"/>
  <c r="Z55" i="6"/>
  <c r="Y55" i="6"/>
  <c r="X55" i="6"/>
  <c r="H55" i="6"/>
  <c r="U54" i="6"/>
  <c r="S54" i="6"/>
  <c r="R54" i="6"/>
  <c r="H54" i="6"/>
  <c r="G54" i="6"/>
  <c r="P53" i="6"/>
  <c r="X53" i="6" s="1"/>
  <c r="F53" i="6"/>
  <c r="H53" i="6" s="1"/>
  <c r="P52" i="6"/>
  <c r="F52" i="6"/>
  <c r="H52" i="6" s="1"/>
  <c r="U51" i="6"/>
  <c r="S51" i="6"/>
  <c r="R51" i="6"/>
  <c r="G51" i="6"/>
  <c r="H51" i="6" s="1"/>
  <c r="U50" i="6"/>
  <c r="S50" i="6"/>
  <c r="R50" i="6"/>
  <c r="G50" i="6"/>
  <c r="H50" i="6" s="1"/>
  <c r="U48" i="6"/>
  <c r="S48" i="6"/>
  <c r="R48" i="6"/>
  <c r="X48" i="6" s="1"/>
  <c r="T48" i="6" s="1"/>
  <c r="H48" i="6"/>
  <c r="Q47" i="6"/>
  <c r="G47" i="6"/>
  <c r="H47" i="6" s="1"/>
  <c r="F47" i="6"/>
  <c r="E47" i="6"/>
  <c r="U47" i="6" s="1"/>
  <c r="P46" i="6"/>
  <c r="X46" i="6" s="1"/>
  <c r="F46" i="6"/>
  <c r="H46" i="6" s="1"/>
  <c r="P45" i="6"/>
  <c r="F45" i="6"/>
  <c r="H45" i="6" s="1"/>
  <c r="Z44" i="6"/>
  <c r="Y44" i="6"/>
  <c r="X44" i="6"/>
  <c r="H44" i="6"/>
  <c r="U43" i="6"/>
  <c r="S43" i="6"/>
  <c r="R43" i="6"/>
  <c r="G43" i="6"/>
  <c r="H43" i="6" s="1"/>
  <c r="U42" i="6"/>
  <c r="S42" i="6"/>
  <c r="R42" i="6"/>
  <c r="G42" i="6"/>
  <c r="H42" i="6" s="1"/>
  <c r="P41" i="6"/>
  <c r="X41" i="6" s="1"/>
  <c r="T41" i="6" s="1"/>
  <c r="F41" i="6"/>
  <c r="Z41" i="6" s="1"/>
  <c r="U40" i="6"/>
  <c r="S40" i="6"/>
  <c r="R40" i="6"/>
  <c r="G40" i="6"/>
  <c r="H40" i="6" s="1"/>
  <c r="Y39" i="6"/>
  <c r="X39" i="6"/>
  <c r="F39" i="6"/>
  <c r="X38" i="6"/>
  <c r="T38" i="6" s="1"/>
  <c r="Y38" i="6" s="1"/>
  <c r="Z38" i="6" s="1"/>
  <c r="P38" i="6"/>
  <c r="F38" i="6"/>
  <c r="H38" i="6" s="1"/>
  <c r="U37" i="6"/>
  <c r="S37" i="6"/>
  <c r="R37" i="6"/>
  <c r="G37" i="6"/>
  <c r="H37" i="6" s="1"/>
  <c r="X36" i="6"/>
  <c r="T36" i="6" s="1"/>
  <c r="Y36" i="6" s="1"/>
  <c r="Z36" i="6" s="1"/>
  <c r="P36" i="6"/>
  <c r="F36" i="6"/>
  <c r="H36" i="6" s="1"/>
  <c r="P35" i="6"/>
  <c r="F35" i="6"/>
  <c r="H35" i="6" s="1"/>
  <c r="P34" i="6"/>
  <c r="F34" i="6"/>
  <c r="H34" i="6" s="1"/>
  <c r="U33" i="6"/>
  <c r="S33" i="6"/>
  <c r="R33" i="6"/>
  <c r="G33" i="6"/>
  <c r="H33" i="6" s="1"/>
  <c r="U32" i="6"/>
  <c r="S32" i="6"/>
  <c r="R32" i="6"/>
  <c r="G32" i="6"/>
  <c r="H32" i="6" s="1"/>
  <c r="P30" i="6"/>
  <c r="H30" i="6"/>
  <c r="F30" i="6"/>
  <c r="Y29" i="6"/>
  <c r="Z29" i="6" s="1"/>
  <c r="X29" i="6"/>
  <c r="H29" i="6"/>
  <c r="Y28" i="6"/>
  <c r="Z28" i="6" s="1"/>
  <c r="X28" i="6"/>
  <c r="H28" i="6"/>
  <c r="Y27" i="6"/>
  <c r="Z27" i="6" s="1"/>
  <c r="X27" i="6"/>
  <c r="H27" i="6"/>
  <c r="U26" i="6"/>
  <c r="S26" i="6"/>
  <c r="R26" i="6"/>
  <c r="H26" i="6"/>
  <c r="U25" i="6"/>
  <c r="S25" i="6"/>
  <c r="R25" i="6"/>
  <c r="H25" i="6"/>
  <c r="X24" i="6"/>
  <c r="F24" i="6"/>
  <c r="H24" i="6" s="1"/>
  <c r="P23" i="6"/>
  <c r="F23" i="6"/>
  <c r="H23" i="6" s="1"/>
  <c r="U22" i="6"/>
  <c r="S22" i="6"/>
  <c r="R22" i="6"/>
  <c r="H22" i="6"/>
  <c r="U21" i="6"/>
  <c r="S21" i="6"/>
  <c r="R21" i="6"/>
  <c r="Q21" i="6"/>
  <c r="H21" i="6"/>
  <c r="Y20" i="6"/>
  <c r="X20" i="6"/>
  <c r="F20" i="6"/>
  <c r="H20" i="6" s="1"/>
  <c r="P19" i="6"/>
  <c r="X19" i="6" s="1"/>
  <c r="T19" i="6" s="1"/>
  <c r="Y19" i="6" s="1"/>
  <c r="Z19" i="6" s="1"/>
  <c r="F19" i="6"/>
  <c r="H19" i="6" s="1"/>
  <c r="P18" i="6"/>
  <c r="X18" i="6" s="1"/>
  <c r="T18" i="6" s="1"/>
  <c r="F18" i="6"/>
  <c r="H18" i="6" s="1"/>
  <c r="P17" i="6"/>
  <c r="X17" i="6" s="1"/>
  <c r="T17" i="6" s="1"/>
  <c r="F17" i="6"/>
  <c r="H17" i="6" s="1"/>
  <c r="U16" i="6"/>
  <c r="S16" i="6"/>
  <c r="R16" i="6"/>
  <c r="H16" i="6"/>
  <c r="G15" i="6"/>
  <c r="F15" i="6"/>
  <c r="E15" i="6"/>
  <c r="S15" i="6" s="1"/>
  <c r="P14" i="6"/>
  <c r="X14" i="6" s="1"/>
  <c r="F14" i="6"/>
  <c r="H14" i="6" s="1"/>
  <c r="U13" i="6"/>
  <c r="S13" i="6"/>
  <c r="R13" i="6"/>
  <c r="X13" i="6" s="1"/>
  <c r="T13" i="6" s="1"/>
  <c r="G13" i="6"/>
  <c r="H13" i="6" s="1"/>
  <c r="P12" i="6"/>
  <c r="X12" i="6" s="1"/>
  <c r="F12" i="6"/>
  <c r="H12" i="6" s="1"/>
  <c r="U11" i="6"/>
  <c r="S11" i="6"/>
  <c r="R11" i="6"/>
  <c r="G11" i="6"/>
  <c r="H11" i="6" s="1"/>
  <c r="X9" i="6"/>
  <c r="F9" i="6"/>
  <c r="H9" i="6" s="1"/>
  <c r="X8" i="6"/>
  <c r="T8" i="6"/>
  <c r="P8" i="6"/>
  <c r="F8" i="6"/>
  <c r="H8" i="6" s="1"/>
  <c r="Y7" i="6"/>
  <c r="Z7" i="6" s="1"/>
  <c r="X7" i="6"/>
  <c r="H7" i="6"/>
  <c r="Y6" i="6"/>
  <c r="Z6" i="6" s="1"/>
  <c r="X6" i="6"/>
  <c r="H6" i="6"/>
  <c r="Y5" i="6"/>
  <c r="X5" i="6"/>
  <c r="F5" i="6"/>
  <c r="H5" i="6" s="1"/>
  <c r="U4" i="6"/>
  <c r="S4" i="6"/>
  <c r="R4" i="6"/>
  <c r="H4" i="6"/>
  <c r="Q3" i="6"/>
  <c r="G3" i="6"/>
  <c r="F3" i="6"/>
  <c r="E3" i="6"/>
  <c r="Y93" i="5"/>
  <c r="Z93" i="5" s="1"/>
  <c r="X93" i="5"/>
  <c r="H93" i="5"/>
  <c r="Y92" i="5"/>
  <c r="Z92" i="5" s="1"/>
  <c r="X92" i="5"/>
  <c r="H92" i="5"/>
  <c r="U91" i="5"/>
  <c r="S91" i="5"/>
  <c r="R91" i="5"/>
  <c r="H91" i="5"/>
  <c r="Q90" i="5"/>
  <c r="G90" i="5"/>
  <c r="H90" i="5" s="1"/>
  <c r="F90" i="5"/>
  <c r="E90" i="5"/>
  <c r="R90" i="5" s="1"/>
  <c r="Y89" i="5"/>
  <c r="Z89" i="5" s="1"/>
  <c r="X89" i="5"/>
  <c r="F89" i="5"/>
  <c r="H89" i="5" s="1"/>
  <c r="P88" i="5"/>
  <c r="F88" i="5"/>
  <c r="H88" i="5" s="1"/>
  <c r="Y87" i="5"/>
  <c r="Z87" i="5" s="1"/>
  <c r="X87" i="5"/>
  <c r="H87" i="5"/>
  <c r="U86" i="5"/>
  <c r="S86" i="5"/>
  <c r="R86" i="5"/>
  <c r="G86" i="5"/>
  <c r="H86" i="5" s="1"/>
  <c r="X85" i="5"/>
  <c r="T85" i="5" s="1"/>
  <c r="Y85" i="5" s="1"/>
  <c r="Z85" i="5" s="1"/>
  <c r="F85" i="5"/>
  <c r="H85" i="5" s="1"/>
  <c r="G84" i="5"/>
  <c r="F84" i="5"/>
  <c r="E84" i="5"/>
  <c r="S84" i="5" s="1"/>
  <c r="P83" i="5"/>
  <c r="X83" i="5" s="1"/>
  <c r="T83" i="5" s="1"/>
  <c r="Y83" i="5" s="1"/>
  <c r="Z83" i="5" s="1"/>
  <c r="F83" i="5"/>
  <c r="H83" i="5" s="1"/>
  <c r="P82" i="5"/>
  <c r="X82" i="5" s="1"/>
  <c r="T82" i="5" s="1"/>
  <c r="Y82" i="5" s="1"/>
  <c r="Z82" i="5" s="1"/>
  <c r="F82" i="5"/>
  <c r="H82" i="5" s="1"/>
  <c r="Y81" i="5"/>
  <c r="Z81" i="5" s="1"/>
  <c r="X81" i="5"/>
  <c r="H81" i="5"/>
  <c r="F81" i="5"/>
  <c r="U80" i="5"/>
  <c r="S80" i="5"/>
  <c r="R80" i="5"/>
  <c r="G80" i="5"/>
  <c r="H80" i="5" s="1"/>
  <c r="U79" i="5"/>
  <c r="S79" i="5"/>
  <c r="R79" i="5"/>
  <c r="G79" i="5"/>
  <c r="H79" i="5" s="1"/>
  <c r="F79" i="5"/>
  <c r="X79" i="5" s="1"/>
  <c r="T79" i="5" s="1"/>
  <c r="X77" i="5"/>
  <c r="P77" i="5"/>
  <c r="F77" i="5"/>
  <c r="H77" i="5" s="1"/>
  <c r="P76" i="5"/>
  <c r="F76" i="5"/>
  <c r="H76" i="5" s="1"/>
  <c r="U75" i="5"/>
  <c r="S75" i="5"/>
  <c r="R75" i="5"/>
  <c r="X75" i="5" s="1"/>
  <c r="T75" i="5" s="1"/>
  <c r="H75" i="5"/>
  <c r="U74" i="5"/>
  <c r="S74" i="5"/>
  <c r="R74" i="5"/>
  <c r="H74" i="5"/>
  <c r="Y73" i="5"/>
  <c r="Z73" i="5" s="1"/>
  <c r="X73" i="5"/>
  <c r="H73" i="5"/>
  <c r="U72" i="5"/>
  <c r="S72" i="5"/>
  <c r="R72" i="5"/>
  <c r="F72" i="5"/>
  <c r="U71" i="5"/>
  <c r="S71" i="5"/>
  <c r="R71" i="5"/>
  <c r="H71" i="5"/>
  <c r="P70" i="5"/>
  <c r="F70" i="5"/>
  <c r="H70" i="5" s="1"/>
  <c r="Y69" i="5"/>
  <c r="Z69" i="5" s="1"/>
  <c r="X69" i="5"/>
  <c r="F69" i="5"/>
  <c r="H69" i="5" s="1"/>
  <c r="S68" i="5"/>
  <c r="G68" i="5"/>
  <c r="H68" i="5" s="1"/>
  <c r="F68" i="5"/>
  <c r="E68" i="5"/>
  <c r="R68" i="5" s="1"/>
  <c r="P67" i="5"/>
  <c r="X67" i="5" s="1"/>
  <c r="T67" i="5" s="1"/>
  <c r="Y67" i="5" s="1"/>
  <c r="Z67" i="5" s="1"/>
  <c r="H67" i="5"/>
  <c r="F67" i="5"/>
  <c r="U66" i="5"/>
  <c r="S66" i="5"/>
  <c r="R66" i="5"/>
  <c r="G66" i="5"/>
  <c r="H66" i="5" s="1"/>
  <c r="X65" i="5"/>
  <c r="T65" i="5" s="1"/>
  <c r="Y65" i="5" s="1"/>
  <c r="Z65" i="5" s="1"/>
  <c r="P65" i="5"/>
  <c r="F65" i="5"/>
  <c r="H65" i="5" s="1"/>
  <c r="X64" i="5"/>
  <c r="T64" i="5" s="1"/>
  <c r="Y64" i="5" s="1"/>
  <c r="Z64" i="5" s="1"/>
  <c r="P64" i="5"/>
  <c r="F64" i="5"/>
  <c r="H64" i="5" s="1"/>
  <c r="Y63" i="5"/>
  <c r="Z63" i="5" s="1"/>
  <c r="X63" i="5"/>
  <c r="H63" i="5"/>
  <c r="U62" i="5"/>
  <c r="S62" i="5"/>
  <c r="R62" i="5"/>
  <c r="G62" i="5"/>
  <c r="H62" i="5" s="1"/>
  <c r="U61" i="5"/>
  <c r="S61" i="5"/>
  <c r="R61" i="5"/>
  <c r="G61" i="5"/>
  <c r="H61" i="5" s="1"/>
  <c r="Y59" i="5"/>
  <c r="Z59" i="5" s="1"/>
  <c r="X59" i="5"/>
  <c r="H59" i="5"/>
  <c r="Y58" i="5"/>
  <c r="Z58" i="5" s="1"/>
  <c r="X58" i="5"/>
  <c r="F58" i="5"/>
  <c r="H58" i="5" s="1"/>
  <c r="Y57" i="5"/>
  <c r="X57" i="5"/>
  <c r="F57" i="5"/>
  <c r="H57" i="5" s="1"/>
  <c r="P56" i="5"/>
  <c r="F56" i="5"/>
  <c r="H56" i="5" s="1"/>
  <c r="P55" i="5"/>
  <c r="F55" i="5"/>
  <c r="H55" i="5" s="1"/>
  <c r="U54" i="5"/>
  <c r="S54" i="5"/>
  <c r="R54" i="5"/>
  <c r="H54" i="5"/>
  <c r="U53" i="5"/>
  <c r="S53" i="5"/>
  <c r="R53" i="5"/>
  <c r="H53" i="5"/>
  <c r="U52" i="5"/>
  <c r="S52" i="5"/>
  <c r="R52" i="5"/>
  <c r="H52" i="5"/>
  <c r="S51" i="5"/>
  <c r="Q51" i="5"/>
  <c r="G51" i="5"/>
  <c r="H51" i="5" s="1"/>
  <c r="F51" i="5"/>
  <c r="E51" i="5"/>
  <c r="U51" i="5" s="1"/>
  <c r="P50" i="5"/>
  <c r="X50" i="5" s="1"/>
  <c r="T50" i="5" s="1"/>
  <c r="H50" i="5"/>
  <c r="F50" i="5"/>
  <c r="Y49" i="5"/>
  <c r="Z49" i="5" s="1"/>
  <c r="X49" i="5"/>
  <c r="H49" i="5"/>
  <c r="Y48" i="5"/>
  <c r="Z48" i="5" s="1"/>
  <c r="X48" i="5"/>
  <c r="H48" i="5"/>
  <c r="Y47" i="5"/>
  <c r="Z47" i="5" s="1"/>
  <c r="X47" i="5"/>
  <c r="H47" i="5"/>
  <c r="U46" i="5"/>
  <c r="S46" i="5"/>
  <c r="R46" i="5"/>
  <c r="G46" i="5"/>
  <c r="H46" i="5" s="1"/>
  <c r="P45" i="5"/>
  <c r="X45" i="5" s="1"/>
  <c r="T45" i="5" s="1"/>
  <c r="F45" i="5"/>
  <c r="H45" i="5" s="1"/>
  <c r="U44" i="5"/>
  <c r="S44" i="5"/>
  <c r="R44" i="5"/>
  <c r="G44" i="5"/>
  <c r="H44" i="5" s="1"/>
  <c r="P43" i="5"/>
  <c r="X43" i="5" s="1"/>
  <c r="T43" i="5" s="1"/>
  <c r="H43" i="5"/>
  <c r="F43" i="5"/>
  <c r="P42" i="5"/>
  <c r="X42" i="5" s="1"/>
  <c r="T42" i="5" s="1"/>
  <c r="Y42" i="5" s="1"/>
  <c r="Z42" i="5" s="1"/>
  <c r="H42" i="5"/>
  <c r="F42" i="5"/>
  <c r="Y41" i="5"/>
  <c r="Z41" i="5" s="1"/>
  <c r="X41" i="5"/>
  <c r="H41" i="5"/>
  <c r="Y40" i="5"/>
  <c r="Z40" i="5" s="1"/>
  <c r="X40" i="5"/>
  <c r="H40" i="5"/>
  <c r="U39" i="5"/>
  <c r="S39" i="5"/>
  <c r="R39" i="5"/>
  <c r="G39" i="5"/>
  <c r="H39" i="5" s="1"/>
  <c r="U38" i="5"/>
  <c r="S38" i="5"/>
  <c r="R38" i="5"/>
  <c r="G38" i="5"/>
  <c r="H38" i="5" s="1"/>
  <c r="Y36" i="5"/>
  <c r="Z36" i="5" s="1"/>
  <c r="X36" i="5"/>
  <c r="H36" i="5"/>
  <c r="P35" i="5"/>
  <c r="X35" i="5" s="1"/>
  <c r="T35" i="5" s="1"/>
  <c r="H35" i="5"/>
  <c r="F35" i="5"/>
  <c r="U34" i="5"/>
  <c r="S34" i="5"/>
  <c r="R34" i="5"/>
  <c r="F34" i="5"/>
  <c r="H34" i="5" s="1"/>
  <c r="U33" i="5"/>
  <c r="S33" i="5"/>
  <c r="R33" i="5"/>
  <c r="F33" i="5"/>
  <c r="X33" i="5" s="1"/>
  <c r="T33" i="5" s="1"/>
  <c r="H32" i="5"/>
  <c r="F32" i="5"/>
  <c r="U31" i="5"/>
  <c r="S31" i="5"/>
  <c r="R31" i="5"/>
  <c r="H31" i="5"/>
  <c r="U30" i="5"/>
  <c r="S30" i="5"/>
  <c r="R30" i="5"/>
  <c r="H30" i="5"/>
  <c r="P29" i="5"/>
  <c r="X29" i="5" s="1"/>
  <c r="T29" i="5" s="1"/>
  <c r="Y29" i="5" s="1"/>
  <c r="Z29" i="5" s="1"/>
  <c r="H29" i="5"/>
  <c r="F29" i="5"/>
  <c r="Y28" i="5"/>
  <c r="Z28" i="5" s="1"/>
  <c r="X28" i="5"/>
  <c r="H28" i="5"/>
  <c r="Y27" i="5"/>
  <c r="Z27" i="5" s="1"/>
  <c r="X27" i="5"/>
  <c r="H27" i="5"/>
  <c r="Y26" i="5"/>
  <c r="Z26" i="5" s="1"/>
  <c r="X26" i="5"/>
  <c r="H26" i="5"/>
  <c r="Y25" i="5"/>
  <c r="Z25" i="5" s="1"/>
  <c r="X25" i="5"/>
  <c r="H25" i="5"/>
  <c r="P24" i="5"/>
  <c r="X24" i="5" s="1"/>
  <c r="T24" i="5" s="1"/>
  <c r="F24" i="5"/>
  <c r="H24" i="5" s="1"/>
  <c r="U23" i="5"/>
  <c r="S23" i="5"/>
  <c r="R23" i="5"/>
  <c r="G23" i="5"/>
  <c r="H23" i="5" s="1"/>
  <c r="X22" i="5"/>
  <c r="T22" i="5" s="1"/>
  <c r="Y22" i="5" s="1"/>
  <c r="Z22" i="5" s="1"/>
  <c r="F22" i="5"/>
  <c r="H22" i="5" s="1"/>
  <c r="Y21" i="5"/>
  <c r="X21" i="5"/>
  <c r="F21" i="5"/>
  <c r="H21" i="5" s="1"/>
  <c r="P20" i="5"/>
  <c r="F20" i="5"/>
  <c r="H20" i="5" s="1"/>
  <c r="P19" i="5"/>
  <c r="X19" i="5" s="1"/>
  <c r="T19" i="5" s="1"/>
  <c r="F19" i="5"/>
  <c r="H19" i="5" s="1"/>
  <c r="U18" i="5"/>
  <c r="S18" i="5"/>
  <c r="R18" i="5"/>
  <c r="X18" i="5" s="1"/>
  <c r="T18" i="5" s="1"/>
  <c r="G18" i="5"/>
  <c r="H18" i="5" s="1"/>
  <c r="U17" i="5"/>
  <c r="S17" i="5"/>
  <c r="R17" i="5"/>
  <c r="X17" i="5" s="1"/>
  <c r="T17" i="5" s="1"/>
  <c r="G17" i="5"/>
  <c r="H17" i="5" s="1"/>
  <c r="P15" i="5"/>
  <c r="F15" i="5"/>
  <c r="H15" i="5" s="1"/>
  <c r="U14" i="5"/>
  <c r="S14" i="5"/>
  <c r="R14" i="5"/>
  <c r="X14" i="5" s="1"/>
  <c r="T14" i="5" s="1"/>
  <c r="G14" i="5"/>
  <c r="H14" i="5" s="1"/>
  <c r="U13" i="5"/>
  <c r="S13" i="5"/>
  <c r="R13" i="5"/>
  <c r="G13" i="5"/>
  <c r="H13" i="5" s="1"/>
  <c r="P12" i="5"/>
  <c r="X12" i="5" s="1"/>
  <c r="T12" i="5" s="1"/>
  <c r="Y12" i="5" s="1"/>
  <c r="Z12" i="5" s="1"/>
  <c r="F12" i="5"/>
  <c r="H12" i="5" s="1"/>
  <c r="U11" i="5"/>
  <c r="S11" i="5"/>
  <c r="R11" i="5"/>
  <c r="H11" i="5"/>
  <c r="G11" i="5"/>
  <c r="U10" i="5"/>
  <c r="S10" i="5"/>
  <c r="R10" i="5"/>
  <c r="G10" i="5"/>
  <c r="H10" i="5" s="1"/>
  <c r="P9" i="5"/>
  <c r="X9" i="5" s="1"/>
  <c r="T9" i="5" s="1"/>
  <c r="Y9" i="5" s="1"/>
  <c r="Z9" i="5" s="1"/>
  <c r="H9" i="5"/>
  <c r="F9" i="5"/>
  <c r="U8" i="5"/>
  <c r="S8" i="5"/>
  <c r="R8" i="5"/>
  <c r="G8" i="5"/>
  <c r="H8" i="5" s="1"/>
  <c r="P7" i="5"/>
  <c r="X7" i="5" s="1"/>
  <c r="T7" i="5" s="1"/>
  <c r="Y7" i="5" s="1"/>
  <c r="Z7" i="5" s="1"/>
  <c r="H7" i="5"/>
  <c r="F7" i="5"/>
  <c r="U6" i="5"/>
  <c r="S6" i="5"/>
  <c r="R6" i="5"/>
  <c r="X6" i="5" s="1"/>
  <c r="T6" i="5" s="1"/>
  <c r="G6" i="5"/>
  <c r="H6" i="5" s="1"/>
  <c r="F6" i="5"/>
  <c r="P5" i="5"/>
  <c r="X5" i="5" s="1"/>
  <c r="T5" i="5" s="1"/>
  <c r="F5" i="5"/>
  <c r="H5" i="5" s="1"/>
  <c r="P4" i="5"/>
  <c r="X4" i="5" s="1"/>
  <c r="F4" i="5"/>
  <c r="H4" i="5" s="1"/>
  <c r="Y40" i="7" l="1"/>
  <c r="Z40" i="7" s="1"/>
  <c r="R56" i="7"/>
  <c r="S13" i="7"/>
  <c r="X18" i="7"/>
  <c r="T18" i="7" s="1"/>
  <c r="T28" i="7"/>
  <c r="Y28" i="7" s="1"/>
  <c r="Z28" i="7" s="1"/>
  <c r="X35" i="7"/>
  <c r="T35" i="7" s="1"/>
  <c r="Y35" i="7" s="1"/>
  <c r="Z35" i="7" s="1"/>
  <c r="Y36" i="7"/>
  <c r="Z36" i="7" s="1"/>
  <c r="X44" i="7"/>
  <c r="T44" i="7" s="1"/>
  <c r="T45" i="7"/>
  <c r="Y45" i="7" s="1"/>
  <c r="Z45" i="7" s="1"/>
  <c r="Z58" i="7"/>
  <c r="X65" i="7"/>
  <c r="T65" i="7" s="1"/>
  <c r="T72" i="7"/>
  <c r="X86" i="7"/>
  <c r="T86" i="7" s="1"/>
  <c r="Y86" i="7" s="1"/>
  <c r="Z86" i="7" s="1"/>
  <c r="X87" i="7"/>
  <c r="T87" i="7" s="1"/>
  <c r="Y87" i="7" s="1"/>
  <c r="Z87" i="7" s="1"/>
  <c r="R38" i="7"/>
  <c r="X6" i="7"/>
  <c r="T6" i="7" s="1"/>
  <c r="X11" i="7"/>
  <c r="T11" i="7" s="1"/>
  <c r="Y11" i="7" s="1"/>
  <c r="Z11" i="7" s="1"/>
  <c r="R13" i="7"/>
  <c r="X13" i="7" s="1"/>
  <c r="T13" i="7" s="1"/>
  <c r="Y13" i="7" s="1"/>
  <c r="Z13" i="7" s="1"/>
  <c r="H27" i="7"/>
  <c r="T52" i="7"/>
  <c r="T19" i="7"/>
  <c r="Y19" i="7" s="1"/>
  <c r="Z19" i="7" s="1"/>
  <c r="S22" i="7"/>
  <c r="X22" i="7" s="1"/>
  <c r="T22" i="7" s="1"/>
  <c r="Y22" i="7" s="1"/>
  <c r="Z22" i="7" s="1"/>
  <c r="T33" i="7"/>
  <c r="T36" i="7"/>
  <c r="T43" i="7"/>
  <c r="Y43" i="7" s="1"/>
  <c r="Z43" i="7" s="1"/>
  <c r="S47" i="7"/>
  <c r="X53" i="7"/>
  <c r="T53" i="7" s="1"/>
  <c r="Y53" i="7" s="1"/>
  <c r="Z53" i="7" s="1"/>
  <c r="X54" i="7"/>
  <c r="T54" i="7" s="1"/>
  <c r="T64" i="7"/>
  <c r="Y64" i="7" s="1"/>
  <c r="Z64" i="7" s="1"/>
  <c r="T66" i="7"/>
  <c r="Y66" i="7" s="1"/>
  <c r="Z66" i="7" s="1"/>
  <c r="T67" i="7"/>
  <c r="Y67" i="7" s="1"/>
  <c r="Z67" i="7" s="1"/>
  <c r="T69" i="7"/>
  <c r="Y69" i="7" s="1"/>
  <c r="Z69" i="7" s="1"/>
  <c r="X77" i="7"/>
  <c r="T77" i="7" s="1"/>
  <c r="Y77" i="7" s="1"/>
  <c r="Z77" i="7" s="1"/>
  <c r="X78" i="7"/>
  <c r="T78" i="7" s="1"/>
  <c r="Y78" i="7" s="1"/>
  <c r="Z78" i="7" s="1"/>
  <c r="X81" i="7"/>
  <c r="T81" i="7" s="1"/>
  <c r="Y6" i="7"/>
  <c r="Z6" i="7" s="1"/>
  <c r="R9" i="7"/>
  <c r="R4" i="7"/>
  <c r="X5" i="7"/>
  <c r="T5" i="7" s="1"/>
  <c r="Y5" i="7" s="1"/>
  <c r="Z5" i="7" s="1"/>
  <c r="X7" i="7"/>
  <c r="T7" i="7" s="1"/>
  <c r="Y7" i="7" s="1"/>
  <c r="Z7" i="7" s="1"/>
  <c r="R17" i="7"/>
  <c r="S17" i="7"/>
  <c r="Y62" i="7"/>
  <c r="Z62" i="7" s="1"/>
  <c r="Y73" i="7"/>
  <c r="Z73" i="7" s="1"/>
  <c r="Y74" i="7"/>
  <c r="Z74" i="7" s="1"/>
  <c r="Y89" i="7"/>
  <c r="Z89" i="7" s="1"/>
  <c r="Y90" i="7"/>
  <c r="Z90" i="7" s="1"/>
  <c r="S4" i="7"/>
  <c r="X4" i="7" s="1"/>
  <c r="T4" i="7" s="1"/>
  <c r="X14" i="7"/>
  <c r="T14" i="7" s="1"/>
  <c r="Y14" i="7" s="1"/>
  <c r="Z14" i="7" s="1"/>
  <c r="U17" i="7"/>
  <c r="Y44" i="7"/>
  <c r="Z44" i="7" s="1"/>
  <c r="Y48" i="7"/>
  <c r="Z48" i="7" s="1"/>
  <c r="Y70" i="7"/>
  <c r="Z70" i="7" s="1"/>
  <c r="Y71" i="7"/>
  <c r="Z71" i="7" s="1"/>
  <c r="U9" i="7"/>
  <c r="H13" i="7"/>
  <c r="Y15" i="7"/>
  <c r="Z15" i="7" s="1"/>
  <c r="X15" i="7"/>
  <c r="T15" i="7" s="1"/>
  <c r="Y29" i="7"/>
  <c r="Z29" i="7" s="1"/>
  <c r="Y30" i="7"/>
  <c r="Z30" i="7" s="1"/>
  <c r="Y81" i="7"/>
  <c r="Z81" i="7" s="1"/>
  <c r="Y16" i="7"/>
  <c r="Z16" i="7" s="1"/>
  <c r="Y18" i="7"/>
  <c r="Z18" i="7" s="1"/>
  <c r="H22" i="7"/>
  <c r="U22" i="7"/>
  <c r="X23" i="7"/>
  <c r="T23" i="7" s="1"/>
  <c r="Y23" i="7" s="1"/>
  <c r="Z23" i="7" s="1"/>
  <c r="Y24" i="7"/>
  <c r="Z24" i="7" s="1"/>
  <c r="U25" i="7"/>
  <c r="X30" i="7"/>
  <c r="T30" i="7" s="1"/>
  <c r="R31" i="7"/>
  <c r="X32" i="7"/>
  <c r="T32" i="7" s="1"/>
  <c r="Y32" i="7" s="1"/>
  <c r="Z32" i="7" s="1"/>
  <c r="Y33" i="7"/>
  <c r="Z33" i="7" s="1"/>
  <c r="S34" i="7"/>
  <c r="X34" i="7" s="1"/>
  <c r="T34" i="7" s="1"/>
  <c r="Y34" i="7" s="1"/>
  <c r="Z34" i="7" s="1"/>
  <c r="H38" i="7"/>
  <c r="Y42" i="7"/>
  <c r="Z42" i="7" s="1"/>
  <c r="R47" i="7"/>
  <c r="Y52" i="7"/>
  <c r="Z52" i="7" s="1"/>
  <c r="Y54" i="7"/>
  <c r="Z54" i="7" s="1"/>
  <c r="S60" i="7"/>
  <c r="Y61" i="7"/>
  <c r="Z61" i="7" s="1"/>
  <c r="Y63" i="7"/>
  <c r="Z63" i="7" s="1"/>
  <c r="Y65" i="7"/>
  <c r="Z65" i="7" s="1"/>
  <c r="Y72" i="7"/>
  <c r="Z72" i="7" s="1"/>
  <c r="X80" i="7"/>
  <c r="T80" i="7" s="1"/>
  <c r="Y80" i="7" s="1"/>
  <c r="Z80" i="7" s="1"/>
  <c r="R25" i="7"/>
  <c r="U38" i="7"/>
  <c r="U56" i="7"/>
  <c r="X56" i="7" s="1"/>
  <c r="T56" i="7" s="1"/>
  <c r="Y56" i="7" s="1"/>
  <c r="Z56" i="7" s="1"/>
  <c r="X21" i="7"/>
  <c r="T21" i="7" s="1"/>
  <c r="Y21" i="7" s="1"/>
  <c r="Z21" i="7" s="1"/>
  <c r="U34" i="7"/>
  <c r="X38" i="7"/>
  <c r="T38" i="7" s="1"/>
  <c r="Y38" i="7" s="1"/>
  <c r="Z38" i="7" s="1"/>
  <c r="X39" i="7"/>
  <c r="T39" i="7" s="1"/>
  <c r="Y39" i="7" s="1"/>
  <c r="Z39" i="7" s="1"/>
  <c r="X57" i="7"/>
  <c r="T57" i="7" s="1"/>
  <c r="Y57" i="7" s="1"/>
  <c r="Z57" i="7" s="1"/>
  <c r="U60" i="7"/>
  <c r="X68" i="7"/>
  <c r="T68" i="7" s="1"/>
  <c r="Y68" i="7" s="1"/>
  <c r="Z68" i="7" s="1"/>
  <c r="X84" i="7"/>
  <c r="T84" i="7" s="1"/>
  <c r="Y84" i="7" s="1"/>
  <c r="Z84" i="7" s="1"/>
  <c r="H3" i="6"/>
  <c r="X11" i="6"/>
  <c r="T11" i="6" s="1"/>
  <c r="Y11" i="6" s="1"/>
  <c r="Z11" i="6" s="1"/>
  <c r="T12" i="6"/>
  <c r="Y12" i="6" s="1"/>
  <c r="Z12" i="6" s="1"/>
  <c r="T14" i="6"/>
  <c r="Y14" i="6" s="1"/>
  <c r="Z14" i="6" s="1"/>
  <c r="H15" i="6"/>
  <c r="Z39" i="6"/>
  <c r="R63" i="6"/>
  <c r="X71" i="6"/>
  <c r="T71" i="6" s="1"/>
  <c r="Y71" i="6" s="1"/>
  <c r="Z71" i="6" s="1"/>
  <c r="X84" i="6"/>
  <c r="T84" i="6" s="1"/>
  <c r="Y84" i="6" s="1"/>
  <c r="Z84" i="6" s="1"/>
  <c r="T24" i="6"/>
  <c r="Y24" i="6" s="1"/>
  <c r="Z24" i="6" s="1"/>
  <c r="H39" i="6"/>
  <c r="R47" i="6"/>
  <c r="X50" i="6"/>
  <c r="T50" i="6" s="1"/>
  <c r="S63" i="6"/>
  <c r="R75" i="6"/>
  <c r="X75" i="6" s="1"/>
  <c r="T75" i="6" s="1"/>
  <c r="Y75" i="6" s="1"/>
  <c r="Z75" i="6" s="1"/>
  <c r="R81" i="6"/>
  <c r="T83" i="6"/>
  <c r="Y83" i="6" s="1"/>
  <c r="Z83" i="6" s="1"/>
  <c r="R85" i="6"/>
  <c r="Z20" i="6"/>
  <c r="X23" i="6"/>
  <c r="T23" i="6" s="1"/>
  <c r="Y23" i="6" s="1"/>
  <c r="Z23" i="6" s="1"/>
  <c r="Y50" i="6"/>
  <c r="Z50" i="6" s="1"/>
  <c r="T62" i="6"/>
  <c r="Y62" i="6" s="1"/>
  <c r="Z62" i="6" s="1"/>
  <c r="H63" i="6"/>
  <c r="X67" i="6"/>
  <c r="T67" i="6" s="1"/>
  <c r="Y67" i="6" s="1"/>
  <c r="Z67" i="6" s="1"/>
  <c r="X72" i="6"/>
  <c r="T72" i="6" s="1"/>
  <c r="Y72" i="6" s="1"/>
  <c r="Z72" i="6" s="1"/>
  <c r="S75" i="6"/>
  <c r="S81" i="6"/>
  <c r="H85" i="6"/>
  <c r="X86" i="6"/>
  <c r="T86" i="6" s="1"/>
  <c r="Y86" i="6" s="1"/>
  <c r="Z86" i="6" s="1"/>
  <c r="Z87" i="6"/>
  <c r="X34" i="6"/>
  <c r="T34" i="6" s="1"/>
  <c r="Y34" i="6" s="1"/>
  <c r="Z34" i="6" s="1"/>
  <c r="Y80" i="6"/>
  <c r="Z80" i="6" s="1"/>
  <c r="S3" i="6"/>
  <c r="R3" i="6"/>
  <c r="U3" i="6"/>
  <c r="X3" i="6" s="1"/>
  <c r="T3" i="6" s="1"/>
  <c r="Y3" i="6" s="1"/>
  <c r="Z3" i="6" s="1"/>
  <c r="Z5" i="6"/>
  <c r="X21" i="6"/>
  <c r="T21" i="6" s="1"/>
  <c r="Y21" i="6" s="1"/>
  <c r="Z21" i="6" s="1"/>
  <c r="X40" i="6"/>
  <c r="T40" i="6" s="1"/>
  <c r="Y40" i="6" s="1"/>
  <c r="Z40" i="6" s="1"/>
  <c r="T46" i="6"/>
  <c r="Y46" i="6" s="1"/>
  <c r="Z46" i="6" s="1"/>
  <c r="Y48" i="6"/>
  <c r="Z48" i="6" s="1"/>
  <c r="X54" i="6"/>
  <c r="T54" i="6" s="1"/>
  <c r="Y59" i="6"/>
  <c r="Z59" i="6" s="1"/>
  <c r="Y30" i="6"/>
  <c r="Z30" i="6" s="1"/>
  <c r="Y37" i="6"/>
  <c r="Z37" i="6" s="1"/>
  <c r="T53" i="6"/>
  <c r="Y53" i="6" s="1"/>
  <c r="Z53" i="6" s="1"/>
  <c r="Y54" i="6"/>
  <c r="Z54" i="6" s="1"/>
  <c r="T59" i="6"/>
  <c r="Y61" i="6"/>
  <c r="Z61" i="6" s="1"/>
  <c r="X68" i="6"/>
  <c r="T68" i="6" s="1"/>
  <c r="Y68" i="6" s="1"/>
  <c r="Z68" i="6" s="1"/>
  <c r="Y81" i="6"/>
  <c r="Z81" i="6" s="1"/>
  <c r="Y4" i="6"/>
  <c r="Z4" i="6" s="1"/>
  <c r="Y8" i="6"/>
  <c r="Z8" i="6" s="1"/>
  <c r="T9" i="6"/>
  <c r="Y9" i="6" s="1"/>
  <c r="Z9" i="6" s="1"/>
  <c r="Y13" i="6"/>
  <c r="Z13" i="6" s="1"/>
  <c r="Y17" i="6"/>
  <c r="Z17" i="6" s="1"/>
  <c r="Y18" i="6"/>
  <c r="Z18" i="6" s="1"/>
  <c r="X33" i="6"/>
  <c r="T33" i="6" s="1"/>
  <c r="Y33" i="6" s="1"/>
  <c r="Z33" i="6" s="1"/>
  <c r="X43" i="6"/>
  <c r="T43" i="6" s="1"/>
  <c r="Y43" i="6" s="1"/>
  <c r="Z43" i="6" s="1"/>
  <c r="X51" i="6"/>
  <c r="T51" i="6" s="1"/>
  <c r="Y51" i="6" s="1"/>
  <c r="Z51" i="6" s="1"/>
  <c r="X64" i="6"/>
  <c r="T64" i="6" s="1"/>
  <c r="Y64" i="6" s="1"/>
  <c r="Z64" i="6" s="1"/>
  <c r="X66" i="6"/>
  <c r="T66" i="6" s="1"/>
  <c r="Y66" i="6" s="1"/>
  <c r="Z66" i="6" s="1"/>
  <c r="X4" i="6"/>
  <c r="T4" i="6" s="1"/>
  <c r="U15" i="6"/>
  <c r="X22" i="6"/>
  <c r="T22" i="6" s="1"/>
  <c r="Y22" i="6" s="1"/>
  <c r="Z22" i="6" s="1"/>
  <c r="X30" i="6"/>
  <c r="T30" i="6" s="1"/>
  <c r="X35" i="6"/>
  <c r="T35" i="6" s="1"/>
  <c r="Y35" i="6" s="1"/>
  <c r="Z35" i="6" s="1"/>
  <c r="X37" i="6"/>
  <c r="T37" i="6" s="1"/>
  <c r="X42" i="6"/>
  <c r="T42" i="6" s="1"/>
  <c r="Y42" i="6" s="1"/>
  <c r="Z42" i="6" s="1"/>
  <c r="X45" i="6"/>
  <c r="T45" i="6" s="1"/>
  <c r="Y45" i="6" s="1"/>
  <c r="Z45" i="6" s="1"/>
  <c r="S47" i="6"/>
  <c r="X47" i="6" s="1"/>
  <c r="T47" i="6" s="1"/>
  <c r="Y47" i="6" s="1"/>
  <c r="Z47" i="6" s="1"/>
  <c r="X52" i="6"/>
  <c r="T52" i="6" s="1"/>
  <c r="Y52" i="6" s="1"/>
  <c r="Z52" i="6" s="1"/>
  <c r="X69" i="6"/>
  <c r="T69" i="6" s="1"/>
  <c r="Y69" i="6" s="1"/>
  <c r="Z69" i="6" s="1"/>
  <c r="S85" i="6"/>
  <c r="R15" i="6"/>
  <c r="X16" i="6"/>
  <c r="T16" i="6" s="1"/>
  <c r="Y16" i="6" s="1"/>
  <c r="Z16" i="6" s="1"/>
  <c r="X25" i="6"/>
  <c r="T25" i="6" s="1"/>
  <c r="Y25" i="6" s="1"/>
  <c r="Z25" i="6" s="1"/>
  <c r="X26" i="6"/>
  <c r="T26" i="6" s="1"/>
  <c r="Y26" i="6" s="1"/>
  <c r="Z26" i="6" s="1"/>
  <c r="X32" i="6"/>
  <c r="T32" i="6" s="1"/>
  <c r="Y32" i="6" s="1"/>
  <c r="Z32" i="6" s="1"/>
  <c r="H41" i="6"/>
  <c r="X77" i="6"/>
  <c r="T77" i="6" s="1"/>
  <c r="Y77" i="6" s="1"/>
  <c r="Z77" i="6" s="1"/>
  <c r="X78" i="6"/>
  <c r="T78" i="6" s="1"/>
  <c r="Y78" i="6" s="1"/>
  <c r="Z78" i="6" s="1"/>
  <c r="X80" i="6"/>
  <c r="T80" i="6" s="1"/>
  <c r="X81" i="6"/>
  <c r="T81" i="6" s="1"/>
  <c r="X82" i="6"/>
  <c r="T82" i="6" s="1"/>
  <c r="Y82" i="6" s="1"/>
  <c r="Z82" i="6" s="1"/>
  <c r="X30" i="5"/>
  <c r="T30" i="5" s="1"/>
  <c r="Y30" i="5" s="1"/>
  <c r="Z30" i="5" s="1"/>
  <c r="X31" i="5"/>
  <c r="T31" i="5" s="1"/>
  <c r="R51" i="5"/>
  <c r="U84" i="5"/>
  <c r="S90" i="5"/>
  <c r="T4" i="5"/>
  <c r="Y4" i="5" s="1"/>
  <c r="Z4" i="5" s="1"/>
  <c r="Y31" i="5"/>
  <c r="Z31" i="5" s="1"/>
  <c r="X72" i="5"/>
  <c r="T72" i="5" s="1"/>
  <c r="X74" i="5"/>
  <c r="T74" i="5" s="1"/>
  <c r="Y18" i="5"/>
  <c r="Z18" i="5" s="1"/>
  <c r="Y56" i="5"/>
  <c r="Z56" i="5" s="1"/>
  <c r="U68" i="5"/>
  <c r="Y74" i="5"/>
  <c r="Z74" i="5" s="1"/>
  <c r="Y75" i="5"/>
  <c r="Z75" i="5" s="1"/>
  <c r="X15" i="5"/>
  <c r="T15" i="5" s="1"/>
  <c r="Y15" i="5" s="1"/>
  <c r="Z15" i="5" s="1"/>
  <c r="Y24" i="5"/>
  <c r="Z24" i="5" s="1"/>
  <c r="X34" i="5"/>
  <c r="T34" i="5" s="1"/>
  <c r="X38" i="5"/>
  <c r="T38" i="5" s="1"/>
  <c r="X52" i="5"/>
  <c r="T52" i="5" s="1"/>
  <c r="Y52" i="5" s="1"/>
  <c r="Z52" i="5" s="1"/>
  <c r="X53" i="5"/>
  <c r="T53" i="5" s="1"/>
  <c r="X54" i="5"/>
  <c r="T54" i="5" s="1"/>
  <c r="X56" i="5"/>
  <c r="T56" i="5" s="1"/>
  <c r="H84" i="5"/>
  <c r="Y6" i="5"/>
  <c r="Z6" i="5" s="1"/>
  <c r="Y34" i="5"/>
  <c r="Z34" i="5" s="1"/>
  <c r="Y38" i="5"/>
  <c r="Z38" i="5" s="1"/>
  <c r="X51" i="5"/>
  <c r="T51" i="5" s="1"/>
  <c r="Y53" i="5"/>
  <c r="Z53" i="5" s="1"/>
  <c r="Y54" i="5"/>
  <c r="Z54" i="5" s="1"/>
  <c r="Y5" i="5"/>
  <c r="Z5" i="5" s="1"/>
  <c r="Y14" i="5"/>
  <c r="Z14" i="5" s="1"/>
  <c r="Y17" i="5"/>
  <c r="Z17" i="5" s="1"/>
  <c r="Y19" i="5"/>
  <c r="Z19" i="5" s="1"/>
  <c r="Y33" i="5"/>
  <c r="Z33" i="5" s="1"/>
  <c r="Y35" i="5"/>
  <c r="Z35" i="5" s="1"/>
  <c r="Y43" i="5"/>
  <c r="Z43" i="5" s="1"/>
  <c r="X44" i="5"/>
  <c r="T44" i="5" s="1"/>
  <c r="Y44" i="5" s="1"/>
  <c r="Z44" i="5" s="1"/>
  <c r="Y45" i="5"/>
  <c r="Z45" i="5" s="1"/>
  <c r="X46" i="5"/>
  <c r="T46" i="5" s="1"/>
  <c r="Y46" i="5" s="1"/>
  <c r="Z46" i="5" s="1"/>
  <c r="Y50" i="5"/>
  <c r="Z50" i="5" s="1"/>
  <c r="Y51" i="5"/>
  <c r="Z51" i="5" s="1"/>
  <c r="Z57" i="5"/>
  <c r="X61" i="5"/>
  <c r="T61" i="5" s="1"/>
  <c r="Y61" i="5" s="1"/>
  <c r="Z61" i="5" s="1"/>
  <c r="X66" i="5"/>
  <c r="T66" i="5" s="1"/>
  <c r="Y66" i="5" s="1"/>
  <c r="Z66" i="5" s="1"/>
  <c r="Y72" i="5"/>
  <c r="Z72" i="5" s="1"/>
  <c r="T77" i="5"/>
  <c r="Y77" i="5" s="1"/>
  <c r="Z77" i="5" s="1"/>
  <c r="Y79" i="5"/>
  <c r="Z79" i="5" s="1"/>
  <c r="X80" i="5"/>
  <c r="T80" i="5" s="1"/>
  <c r="Y80" i="5" s="1"/>
  <c r="Z80" i="5" s="1"/>
  <c r="X88" i="5"/>
  <c r="T88" i="5" s="1"/>
  <c r="Y88" i="5" s="1"/>
  <c r="Z88" i="5" s="1"/>
  <c r="U90" i="5"/>
  <c r="X90" i="5" s="1"/>
  <c r="T90" i="5" s="1"/>
  <c r="Y90" i="5" s="1"/>
  <c r="Z90" i="5" s="1"/>
  <c r="X8" i="5"/>
  <c r="T8" i="5" s="1"/>
  <c r="Y8" i="5" s="1"/>
  <c r="Z8" i="5" s="1"/>
  <c r="X10" i="5"/>
  <c r="T10" i="5" s="1"/>
  <c r="Y10" i="5" s="1"/>
  <c r="Z10" i="5" s="1"/>
  <c r="Z21" i="5"/>
  <c r="X39" i="5"/>
  <c r="T39" i="5" s="1"/>
  <c r="Y39" i="5" s="1"/>
  <c r="Z39" i="5" s="1"/>
  <c r="X62" i="5"/>
  <c r="T62" i="5" s="1"/>
  <c r="Y62" i="5" s="1"/>
  <c r="Z62" i="5" s="1"/>
  <c r="X86" i="5"/>
  <c r="T86" i="5" s="1"/>
  <c r="Y86" i="5" s="1"/>
  <c r="Z86" i="5" s="1"/>
  <c r="X91" i="5"/>
  <c r="T91" i="5" s="1"/>
  <c r="Y91" i="5" s="1"/>
  <c r="Z91" i="5" s="1"/>
  <c r="X11" i="5"/>
  <c r="T11" i="5" s="1"/>
  <c r="Y11" i="5" s="1"/>
  <c r="Z11" i="5" s="1"/>
  <c r="X13" i="5"/>
  <c r="T13" i="5" s="1"/>
  <c r="Y13" i="5" s="1"/>
  <c r="Z13" i="5" s="1"/>
  <c r="X20" i="5"/>
  <c r="T20" i="5" s="1"/>
  <c r="Y20" i="5" s="1"/>
  <c r="Z20" i="5" s="1"/>
  <c r="X23" i="5"/>
  <c r="T23" i="5" s="1"/>
  <c r="Y23" i="5" s="1"/>
  <c r="Z23" i="5" s="1"/>
  <c r="H33" i="5"/>
  <c r="X55" i="5"/>
  <c r="T55" i="5" s="1"/>
  <c r="Y55" i="5" s="1"/>
  <c r="Z55" i="5" s="1"/>
  <c r="X68" i="5"/>
  <c r="T68" i="5" s="1"/>
  <c r="Y68" i="5" s="1"/>
  <c r="Z68" i="5" s="1"/>
  <c r="X70" i="5"/>
  <c r="T70" i="5" s="1"/>
  <c r="Y70" i="5" s="1"/>
  <c r="Z70" i="5" s="1"/>
  <c r="X71" i="5"/>
  <c r="T71" i="5" s="1"/>
  <c r="Y71" i="5" s="1"/>
  <c r="Z71" i="5" s="1"/>
  <c r="H72" i="5"/>
  <c r="X76" i="5"/>
  <c r="T76" i="5" s="1"/>
  <c r="Y76" i="5" s="1"/>
  <c r="Z76" i="5" s="1"/>
  <c r="R84" i="5"/>
  <c r="X84" i="5" s="1"/>
  <c r="T84" i="5" s="1"/>
  <c r="Y79" i="4"/>
  <c r="Z79" i="4" s="1"/>
  <c r="X79" i="4"/>
  <c r="H79" i="4"/>
  <c r="U78" i="4"/>
  <c r="S78" i="4"/>
  <c r="R78" i="4"/>
  <c r="G78" i="4"/>
  <c r="H78" i="4" s="1"/>
  <c r="U77" i="4"/>
  <c r="S77" i="4"/>
  <c r="R77" i="4"/>
  <c r="G77" i="4"/>
  <c r="F77" i="4"/>
  <c r="P75" i="4"/>
  <c r="X75" i="4" s="1"/>
  <c r="T75" i="4" s="1"/>
  <c r="Y75" i="4" s="1"/>
  <c r="Z75" i="4" s="1"/>
  <c r="F75" i="4"/>
  <c r="H75" i="4" s="1"/>
  <c r="Y74" i="4"/>
  <c r="U74" i="4"/>
  <c r="G74" i="4"/>
  <c r="F74" i="4"/>
  <c r="U73" i="4"/>
  <c r="S73" i="4"/>
  <c r="R73" i="4"/>
  <c r="G73" i="4"/>
  <c r="H73" i="4" s="1"/>
  <c r="U72" i="4"/>
  <c r="S72" i="4"/>
  <c r="R72" i="4"/>
  <c r="G72" i="4"/>
  <c r="H72" i="4" s="1"/>
  <c r="P71" i="4"/>
  <c r="F71" i="4"/>
  <c r="H71" i="4" s="1"/>
  <c r="S70" i="4"/>
  <c r="G70" i="4"/>
  <c r="H70" i="4" s="1"/>
  <c r="F70" i="4"/>
  <c r="E70" i="4"/>
  <c r="R70" i="4" s="1"/>
  <c r="U69" i="4"/>
  <c r="S69" i="4"/>
  <c r="R69" i="4"/>
  <c r="G69" i="4"/>
  <c r="H69" i="4" s="1"/>
  <c r="P68" i="4"/>
  <c r="X68" i="4" s="1"/>
  <c r="F68" i="4"/>
  <c r="H68" i="4" s="1"/>
  <c r="U67" i="4"/>
  <c r="S67" i="4"/>
  <c r="R67" i="4"/>
  <c r="G67" i="4"/>
  <c r="H67" i="4" s="1"/>
  <c r="U66" i="4"/>
  <c r="S66" i="4"/>
  <c r="R66" i="4"/>
  <c r="G66" i="4"/>
  <c r="H66" i="4" s="1"/>
  <c r="F66" i="4"/>
  <c r="X65" i="4"/>
  <c r="T65" i="4"/>
  <c r="Y65" i="4" s="1"/>
  <c r="Z65" i="4" s="1"/>
  <c r="H65" i="4"/>
  <c r="F65" i="4"/>
  <c r="P64" i="4"/>
  <c r="X64" i="4" s="1"/>
  <c r="F64" i="4"/>
  <c r="H64" i="4" s="1"/>
  <c r="P63" i="4"/>
  <c r="X63" i="4" s="1"/>
  <c r="T63" i="4" s="1"/>
  <c r="Y63" i="4" s="1"/>
  <c r="Z63" i="4" s="1"/>
  <c r="F63" i="4"/>
  <c r="H63" i="4" s="1"/>
  <c r="U62" i="4"/>
  <c r="S62" i="4"/>
  <c r="R62" i="4"/>
  <c r="G62" i="4"/>
  <c r="H62" i="4" s="1"/>
  <c r="U61" i="4"/>
  <c r="S61" i="4"/>
  <c r="R61" i="4"/>
  <c r="H61" i="4"/>
  <c r="G61" i="4"/>
  <c r="P59" i="4"/>
  <c r="X59" i="4" s="1"/>
  <c r="F59" i="4"/>
  <c r="H59" i="4" s="1"/>
  <c r="Y58" i="4"/>
  <c r="Z58" i="4" s="1"/>
  <c r="G58" i="4"/>
  <c r="U57" i="4"/>
  <c r="S57" i="4"/>
  <c r="R57" i="4"/>
  <c r="H57" i="4"/>
  <c r="X56" i="4"/>
  <c r="T56" i="4"/>
  <c r="P56" i="4"/>
  <c r="F56" i="4"/>
  <c r="H56" i="4" s="1"/>
  <c r="U55" i="4"/>
  <c r="S55" i="4"/>
  <c r="R55" i="4"/>
  <c r="G55" i="4"/>
  <c r="H55" i="4" s="1"/>
  <c r="U54" i="4"/>
  <c r="S54" i="4"/>
  <c r="R54" i="4"/>
  <c r="G54" i="4"/>
  <c r="H54" i="4" s="1"/>
  <c r="X53" i="4"/>
  <c r="T53" i="4" s="1"/>
  <c r="Y53" i="4" s="1"/>
  <c r="Z53" i="4" s="1"/>
  <c r="P53" i="4"/>
  <c r="F53" i="4"/>
  <c r="H53" i="4" s="1"/>
  <c r="U52" i="4"/>
  <c r="S52" i="4"/>
  <c r="R52" i="4"/>
  <c r="G52" i="4"/>
  <c r="H52" i="4" s="1"/>
  <c r="U51" i="4"/>
  <c r="S51" i="4"/>
  <c r="R51" i="4"/>
  <c r="G51" i="4"/>
  <c r="H51" i="4" s="1"/>
  <c r="P50" i="4"/>
  <c r="X50" i="4" s="1"/>
  <c r="F50" i="4"/>
  <c r="H50" i="4" s="1"/>
  <c r="X49" i="4"/>
  <c r="T49" i="4" s="1"/>
  <c r="Y49" i="4" s="1"/>
  <c r="Z49" i="4" s="1"/>
  <c r="P49" i="4"/>
  <c r="F49" i="4"/>
  <c r="H49" i="4" s="1"/>
  <c r="X48" i="4"/>
  <c r="T48" i="4"/>
  <c r="Y48" i="4" s="1"/>
  <c r="Z48" i="4" s="1"/>
  <c r="P48" i="4"/>
  <c r="F48" i="4"/>
  <c r="H48" i="4" s="1"/>
  <c r="Y47" i="4"/>
  <c r="X47" i="4"/>
  <c r="F47" i="4"/>
  <c r="H47" i="4" s="1"/>
  <c r="Y46" i="4"/>
  <c r="Z46" i="4" s="1"/>
  <c r="X46" i="4"/>
  <c r="H46" i="4"/>
  <c r="U45" i="4"/>
  <c r="S45" i="4"/>
  <c r="R45" i="4"/>
  <c r="X45" i="4" s="1"/>
  <c r="T45" i="4" s="1"/>
  <c r="H45" i="4"/>
  <c r="G45" i="4"/>
  <c r="U44" i="4"/>
  <c r="S44" i="4"/>
  <c r="R44" i="4"/>
  <c r="X44" i="4" s="1"/>
  <c r="T44" i="4" s="1"/>
  <c r="G44" i="4"/>
  <c r="F44" i="4"/>
  <c r="P42" i="4"/>
  <c r="F42" i="4"/>
  <c r="H42" i="4" s="1"/>
  <c r="Y41" i="4"/>
  <c r="X41" i="4"/>
  <c r="F41" i="4"/>
  <c r="H41" i="4" s="1"/>
  <c r="Z40" i="4"/>
  <c r="Y40" i="4"/>
  <c r="X40" i="4"/>
  <c r="H40" i="4"/>
  <c r="U39" i="4"/>
  <c r="S39" i="4"/>
  <c r="R39" i="4"/>
  <c r="H39" i="4"/>
  <c r="Q38" i="4"/>
  <c r="G38" i="4"/>
  <c r="H38" i="4" s="1"/>
  <c r="F38" i="4"/>
  <c r="E38" i="4"/>
  <c r="U38" i="4" s="1"/>
  <c r="Y37" i="4"/>
  <c r="Z37" i="4" s="1"/>
  <c r="X37" i="4"/>
  <c r="H37" i="4"/>
  <c r="U36" i="4"/>
  <c r="S36" i="4"/>
  <c r="R36" i="4"/>
  <c r="H36" i="4"/>
  <c r="U35" i="4"/>
  <c r="S35" i="4"/>
  <c r="R35" i="4"/>
  <c r="H35" i="4"/>
  <c r="P34" i="4"/>
  <c r="F34" i="4"/>
  <c r="H34" i="4" s="1"/>
  <c r="U33" i="4"/>
  <c r="S33" i="4"/>
  <c r="R33" i="4"/>
  <c r="G33" i="4"/>
  <c r="H33" i="4" s="1"/>
  <c r="P32" i="4"/>
  <c r="F32" i="4"/>
  <c r="H32" i="4" s="1"/>
  <c r="U31" i="4"/>
  <c r="S31" i="4"/>
  <c r="R31" i="4"/>
  <c r="G31" i="4"/>
  <c r="H31" i="4" s="1"/>
  <c r="P30" i="4"/>
  <c r="H30" i="4"/>
  <c r="F30" i="4"/>
  <c r="X29" i="4"/>
  <c r="F29" i="4"/>
  <c r="H29" i="4" s="1"/>
  <c r="P28" i="4"/>
  <c r="X28" i="4" s="1"/>
  <c r="T28" i="4" s="1"/>
  <c r="F28" i="4"/>
  <c r="H28" i="4" s="1"/>
  <c r="Y27" i="4"/>
  <c r="X27" i="4"/>
  <c r="F27" i="4"/>
  <c r="H27" i="4" s="1"/>
  <c r="U26" i="4"/>
  <c r="S26" i="4"/>
  <c r="R26" i="4"/>
  <c r="X26" i="4" s="1"/>
  <c r="T26" i="4" s="1"/>
  <c r="H26" i="4"/>
  <c r="G26" i="4"/>
  <c r="R25" i="4"/>
  <c r="H25" i="4"/>
  <c r="G25" i="4"/>
  <c r="E25" i="4"/>
  <c r="S25" i="4" s="1"/>
  <c r="Y23" i="4"/>
  <c r="Z23" i="4" s="1"/>
  <c r="X23" i="4"/>
  <c r="H23" i="4"/>
  <c r="P22" i="4"/>
  <c r="H22" i="4"/>
  <c r="F22" i="4"/>
  <c r="Y21" i="4"/>
  <c r="X21" i="4"/>
  <c r="F21" i="4"/>
  <c r="H21" i="4" s="1"/>
  <c r="U20" i="4"/>
  <c r="S20" i="4"/>
  <c r="R20" i="4"/>
  <c r="X20" i="4" s="1"/>
  <c r="T20" i="4" s="1"/>
  <c r="H20" i="4"/>
  <c r="Q19" i="4"/>
  <c r="G19" i="4"/>
  <c r="H19" i="4" s="1"/>
  <c r="F19" i="4"/>
  <c r="E19" i="4"/>
  <c r="U19" i="4" s="1"/>
  <c r="P18" i="4"/>
  <c r="H18" i="4"/>
  <c r="F18" i="4"/>
  <c r="U17" i="4"/>
  <c r="S17" i="4"/>
  <c r="R17" i="4"/>
  <c r="X17" i="4" s="1"/>
  <c r="T17" i="4" s="1"/>
  <c r="H17" i="4"/>
  <c r="U16" i="4"/>
  <c r="S16" i="4"/>
  <c r="R16" i="4"/>
  <c r="X16" i="4" s="1"/>
  <c r="T16" i="4" s="1"/>
  <c r="H16" i="4"/>
  <c r="P15" i="4"/>
  <c r="X15" i="4" s="1"/>
  <c r="T15" i="4" s="1"/>
  <c r="Y15" i="4" s="1"/>
  <c r="Z15" i="4" s="1"/>
  <c r="H15" i="4"/>
  <c r="F15" i="4"/>
  <c r="U14" i="4"/>
  <c r="S14" i="4"/>
  <c r="R14" i="4"/>
  <c r="G14" i="4"/>
  <c r="H14" i="4" s="1"/>
  <c r="U13" i="4"/>
  <c r="S13" i="4"/>
  <c r="R13" i="4"/>
  <c r="G13" i="4"/>
  <c r="H13" i="4" s="1"/>
  <c r="P12" i="4"/>
  <c r="H12" i="4"/>
  <c r="F12" i="4"/>
  <c r="P11" i="4"/>
  <c r="X11" i="4" s="1"/>
  <c r="T11" i="4" s="1"/>
  <c r="Y11" i="4" s="1"/>
  <c r="Z11" i="4" s="1"/>
  <c r="H11" i="4"/>
  <c r="F11" i="4"/>
  <c r="P10" i="4"/>
  <c r="X10" i="4" s="1"/>
  <c r="T10" i="4" s="1"/>
  <c r="Y10" i="4" s="1"/>
  <c r="Z10" i="4" s="1"/>
  <c r="F10" i="4"/>
  <c r="H10" i="4" s="1"/>
  <c r="U9" i="4"/>
  <c r="S9" i="4"/>
  <c r="R9" i="4"/>
  <c r="X9" i="4" s="1"/>
  <c r="T9" i="4" s="1"/>
  <c r="H9" i="4"/>
  <c r="G9" i="4"/>
  <c r="G8" i="4"/>
  <c r="H8" i="4" s="1"/>
  <c r="F8" i="4"/>
  <c r="E8" i="4"/>
  <c r="S8" i="4" s="1"/>
  <c r="Y6" i="4"/>
  <c r="Z6" i="4" s="1"/>
  <c r="X6" i="4"/>
  <c r="H6" i="4"/>
  <c r="P5" i="4"/>
  <c r="X5" i="4" s="1"/>
  <c r="F5" i="4"/>
  <c r="H5" i="4" s="1"/>
  <c r="P4" i="4"/>
  <c r="F4" i="4"/>
  <c r="H4" i="4" s="1"/>
  <c r="U86" i="3"/>
  <c r="S86" i="3"/>
  <c r="R86" i="3"/>
  <c r="H86" i="3"/>
  <c r="Q85" i="3"/>
  <c r="G85" i="3"/>
  <c r="F85" i="3"/>
  <c r="E85" i="3"/>
  <c r="X84" i="3"/>
  <c r="T84" i="3" s="1"/>
  <c r="Y84" i="3" s="1"/>
  <c r="Z84" i="3" s="1"/>
  <c r="F84" i="3"/>
  <c r="H84" i="3" s="1"/>
  <c r="Y83" i="3"/>
  <c r="Z83" i="3" s="1"/>
  <c r="X83" i="3"/>
  <c r="H83" i="3"/>
  <c r="U82" i="3"/>
  <c r="S82" i="3"/>
  <c r="R82" i="3"/>
  <c r="H82" i="3"/>
  <c r="X81" i="3"/>
  <c r="T81" i="3" s="1"/>
  <c r="Y81" i="3" s="1"/>
  <c r="Z81" i="3" s="1"/>
  <c r="P81" i="3"/>
  <c r="H81" i="3"/>
  <c r="F81" i="3"/>
  <c r="U80" i="3"/>
  <c r="S80" i="3"/>
  <c r="R80" i="3"/>
  <c r="X80" i="3" s="1"/>
  <c r="T80" i="3" s="1"/>
  <c r="G80" i="3"/>
  <c r="H80" i="3" s="1"/>
  <c r="X79" i="3"/>
  <c r="T79" i="3" s="1"/>
  <c r="P79" i="3"/>
  <c r="Y79" i="3" s="1"/>
  <c r="Z79" i="3" s="1"/>
  <c r="H79" i="3"/>
  <c r="F79" i="3"/>
  <c r="Y78" i="3"/>
  <c r="Z78" i="3" s="1"/>
  <c r="X78" i="3"/>
  <c r="H78" i="3"/>
  <c r="Y77" i="3"/>
  <c r="X77" i="3"/>
  <c r="F77" i="3"/>
  <c r="H77" i="3" s="1"/>
  <c r="U76" i="3"/>
  <c r="S76" i="3"/>
  <c r="R76" i="3"/>
  <c r="G76" i="3"/>
  <c r="H76" i="3" s="1"/>
  <c r="P75" i="3"/>
  <c r="F75" i="3"/>
  <c r="H75" i="3" s="1"/>
  <c r="X74" i="3"/>
  <c r="T74" i="3" s="1"/>
  <c r="Y74" i="3" s="1"/>
  <c r="Z74" i="3" s="1"/>
  <c r="P74" i="3"/>
  <c r="H74" i="3"/>
  <c r="F74" i="3"/>
  <c r="U73" i="3"/>
  <c r="S73" i="3"/>
  <c r="R73" i="3"/>
  <c r="G73" i="3"/>
  <c r="H73" i="3" s="1"/>
  <c r="G72" i="3"/>
  <c r="F72" i="3"/>
  <c r="E72" i="3"/>
  <c r="R72" i="3" s="1"/>
  <c r="Y70" i="3"/>
  <c r="X70" i="3"/>
  <c r="F70" i="3"/>
  <c r="H70" i="3" s="1"/>
  <c r="X69" i="3"/>
  <c r="T69" i="3" s="1"/>
  <c r="Y69" i="3" s="1"/>
  <c r="Z69" i="3" s="1"/>
  <c r="P69" i="3"/>
  <c r="H69" i="3"/>
  <c r="F69" i="3"/>
  <c r="U68" i="3"/>
  <c r="S68" i="3"/>
  <c r="R68" i="3"/>
  <c r="X68" i="3" s="1"/>
  <c r="T68" i="3" s="1"/>
  <c r="H68" i="3"/>
  <c r="Q67" i="3"/>
  <c r="G67" i="3"/>
  <c r="F67" i="3"/>
  <c r="E67" i="3"/>
  <c r="U67" i="3" s="1"/>
  <c r="Y66" i="3"/>
  <c r="Z66" i="3" s="1"/>
  <c r="X66" i="3"/>
  <c r="H66" i="3"/>
  <c r="Y65" i="3"/>
  <c r="Z65" i="3" s="1"/>
  <c r="X65" i="3"/>
  <c r="H65" i="3"/>
  <c r="Y64" i="3"/>
  <c r="Z64" i="3" s="1"/>
  <c r="X64" i="3"/>
  <c r="H64" i="3"/>
  <c r="Y63" i="3"/>
  <c r="Z63" i="3" s="1"/>
  <c r="X63" i="3"/>
  <c r="H63" i="3"/>
  <c r="P62" i="3"/>
  <c r="X62" i="3" s="1"/>
  <c r="T62" i="3" s="1"/>
  <c r="Y62" i="3" s="1"/>
  <c r="Z62" i="3" s="1"/>
  <c r="F62" i="3"/>
  <c r="H62" i="3" s="1"/>
  <c r="P61" i="3"/>
  <c r="F61" i="3"/>
  <c r="H61" i="3" s="1"/>
  <c r="U60" i="3"/>
  <c r="S60" i="3"/>
  <c r="R60" i="3"/>
  <c r="H60" i="3"/>
  <c r="U59" i="3"/>
  <c r="S59" i="3"/>
  <c r="R59" i="3"/>
  <c r="H59" i="3"/>
  <c r="P58" i="3"/>
  <c r="F58" i="3"/>
  <c r="H58" i="3" s="1"/>
  <c r="U57" i="3"/>
  <c r="S57" i="3"/>
  <c r="R57" i="3"/>
  <c r="G57" i="3"/>
  <c r="H57" i="3" s="1"/>
  <c r="P56" i="3"/>
  <c r="F56" i="3"/>
  <c r="H56" i="3" s="1"/>
  <c r="U55" i="3"/>
  <c r="S55" i="3"/>
  <c r="R55" i="3"/>
  <c r="G55" i="3"/>
  <c r="H55" i="3" s="1"/>
  <c r="P54" i="3"/>
  <c r="F54" i="3"/>
  <c r="H54" i="3" s="1"/>
  <c r="X53" i="3"/>
  <c r="T53" i="3" s="1"/>
  <c r="Y53" i="3" s="1"/>
  <c r="Z53" i="3" s="1"/>
  <c r="P53" i="3"/>
  <c r="F53" i="3"/>
  <c r="H53" i="3" s="1"/>
  <c r="G52" i="3"/>
  <c r="H52" i="3" s="1"/>
  <c r="E52" i="3"/>
  <c r="S52" i="3" s="1"/>
  <c r="U51" i="3"/>
  <c r="S51" i="3"/>
  <c r="R51" i="3"/>
  <c r="G51" i="3"/>
  <c r="H51" i="3" s="1"/>
  <c r="P49" i="3"/>
  <c r="F49" i="3"/>
  <c r="H49" i="3" s="1"/>
  <c r="Y48" i="3"/>
  <c r="Z48" i="3" s="1"/>
  <c r="X48" i="3"/>
  <c r="H48" i="3"/>
  <c r="U47" i="3"/>
  <c r="S47" i="3"/>
  <c r="R47" i="3"/>
  <c r="F47" i="3"/>
  <c r="U46" i="3"/>
  <c r="S46" i="3"/>
  <c r="R46" i="3"/>
  <c r="H46" i="3"/>
  <c r="X45" i="3"/>
  <c r="T45" i="3"/>
  <c r="P45" i="3"/>
  <c r="F45" i="3"/>
  <c r="H45" i="3" s="1"/>
  <c r="P44" i="3"/>
  <c r="F44" i="3"/>
  <c r="H44" i="3" s="1"/>
  <c r="U43" i="3"/>
  <c r="S43" i="3"/>
  <c r="R43" i="3"/>
  <c r="H43" i="3"/>
  <c r="Q42" i="3"/>
  <c r="G42" i="3"/>
  <c r="F42" i="3"/>
  <c r="E42" i="3"/>
  <c r="R42" i="3" s="1"/>
  <c r="X41" i="3"/>
  <c r="F41" i="3"/>
  <c r="H41" i="3" s="1"/>
  <c r="U40" i="3"/>
  <c r="S40" i="3"/>
  <c r="R40" i="3"/>
  <c r="G40" i="3"/>
  <c r="H40" i="3" s="1"/>
  <c r="P39" i="3"/>
  <c r="X39" i="3" s="1"/>
  <c r="T39" i="3" s="1"/>
  <c r="Y39" i="3" s="1"/>
  <c r="Z39" i="3" s="1"/>
  <c r="F39" i="3"/>
  <c r="H39" i="3" s="1"/>
  <c r="U38" i="3"/>
  <c r="S38" i="3"/>
  <c r="R38" i="3"/>
  <c r="G38" i="3"/>
  <c r="H38" i="3" s="1"/>
  <c r="P37" i="3"/>
  <c r="X37" i="3" s="1"/>
  <c r="T37" i="3" s="1"/>
  <c r="Y37" i="3" s="1"/>
  <c r="Z37" i="3" s="1"/>
  <c r="F37" i="3"/>
  <c r="H37" i="3" s="1"/>
  <c r="X36" i="3"/>
  <c r="T36" i="3" s="1"/>
  <c r="Y36" i="3" s="1"/>
  <c r="Z36" i="3" s="1"/>
  <c r="P36" i="3"/>
  <c r="F36" i="3"/>
  <c r="H36" i="3" s="1"/>
  <c r="Z35" i="3"/>
  <c r="Y35" i="3"/>
  <c r="X35" i="3"/>
  <c r="F35" i="3"/>
  <c r="H35" i="3" s="1"/>
  <c r="U34" i="3"/>
  <c r="S34" i="3"/>
  <c r="R34" i="3"/>
  <c r="G34" i="3"/>
  <c r="H34" i="3" s="1"/>
  <c r="U33" i="3"/>
  <c r="S33" i="3"/>
  <c r="R33" i="3"/>
  <c r="G33" i="3"/>
  <c r="H33" i="3" s="1"/>
  <c r="P31" i="3"/>
  <c r="X31" i="3" s="1"/>
  <c r="F31" i="3"/>
  <c r="H31" i="3" s="1"/>
  <c r="Y30" i="3"/>
  <c r="Z30" i="3" s="1"/>
  <c r="X30" i="3"/>
  <c r="H30" i="3"/>
  <c r="Y29" i="3"/>
  <c r="Z29" i="3" s="1"/>
  <c r="X29" i="3"/>
  <c r="H29" i="3"/>
  <c r="U28" i="3"/>
  <c r="S28" i="3"/>
  <c r="R28" i="3"/>
  <c r="X28" i="3" s="1"/>
  <c r="T28" i="3" s="1"/>
  <c r="H28" i="3"/>
  <c r="S27" i="3"/>
  <c r="Q27" i="3"/>
  <c r="G27" i="3"/>
  <c r="F27" i="3"/>
  <c r="E27" i="3"/>
  <c r="U27" i="3" s="1"/>
  <c r="P26" i="3"/>
  <c r="X26" i="3" s="1"/>
  <c r="T26" i="3" s="1"/>
  <c r="Y26" i="3" s="1"/>
  <c r="Z26" i="3" s="1"/>
  <c r="F26" i="3"/>
  <c r="H26" i="3" s="1"/>
  <c r="P25" i="3"/>
  <c r="X25" i="3" s="1"/>
  <c r="T25" i="3" s="1"/>
  <c r="Y25" i="3" s="1"/>
  <c r="Z25" i="3" s="1"/>
  <c r="F25" i="3"/>
  <c r="H25" i="3" s="1"/>
  <c r="Y24" i="3"/>
  <c r="Z24" i="3" s="1"/>
  <c r="X24" i="3"/>
  <c r="H24" i="3"/>
  <c r="U23" i="3"/>
  <c r="S23" i="3"/>
  <c r="R23" i="3"/>
  <c r="H23" i="3"/>
  <c r="Q22" i="3"/>
  <c r="G22" i="3"/>
  <c r="H22" i="3" s="1"/>
  <c r="F22" i="3"/>
  <c r="E22" i="3"/>
  <c r="S22" i="3" s="1"/>
  <c r="P21" i="3"/>
  <c r="F21" i="3"/>
  <c r="H21" i="3" s="1"/>
  <c r="U20" i="3"/>
  <c r="S20" i="3"/>
  <c r="R20" i="3"/>
  <c r="G20" i="3"/>
  <c r="H20" i="3" s="1"/>
  <c r="P19" i="3"/>
  <c r="F19" i="3"/>
  <c r="H19" i="3" s="1"/>
  <c r="U18" i="3"/>
  <c r="S18" i="3"/>
  <c r="R18" i="3"/>
  <c r="G18" i="3"/>
  <c r="H18" i="3" s="1"/>
  <c r="P17" i="3"/>
  <c r="F17" i="3"/>
  <c r="H17" i="3" s="1"/>
  <c r="P16" i="3"/>
  <c r="H16" i="3"/>
  <c r="F16" i="3"/>
  <c r="U15" i="3"/>
  <c r="S15" i="3"/>
  <c r="R15" i="3"/>
  <c r="G15" i="3"/>
  <c r="H15" i="3" s="1"/>
  <c r="U14" i="3"/>
  <c r="S14" i="3"/>
  <c r="R14" i="3"/>
  <c r="G14" i="3"/>
  <c r="H14" i="3" s="1"/>
  <c r="Y12" i="3"/>
  <c r="Z12" i="3" s="1"/>
  <c r="X12" i="3"/>
  <c r="H12" i="3"/>
  <c r="P11" i="3"/>
  <c r="H11" i="3"/>
  <c r="F11" i="3"/>
  <c r="Y10" i="3"/>
  <c r="Z10" i="3" s="1"/>
  <c r="X10" i="3"/>
  <c r="H10" i="3"/>
  <c r="F9" i="3"/>
  <c r="H9" i="3" s="1"/>
  <c r="E9" i="3"/>
  <c r="U9" i="3" s="1"/>
  <c r="S8" i="3"/>
  <c r="Q8" i="3"/>
  <c r="G8" i="3"/>
  <c r="F8" i="3"/>
  <c r="H8" i="3" s="1"/>
  <c r="E8" i="3"/>
  <c r="R8" i="3" s="1"/>
  <c r="X7" i="3"/>
  <c r="F7" i="3"/>
  <c r="T7" i="3" s="1"/>
  <c r="Y7" i="3" s="1"/>
  <c r="Z7" i="3" s="1"/>
  <c r="P6" i="3"/>
  <c r="X6" i="3" s="1"/>
  <c r="T6" i="3" s="1"/>
  <c r="Y6" i="3" s="1"/>
  <c r="Z6" i="3" s="1"/>
  <c r="F6" i="3"/>
  <c r="H6" i="3" s="1"/>
  <c r="U5" i="3"/>
  <c r="S5" i="3"/>
  <c r="R5" i="3"/>
  <c r="H5" i="3"/>
  <c r="Q4" i="3"/>
  <c r="G4" i="3"/>
  <c r="H4" i="3" s="1"/>
  <c r="F4" i="3"/>
  <c r="E4" i="3"/>
  <c r="U4" i="3" s="1"/>
  <c r="X9" i="7" l="1"/>
  <c r="T9" i="7" s="1"/>
  <c r="Y9" i="7" s="1"/>
  <c r="Z9" i="7" s="1"/>
  <c r="X17" i="7"/>
  <c r="T17" i="7" s="1"/>
  <c r="Y17" i="7" s="1"/>
  <c r="Z17" i="7" s="1"/>
  <c r="X31" i="7"/>
  <c r="T31" i="7" s="1"/>
  <c r="Y31" i="7" s="1"/>
  <c r="Z31" i="7" s="1"/>
  <c r="X60" i="7"/>
  <c r="T60" i="7" s="1"/>
  <c r="Y60" i="7" s="1"/>
  <c r="Z60" i="7" s="1"/>
  <c r="X25" i="7"/>
  <c r="T25" i="7" s="1"/>
  <c r="Y25" i="7" s="1"/>
  <c r="Z25" i="7" s="1"/>
  <c r="X47" i="7"/>
  <c r="T47" i="7" s="1"/>
  <c r="Y47" i="7" s="1"/>
  <c r="Z47" i="7" s="1"/>
  <c r="Y4" i="7"/>
  <c r="Z4" i="7" s="1"/>
  <c r="X63" i="6"/>
  <c r="T63" i="6" s="1"/>
  <c r="Y63" i="6" s="1"/>
  <c r="Z63" i="6" s="1"/>
  <c r="X85" i="6"/>
  <c r="T85" i="6" s="1"/>
  <c r="Y85" i="6" s="1"/>
  <c r="Z85" i="6" s="1"/>
  <c r="X15" i="6"/>
  <c r="T15" i="6" s="1"/>
  <c r="Y15" i="6" s="1"/>
  <c r="Z15" i="6" s="1"/>
  <c r="Y84" i="5"/>
  <c r="Z84" i="5" s="1"/>
  <c r="Y16" i="3"/>
  <c r="Z16" i="3" s="1"/>
  <c r="H7" i="3"/>
  <c r="H27" i="3"/>
  <c r="H42" i="3"/>
  <c r="X51" i="3"/>
  <c r="T51" i="3" s="1"/>
  <c r="Y51" i="3" s="1"/>
  <c r="Z51" i="3" s="1"/>
  <c r="X59" i="3"/>
  <c r="T59" i="3" s="1"/>
  <c r="Y59" i="3" s="1"/>
  <c r="Z59" i="3" s="1"/>
  <c r="X60" i="3"/>
  <c r="T60" i="3" s="1"/>
  <c r="Z77" i="3"/>
  <c r="X82" i="3"/>
  <c r="T82" i="3" s="1"/>
  <c r="Y82" i="3" s="1"/>
  <c r="Z82" i="3" s="1"/>
  <c r="H85" i="3"/>
  <c r="U52" i="3"/>
  <c r="X16" i="3"/>
  <c r="T16" i="3" s="1"/>
  <c r="X55" i="3"/>
  <c r="T55" i="3" s="1"/>
  <c r="Y55" i="3" s="1"/>
  <c r="Z55" i="3" s="1"/>
  <c r="R67" i="3"/>
  <c r="X73" i="3"/>
  <c r="T73" i="3" s="1"/>
  <c r="X76" i="3"/>
  <c r="T76" i="3" s="1"/>
  <c r="Y76" i="3" s="1"/>
  <c r="Z76" i="3" s="1"/>
  <c r="R27" i="3"/>
  <c r="X27" i="3" s="1"/>
  <c r="T27" i="3" s="1"/>
  <c r="T31" i="3"/>
  <c r="Y31" i="3" s="1"/>
  <c r="Z31" i="3" s="1"/>
  <c r="S42" i="3"/>
  <c r="R52" i="3"/>
  <c r="Z70" i="3"/>
  <c r="S72" i="3"/>
  <c r="Z74" i="4"/>
  <c r="H77" i="4"/>
  <c r="T5" i="4"/>
  <c r="Y5" i="4" s="1"/>
  <c r="Z5" i="4" s="1"/>
  <c r="Y20" i="4"/>
  <c r="Z20" i="4" s="1"/>
  <c r="Z21" i="4"/>
  <c r="U25" i="4"/>
  <c r="T29" i="4"/>
  <c r="Y29" i="4" s="1"/>
  <c r="Z29" i="4" s="1"/>
  <c r="X33" i="4"/>
  <c r="T33" i="4" s="1"/>
  <c r="Y33" i="4" s="1"/>
  <c r="Z33" i="4" s="1"/>
  <c r="Y44" i="4"/>
  <c r="Z44" i="4" s="1"/>
  <c r="T59" i="4"/>
  <c r="Y59" i="4" s="1"/>
  <c r="Z59" i="4" s="1"/>
  <c r="X62" i="4"/>
  <c r="T62" i="4" s="1"/>
  <c r="T64" i="4"/>
  <c r="Y64" i="4" s="1"/>
  <c r="Z64" i="4" s="1"/>
  <c r="X78" i="4"/>
  <c r="T78" i="4" s="1"/>
  <c r="X72" i="4"/>
  <c r="T72" i="4" s="1"/>
  <c r="Y72" i="4" s="1"/>
  <c r="Z72" i="4" s="1"/>
  <c r="X13" i="4"/>
  <c r="T13" i="4" s="1"/>
  <c r="Y13" i="4" s="1"/>
  <c r="Z13" i="4" s="1"/>
  <c r="S19" i="4"/>
  <c r="X31" i="4"/>
  <c r="T31" i="4" s="1"/>
  <c r="Z41" i="4"/>
  <c r="H44" i="4"/>
  <c r="T50" i="4"/>
  <c r="Y50" i="4" s="1"/>
  <c r="Z50" i="4" s="1"/>
  <c r="X52" i="4"/>
  <c r="T52" i="4" s="1"/>
  <c r="X54" i="4"/>
  <c r="T54" i="4" s="1"/>
  <c r="Y56" i="4"/>
  <c r="Z56" i="4" s="1"/>
  <c r="X57" i="4"/>
  <c r="T57" i="4" s="1"/>
  <c r="T68" i="4"/>
  <c r="Y68" i="4" s="1"/>
  <c r="Z68" i="4" s="1"/>
  <c r="Y31" i="4"/>
  <c r="Z31" i="4" s="1"/>
  <c r="Y16" i="4"/>
  <c r="Z16" i="4" s="1"/>
  <c r="Y17" i="4"/>
  <c r="Z17" i="4" s="1"/>
  <c r="Y78" i="4"/>
  <c r="Z78" i="4" s="1"/>
  <c r="X4" i="4"/>
  <c r="T4" i="4" s="1"/>
  <c r="Y4" i="4" s="1"/>
  <c r="Z4" i="4" s="1"/>
  <c r="Y9" i="4"/>
  <c r="Z9" i="4" s="1"/>
  <c r="X12" i="4"/>
  <c r="T12" i="4" s="1"/>
  <c r="Y12" i="4" s="1"/>
  <c r="Z12" i="4" s="1"/>
  <c r="X18" i="4"/>
  <c r="T18" i="4" s="1"/>
  <c r="Y18" i="4" s="1"/>
  <c r="Z18" i="4" s="1"/>
  <c r="R19" i="4"/>
  <c r="X22" i="4"/>
  <c r="T22" i="4" s="1"/>
  <c r="Y22" i="4" s="1"/>
  <c r="Z22" i="4" s="1"/>
  <c r="Y26" i="4"/>
  <c r="Z26" i="4" s="1"/>
  <c r="Y28" i="4"/>
  <c r="Z28" i="4" s="1"/>
  <c r="X30" i="4"/>
  <c r="T30" i="4" s="1"/>
  <c r="Y30" i="4" s="1"/>
  <c r="Z30" i="4" s="1"/>
  <c r="X32" i="4"/>
  <c r="T32" i="4" s="1"/>
  <c r="Y32" i="4" s="1"/>
  <c r="Z32" i="4" s="1"/>
  <c r="X34" i="4"/>
  <c r="T34" i="4" s="1"/>
  <c r="Y34" i="4" s="1"/>
  <c r="Z34" i="4" s="1"/>
  <c r="X35" i="4"/>
  <c r="T35" i="4" s="1"/>
  <c r="Y35" i="4" s="1"/>
  <c r="Z35" i="4" s="1"/>
  <c r="X36" i="4"/>
  <c r="T36" i="4" s="1"/>
  <c r="Y36" i="4" s="1"/>
  <c r="Z36" i="4" s="1"/>
  <c r="R38" i="4"/>
  <c r="X38" i="4" s="1"/>
  <c r="T38" i="4" s="1"/>
  <c r="X39" i="4"/>
  <c r="T39" i="4" s="1"/>
  <c r="Y39" i="4" s="1"/>
  <c r="Z39" i="4" s="1"/>
  <c r="X42" i="4"/>
  <c r="T42" i="4" s="1"/>
  <c r="Y42" i="4" s="1"/>
  <c r="Z42" i="4" s="1"/>
  <c r="Y45" i="4"/>
  <c r="Z45" i="4" s="1"/>
  <c r="Y52" i="4"/>
  <c r="Z52" i="4" s="1"/>
  <c r="Y54" i="4"/>
  <c r="Z54" i="4" s="1"/>
  <c r="X55" i="4"/>
  <c r="T55" i="4" s="1"/>
  <c r="Y55" i="4" s="1"/>
  <c r="Z55" i="4" s="1"/>
  <c r="Y57" i="4"/>
  <c r="Z57" i="4" s="1"/>
  <c r="Y62" i="4"/>
  <c r="Z62" i="4" s="1"/>
  <c r="U70" i="4"/>
  <c r="X70" i="4" s="1"/>
  <c r="T70" i="4" s="1"/>
  <c r="Y70" i="4" s="1"/>
  <c r="Z70" i="4" s="1"/>
  <c r="X71" i="4"/>
  <c r="T71" i="4" s="1"/>
  <c r="Y71" i="4" s="1"/>
  <c r="Z71" i="4" s="1"/>
  <c r="X77" i="4"/>
  <c r="T77" i="4" s="1"/>
  <c r="Y77" i="4" s="1"/>
  <c r="Z77" i="4" s="1"/>
  <c r="X14" i="4"/>
  <c r="T14" i="4" s="1"/>
  <c r="Y14" i="4" s="1"/>
  <c r="Z14" i="4" s="1"/>
  <c r="U8" i="4"/>
  <c r="S38" i="4"/>
  <c r="X66" i="4"/>
  <c r="T66" i="4" s="1"/>
  <c r="Y66" i="4" s="1"/>
  <c r="Z66" i="4" s="1"/>
  <c r="X25" i="4"/>
  <c r="T25" i="4" s="1"/>
  <c r="Y25" i="4" s="1"/>
  <c r="Z25" i="4" s="1"/>
  <c r="Z27" i="4"/>
  <c r="Z47" i="4"/>
  <c r="X51" i="4"/>
  <c r="T51" i="4" s="1"/>
  <c r="Y51" i="4" s="1"/>
  <c r="Z51" i="4" s="1"/>
  <c r="X61" i="4"/>
  <c r="T61" i="4" s="1"/>
  <c r="Y61" i="4" s="1"/>
  <c r="Z61" i="4" s="1"/>
  <c r="X67" i="4"/>
  <c r="T67" i="4" s="1"/>
  <c r="Y67" i="4" s="1"/>
  <c r="Z67" i="4" s="1"/>
  <c r="X69" i="4"/>
  <c r="T69" i="4" s="1"/>
  <c r="Y69" i="4" s="1"/>
  <c r="Z69" i="4" s="1"/>
  <c r="X73" i="4"/>
  <c r="T73" i="4" s="1"/>
  <c r="Y73" i="4" s="1"/>
  <c r="Z73" i="4" s="1"/>
  <c r="R8" i="4"/>
  <c r="Y14" i="3"/>
  <c r="Z14" i="3" s="1"/>
  <c r="X44" i="3"/>
  <c r="T44" i="3" s="1"/>
  <c r="Y44" i="3" s="1"/>
  <c r="Z44" i="3" s="1"/>
  <c r="X58" i="3"/>
  <c r="T58" i="3" s="1"/>
  <c r="Y58" i="3" s="1"/>
  <c r="Z58" i="3" s="1"/>
  <c r="U8" i="3"/>
  <c r="X8" i="3" s="1"/>
  <c r="T8" i="3" s="1"/>
  <c r="Y8" i="3" s="1"/>
  <c r="Z8" i="3" s="1"/>
  <c r="Y28" i="3"/>
  <c r="Z28" i="3" s="1"/>
  <c r="Y86" i="3"/>
  <c r="Z86" i="3" s="1"/>
  <c r="Y52" i="3"/>
  <c r="Z52" i="3" s="1"/>
  <c r="R4" i="3"/>
  <c r="X5" i="3"/>
  <c r="T5" i="3" s="1"/>
  <c r="Y5" i="3" s="1"/>
  <c r="Z5" i="3" s="1"/>
  <c r="S4" i="3"/>
  <c r="X14" i="3"/>
  <c r="T14" i="3" s="1"/>
  <c r="X18" i="3"/>
  <c r="T18" i="3" s="1"/>
  <c r="Y18" i="3" s="1"/>
  <c r="Z18" i="3" s="1"/>
  <c r="X20" i="3"/>
  <c r="T20" i="3" s="1"/>
  <c r="Y20" i="3" s="1"/>
  <c r="Z20" i="3" s="1"/>
  <c r="T41" i="3"/>
  <c r="Y41" i="3" s="1"/>
  <c r="Z41" i="3" s="1"/>
  <c r="Y47" i="3"/>
  <c r="Z47" i="3" s="1"/>
  <c r="X47" i="3"/>
  <c r="T47" i="3" s="1"/>
  <c r="H47" i="3"/>
  <c r="X52" i="3"/>
  <c r="T52" i="3" s="1"/>
  <c r="Y54" i="3"/>
  <c r="Z54" i="3" s="1"/>
  <c r="X54" i="3"/>
  <c r="T54" i="3" s="1"/>
  <c r="X57" i="3"/>
  <c r="T57" i="3" s="1"/>
  <c r="Y57" i="3" s="1"/>
  <c r="Z57" i="3" s="1"/>
  <c r="Y60" i="3"/>
  <c r="Z60" i="3" s="1"/>
  <c r="H67" i="3"/>
  <c r="H72" i="3"/>
  <c r="X75" i="3"/>
  <c r="T75" i="3" s="1"/>
  <c r="Y75" i="3" s="1"/>
  <c r="Z75" i="3" s="1"/>
  <c r="S9" i="3"/>
  <c r="R9" i="3"/>
  <c r="X11" i="3"/>
  <c r="T11" i="3" s="1"/>
  <c r="Y11" i="3" s="1"/>
  <c r="Z11" i="3" s="1"/>
  <c r="X15" i="3"/>
  <c r="T15" i="3" s="1"/>
  <c r="Y15" i="3" s="1"/>
  <c r="Z15" i="3" s="1"/>
  <c r="X17" i="3"/>
  <c r="T17" i="3" s="1"/>
  <c r="Y17" i="3" s="1"/>
  <c r="Z17" i="3" s="1"/>
  <c r="X19" i="3"/>
  <c r="T19" i="3" s="1"/>
  <c r="Y19" i="3" s="1"/>
  <c r="Z19" i="3" s="1"/>
  <c r="X21" i="3"/>
  <c r="T21" i="3" s="1"/>
  <c r="Y21" i="3" s="1"/>
  <c r="Z21" i="3" s="1"/>
  <c r="X33" i="3"/>
  <c r="T33" i="3" s="1"/>
  <c r="Y33" i="3" s="1"/>
  <c r="Z33" i="3" s="1"/>
  <c r="X43" i="3"/>
  <c r="T43" i="3" s="1"/>
  <c r="Y43" i="3" s="1"/>
  <c r="Z43" i="3" s="1"/>
  <c r="Y45" i="3"/>
  <c r="Z45" i="3" s="1"/>
  <c r="X56" i="3"/>
  <c r="T56" i="3" s="1"/>
  <c r="Y56" i="3" s="1"/>
  <c r="Z56" i="3" s="1"/>
  <c r="Y68" i="3"/>
  <c r="Z68" i="3" s="1"/>
  <c r="Y73" i="3"/>
  <c r="Z73" i="3" s="1"/>
  <c r="Y80" i="3"/>
  <c r="Z80" i="3" s="1"/>
  <c r="S85" i="3"/>
  <c r="R85" i="3"/>
  <c r="X85" i="3" s="1"/>
  <c r="T85" i="3" s="1"/>
  <c r="Y85" i="3" s="1"/>
  <c r="Z85" i="3" s="1"/>
  <c r="U85" i="3"/>
  <c r="U22" i="3"/>
  <c r="X34" i="3"/>
  <c r="T34" i="3" s="1"/>
  <c r="Y34" i="3" s="1"/>
  <c r="Z34" i="3" s="1"/>
  <c r="X38" i="3"/>
  <c r="T38" i="3" s="1"/>
  <c r="Y38" i="3" s="1"/>
  <c r="Z38" i="3" s="1"/>
  <c r="X40" i="3"/>
  <c r="T40" i="3" s="1"/>
  <c r="Y40" i="3" s="1"/>
  <c r="Z40" i="3" s="1"/>
  <c r="X46" i="3"/>
  <c r="T46" i="3" s="1"/>
  <c r="Y46" i="3" s="1"/>
  <c r="Z46" i="3" s="1"/>
  <c r="X49" i="3"/>
  <c r="T49" i="3" s="1"/>
  <c r="Y49" i="3" s="1"/>
  <c r="Z49" i="3" s="1"/>
  <c r="X61" i="3"/>
  <c r="T61" i="3" s="1"/>
  <c r="Y61" i="3" s="1"/>
  <c r="Z61" i="3" s="1"/>
  <c r="S67" i="3"/>
  <c r="X86" i="3"/>
  <c r="T86" i="3" s="1"/>
  <c r="R22" i="3"/>
  <c r="X23" i="3"/>
  <c r="T23" i="3" s="1"/>
  <c r="Y23" i="3" s="1"/>
  <c r="Z23" i="3" s="1"/>
  <c r="U42" i="3"/>
  <c r="X42" i="3" s="1"/>
  <c r="T42" i="3" s="1"/>
  <c r="Y42" i="3" s="1"/>
  <c r="Z42" i="3" s="1"/>
  <c r="U72" i="3"/>
  <c r="X72" i="3" s="1"/>
  <c r="T72" i="3" s="1"/>
  <c r="Y72" i="3" s="1"/>
  <c r="Z72" i="3" s="1"/>
  <c r="Q83" i="2"/>
  <c r="G83" i="2"/>
  <c r="H83" i="2" s="1"/>
  <c r="F83" i="2"/>
  <c r="E83" i="2"/>
  <c r="S83" i="2" s="1"/>
  <c r="Y81" i="2"/>
  <c r="Z81" i="2" s="1"/>
  <c r="X81" i="2"/>
  <c r="H81" i="2"/>
  <c r="Y80" i="2"/>
  <c r="Z80" i="2" s="1"/>
  <c r="X80" i="2"/>
  <c r="H80" i="2"/>
  <c r="Y79" i="2"/>
  <c r="Z79" i="2" s="1"/>
  <c r="X79" i="2"/>
  <c r="H79" i="2"/>
  <c r="P78" i="2"/>
  <c r="F78" i="2"/>
  <c r="H78" i="2" s="1"/>
  <c r="U77" i="2"/>
  <c r="S77" i="2"/>
  <c r="R77" i="2"/>
  <c r="H77" i="2"/>
  <c r="Q76" i="2"/>
  <c r="G76" i="2"/>
  <c r="F76" i="2"/>
  <c r="E76" i="2"/>
  <c r="R76" i="2" s="1"/>
  <c r="X75" i="2"/>
  <c r="P75" i="2"/>
  <c r="F75" i="2"/>
  <c r="H75" i="2" s="1"/>
  <c r="X74" i="2"/>
  <c r="T74" i="2" s="1"/>
  <c r="P74" i="2"/>
  <c r="F74" i="2"/>
  <c r="H74" i="2" s="1"/>
  <c r="U73" i="2"/>
  <c r="S73" i="2"/>
  <c r="R73" i="2"/>
  <c r="H73" i="2"/>
  <c r="U72" i="2"/>
  <c r="S72" i="2"/>
  <c r="R72" i="2"/>
  <c r="H72" i="2"/>
  <c r="X71" i="2"/>
  <c r="T71" i="2" s="1"/>
  <c r="Y71" i="2" s="1"/>
  <c r="Z71" i="2" s="1"/>
  <c r="F71" i="2"/>
  <c r="H71" i="2" s="1"/>
  <c r="P70" i="2"/>
  <c r="X70" i="2" s="1"/>
  <c r="H70" i="2"/>
  <c r="F70" i="2"/>
  <c r="U69" i="2"/>
  <c r="S69" i="2"/>
  <c r="X69" i="2" s="1"/>
  <c r="T69" i="2" s="1"/>
  <c r="R69" i="2"/>
  <c r="G69" i="2"/>
  <c r="H69" i="2" s="1"/>
  <c r="X68" i="2"/>
  <c r="T68" i="2" s="1"/>
  <c r="Y68" i="2" s="1"/>
  <c r="Z68" i="2" s="1"/>
  <c r="P68" i="2"/>
  <c r="F68" i="2"/>
  <c r="H68" i="2" s="1"/>
  <c r="X67" i="2"/>
  <c r="T67" i="2" s="1"/>
  <c r="P67" i="2"/>
  <c r="F67" i="2"/>
  <c r="H67" i="2" s="1"/>
  <c r="U66" i="2"/>
  <c r="H66" i="2"/>
  <c r="G66" i="2"/>
  <c r="E66" i="2"/>
  <c r="S66" i="2" s="1"/>
  <c r="U65" i="2"/>
  <c r="S65" i="2"/>
  <c r="R65" i="2"/>
  <c r="H65" i="2"/>
  <c r="U64" i="2"/>
  <c r="S64" i="2"/>
  <c r="R64" i="2"/>
  <c r="H64" i="2"/>
  <c r="Y62" i="2"/>
  <c r="Z62" i="2" s="1"/>
  <c r="X62" i="2"/>
  <c r="H62" i="2"/>
  <c r="P61" i="2"/>
  <c r="X61" i="2" s="1"/>
  <c r="T61" i="2" s="1"/>
  <c r="Y61" i="2" s="1"/>
  <c r="Z61" i="2" s="1"/>
  <c r="H61" i="2"/>
  <c r="F61" i="2"/>
  <c r="Y60" i="2"/>
  <c r="Z60" i="2" s="1"/>
  <c r="X60" i="2"/>
  <c r="H60" i="2"/>
  <c r="Y59" i="2"/>
  <c r="Z59" i="2" s="1"/>
  <c r="X59" i="2"/>
  <c r="H59" i="2"/>
  <c r="U58" i="2"/>
  <c r="S58" i="2"/>
  <c r="R58" i="2"/>
  <c r="F58" i="2"/>
  <c r="H58" i="2" s="1"/>
  <c r="Q57" i="2"/>
  <c r="G57" i="2"/>
  <c r="H57" i="2" s="1"/>
  <c r="F57" i="2"/>
  <c r="E57" i="2"/>
  <c r="U57" i="2" s="1"/>
  <c r="P56" i="2"/>
  <c r="X56" i="2" s="1"/>
  <c r="T56" i="2" s="1"/>
  <c r="Y56" i="2" s="1"/>
  <c r="Z56" i="2" s="1"/>
  <c r="H56" i="2"/>
  <c r="F56" i="2"/>
  <c r="P55" i="2"/>
  <c r="X55" i="2" s="1"/>
  <c r="T55" i="2" s="1"/>
  <c r="Y55" i="2" s="1"/>
  <c r="Z55" i="2" s="1"/>
  <c r="F55" i="2"/>
  <c r="H55" i="2" s="1"/>
  <c r="U54" i="2"/>
  <c r="S54" i="2"/>
  <c r="R54" i="2"/>
  <c r="F54" i="2"/>
  <c r="H54" i="2" s="1"/>
  <c r="P53" i="2"/>
  <c r="X53" i="2" s="1"/>
  <c r="T53" i="2" s="1"/>
  <c r="Y53" i="2" s="1"/>
  <c r="Z53" i="2" s="1"/>
  <c r="F53" i="2"/>
  <c r="H53" i="2" s="1"/>
  <c r="P52" i="2"/>
  <c r="F52" i="2"/>
  <c r="H52" i="2" s="1"/>
  <c r="U51" i="2"/>
  <c r="S51" i="2"/>
  <c r="R51" i="2"/>
  <c r="G51" i="2"/>
  <c r="H51" i="2" s="1"/>
  <c r="P50" i="2"/>
  <c r="F50" i="2"/>
  <c r="H50" i="2" s="1"/>
  <c r="P49" i="2"/>
  <c r="F49" i="2"/>
  <c r="H49" i="2" s="1"/>
  <c r="G48" i="2"/>
  <c r="H48" i="2" s="1"/>
  <c r="E48" i="2"/>
  <c r="R48" i="2" s="1"/>
  <c r="U47" i="2"/>
  <c r="S47" i="2"/>
  <c r="R47" i="2"/>
  <c r="H47" i="2"/>
  <c r="Q46" i="2"/>
  <c r="G46" i="2"/>
  <c r="F46" i="2"/>
  <c r="E46" i="2"/>
  <c r="S46" i="2" s="1"/>
  <c r="P44" i="2"/>
  <c r="X44" i="2" s="1"/>
  <c r="T44" i="2" s="1"/>
  <c r="Y44" i="2" s="1"/>
  <c r="Z44" i="2" s="1"/>
  <c r="F44" i="2"/>
  <c r="H44" i="2" s="1"/>
  <c r="Y43" i="2"/>
  <c r="Z43" i="2" s="1"/>
  <c r="X43" i="2"/>
  <c r="H43" i="2"/>
  <c r="Y42" i="2"/>
  <c r="Z42" i="2" s="1"/>
  <c r="X42" i="2"/>
  <c r="H42" i="2"/>
  <c r="Y41" i="2"/>
  <c r="Z41" i="2" s="1"/>
  <c r="X41" i="2"/>
  <c r="H41" i="2"/>
  <c r="Y40" i="2"/>
  <c r="Z40" i="2" s="1"/>
  <c r="X40" i="2"/>
  <c r="H40" i="2"/>
  <c r="F39" i="2"/>
  <c r="E39" i="2"/>
  <c r="S39" i="2" s="1"/>
  <c r="F38" i="2"/>
  <c r="E38" i="2"/>
  <c r="P37" i="2"/>
  <c r="X37" i="2" s="1"/>
  <c r="T37" i="2" s="1"/>
  <c r="F37" i="2"/>
  <c r="H37" i="2" s="1"/>
  <c r="P36" i="2"/>
  <c r="F36" i="2"/>
  <c r="H36" i="2" s="1"/>
  <c r="P35" i="2"/>
  <c r="X35" i="2" s="1"/>
  <c r="T35" i="2" s="1"/>
  <c r="Y35" i="2" s="1"/>
  <c r="Z35" i="2" s="1"/>
  <c r="F35" i="2"/>
  <c r="H35" i="2" s="1"/>
  <c r="X34" i="2"/>
  <c r="T34" i="2" s="1"/>
  <c r="Y34" i="2" s="1"/>
  <c r="Z34" i="2" s="1"/>
  <c r="P34" i="2"/>
  <c r="F34" i="2"/>
  <c r="H34" i="2" s="1"/>
  <c r="Y33" i="2"/>
  <c r="Z33" i="2" s="1"/>
  <c r="X33" i="2"/>
  <c r="H33" i="2"/>
  <c r="U32" i="2"/>
  <c r="X32" i="2" s="1"/>
  <c r="T32" i="2" s="1"/>
  <c r="Y32" i="2" s="1"/>
  <c r="Z32" i="2" s="1"/>
  <c r="H32" i="2"/>
  <c r="Y31" i="2"/>
  <c r="Z31" i="2" s="1"/>
  <c r="U31" i="2"/>
  <c r="S31" i="2"/>
  <c r="R31" i="2"/>
  <c r="G31" i="2"/>
  <c r="H31" i="2" s="1"/>
  <c r="F31" i="2"/>
  <c r="Z29" i="2"/>
  <c r="Y29" i="2"/>
  <c r="X29" i="2"/>
  <c r="H29" i="2"/>
  <c r="Y28" i="2"/>
  <c r="Z28" i="2" s="1"/>
  <c r="X28" i="2"/>
  <c r="H28" i="2"/>
  <c r="P27" i="2"/>
  <c r="F27" i="2"/>
  <c r="H27" i="2" s="1"/>
  <c r="Y26" i="2"/>
  <c r="Z26" i="2" s="1"/>
  <c r="U26" i="2"/>
  <c r="X26" i="2" s="1"/>
  <c r="H26" i="2"/>
  <c r="U25" i="2"/>
  <c r="S25" i="2"/>
  <c r="R25" i="2"/>
  <c r="H25" i="2"/>
  <c r="U24" i="2"/>
  <c r="S24" i="2"/>
  <c r="R24" i="2"/>
  <c r="H24" i="2"/>
  <c r="P23" i="2"/>
  <c r="F23" i="2"/>
  <c r="H23" i="2" s="1"/>
  <c r="P22" i="2"/>
  <c r="X22" i="2" s="1"/>
  <c r="T22" i="2" s="1"/>
  <c r="Y22" i="2" s="1"/>
  <c r="Z22" i="2" s="1"/>
  <c r="F22" i="2"/>
  <c r="H22" i="2" s="1"/>
  <c r="U21" i="2"/>
  <c r="S21" i="2"/>
  <c r="R21" i="2"/>
  <c r="H21" i="2"/>
  <c r="S20" i="2"/>
  <c r="Q20" i="2"/>
  <c r="G20" i="2"/>
  <c r="F20" i="2"/>
  <c r="E20" i="2"/>
  <c r="U20" i="2" s="1"/>
  <c r="X19" i="2"/>
  <c r="P19" i="2"/>
  <c r="F19" i="2"/>
  <c r="H19" i="2" s="1"/>
  <c r="Z18" i="2"/>
  <c r="Y18" i="2"/>
  <c r="X18" i="2"/>
  <c r="H18" i="2"/>
  <c r="Z17" i="2"/>
  <c r="Y17" i="2"/>
  <c r="X17" i="2"/>
  <c r="H17" i="2"/>
  <c r="Z16" i="2"/>
  <c r="Y16" i="2"/>
  <c r="X16" i="2"/>
  <c r="H16" i="2"/>
  <c r="Z15" i="2"/>
  <c r="Y15" i="2"/>
  <c r="X15" i="2"/>
  <c r="H15" i="2"/>
  <c r="Z14" i="2"/>
  <c r="Y14" i="2"/>
  <c r="X14" i="2"/>
  <c r="H14" i="2"/>
  <c r="U13" i="2"/>
  <c r="S13" i="2"/>
  <c r="R13" i="2"/>
  <c r="H13" i="2"/>
  <c r="G13" i="2"/>
  <c r="X12" i="2"/>
  <c r="P12" i="2"/>
  <c r="F12" i="2"/>
  <c r="H12" i="2" s="1"/>
  <c r="U11" i="2"/>
  <c r="S11" i="2"/>
  <c r="R11" i="2"/>
  <c r="H11" i="2"/>
  <c r="G11" i="2"/>
  <c r="X10" i="2"/>
  <c r="P10" i="2"/>
  <c r="F10" i="2"/>
  <c r="H10" i="2" s="1"/>
  <c r="X9" i="2"/>
  <c r="T9" i="2" s="1"/>
  <c r="P9" i="2"/>
  <c r="F9" i="2"/>
  <c r="H9" i="2" s="1"/>
  <c r="U8" i="2"/>
  <c r="S8" i="2"/>
  <c r="R8" i="2"/>
  <c r="X8" i="2" s="1"/>
  <c r="T8" i="2" s="1"/>
  <c r="G8" i="2"/>
  <c r="H8" i="2" s="1"/>
  <c r="U7" i="2"/>
  <c r="S7" i="2"/>
  <c r="R7" i="2"/>
  <c r="H7" i="2"/>
  <c r="Q6" i="2"/>
  <c r="G6" i="2"/>
  <c r="F6" i="2"/>
  <c r="H6" i="2" s="1"/>
  <c r="E6" i="2"/>
  <c r="P4" i="2"/>
  <c r="X4" i="2" s="1"/>
  <c r="T4" i="2" s="1"/>
  <c r="F4" i="2"/>
  <c r="H4" i="2" s="1"/>
  <c r="P3" i="2"/>
  <c r="F3" i="2"/>
  <c r="H3" i="2" s="1"/>
  <c r="X4" i="3" l="1"/>
  <c r="T4" i="3" s="1"/>
  <c r="Y4" i="3" s="1"/>
  <c r="Z4" i="3" s="1"/>
  <c r="Y27" i="3"/>
  <c r="Z27" i="3" s="1"/>
  <c r="X8" i="4"/>
  <c r="T8" i="4" s="1"/>
  <c r="Y8" i="4" s="1"/>
  <c r="Z8" i="4" s="1"/>
  <c r="Y38" i="4"/>
  <c r="Z38" i="4" s="1"/>
  <c r="X19" i="4"/>
  <c r="T19" i="4" s="1"/>
  <c r="Y19" i="4" s="1"/>
  <c r="Z19" i="4" s="1"/>
  <c r="X22" i="3"/>
  <c r="T22" i="3" s="1"/>
  <c r="Y22" i="3" s="1"/>
  <c r="Z22" i="3" s="1"/>
  <c r="X67" i="3"/>
  <c r="T67" i="3" s="1"/>
  <c r="Y67" i="3" s="1"/>
  <c r="Z67" i="3" s="1"/>
  <c r="X9" i="3"/>
  <c r="T9" i="3" s="1"/>
  <c r="Y9" i="3" s="1"/>
  <c r="Z9" i="3" s="1"/>
  <c r="S76" i="2"/>
  <c r="Y8" i="2"/>
  <c r="Z8" i="2" s="1"/>
  <c r="Y9" i="2"/>
  <c r="Z9" i="2" s="1"/>
  <c r="H46" i="2"/>
  <c r="X21" i="2"/>
  <c r="T21" i="2" s="1"/>
  <c r="R39" i="2"/>
  <c r="Y39" i="2" s="1"/>
  <c r="Z39" i="2" s="1"/>
  <c r="X50" i="2"/>
  <c r="T50" i="2" s="1"/>
  <c r="Y50" i="2" s="1"/>
  <c r="Z50" i="2" s="1"/>
  <c r="X52" i="2"/>
  <c r="T52" i="2" s="1"/>
  <c r="Y52" i="2" s="1"/>
  <c r="Z52" i="2" s="1"/>
  <c r="R57" i="2"/>
  <c r="X58" i="2"/>
  <c r="T58" i="2" s="1"/>
  <c r="Y58" i="2" s="1"/>
  <c r="Z58" i="2" s="1"/>
  <c r="Y69" i="2"/>
  <c r="Z69" i="2" s="1"/>
  <c r="T70" i="2"/>
  <c r="Y70" i="2" s="1"/>
  <c r="Z70" i="2" s="1"/>
  <c r="X72" i="2"/>
  <c r="T72" i="2" s="1"/>
  <c r="X73" i="2"/>
  <c r="T73" i="2" s="1"/>
  <c r="H76" i="2"/>
  <c r="X77" i="2"/>
  <c r="T77" i="2" s="1"/>
  <c r="R20" i="2"/>
  <c r="X20" i="2" s="1"/>
  <c r="T20" i="2" s="1"/>
  <c r="Y20" i="2" s="1"/>
  <c r="Z20" i="2" s="1"/>
  <c r="X31" i="2"/>
  <c r="X57" i="2"/>
  <c r="T57" i="2" s="1"/>
  <c r="Y57" i="2" s="1"/>
  <c r="Z57" i="2" s="1"/>
  <c r="S57" i="2"/>
  <c r="X64" i="2"/>
  <c r="T64" i="2" s="1"/>
  <c r="X65" i="2"/>
  <c r="T65" i="2" s="1"/>
  <c r="Y67" i="2"/>
  <c r="Z67" i="2" s="1"/>
  <c r="Y72" i="2"/>
  <c r="Z72" i="2" s="1"/>
  <c r="Y73" i="2"/>
  <c r="Z73" i="2" s="1"/>
  <c r="T75" i="2"/>
  <c r="Y75" i="2" s="1"/>
  <c r="Z75" i="2" s="1"/>
  <c r="X23" i="2"/>
  <c r="T23" i="2" s="1"/>
  <c r="Y23" i="2" s="1"/>
  <c r="Z23" i="2" s="1"/>
  <c r="X48" i="2"/>
  <c r="T48" i="2" s="1"/>
  <c r="S6" i="2"/>
  <c r="R6" i="2"/>
  <c r="H20" i="2"/>
  <c r="R38" i="2"/>
  <c r="U38" i="2"/>
  <c r="Y64" i="2"/>
  <c r="Z64" i="2" s="1"/>
  <c r="Y65" i="2"/>
  <c r="Z65" i="2" s="1"/>
  <c r="Y4" i="2"/>
  <c r="Z4" i="2" s="1"/>
  <c r="T10" i="2"/>
  <c r="Y10" i="2" s="1"/>
  <c r="Z10" i="2" s="1"/>
  <c r="T12" i="2"/>
  <c r="Y12" i="2" s="1"/>
  <c r="Z12" i="2" s="1"/>
  <c r="T19" i="2"/>
  <c r="Y19" i="2" s="1"/>
  <c r="Z19" i="2" s="1"/>
  <c r="X27" i="2"/>
  <c r="T27" i="2" s="1"/>
  <c r="Y27" i="2" s="1"/>
  <c r="Z27" i="2" s="1"/>
  <c r="Y37" i="2"/>
  <c r="Z37" i="2" s="1"/>
  <c r="U6" i="2"/>
  <c r="X3" i="2"/>
  <c r="T3" i="2" s="1"/>
  <c r="Y3" i="2" s="1"/>
  <c r="Z3" i="2" s="1"/>
  <c r="Y21" i="2"/>
  <c r="Z21" i="2" s="1"/>
  <c r="X36" i="2"/>
  <c r="T36" i="2" s="1"/>
  <c r="Y36" i="2" s="1"/>
  <c r="Z36" i="2" s="1"/>
  <c r="S38" i="2"/>
  <c r="X38" i="2" s="1"/>
  <c r="Y74" i="2"/>
  <c r="Z74" i="2" s="1"/>
  <c r="Y77" i="2"/>
  <c r="Z77" i="2" s="1"/>
  <c r="U46" i="2"/>
  <c r="X6" i="2"/>
  <c r="T6" i="2" s="1"/>
  <c r="X7" i="2"/>
  <c r="T7" i="2" s="1"/>
  <c r="Y7" i="2" s="1"/>
  <c r="Z7" i="2" s="1"/>
  <c r="X11" i="2"/>
  <c r="T11" i="2" s="1"/>
  <c r="Y11" i="2" s="1"/>
  <c r="Z11" i="2" s="1"/>
  <c r="X13" i="2"/>
  <c r="T13" i="2" s="1"/>
  <c r="Y13" i="2" s="1"/>
  <c r="Z13" i="2" s="1"/>
  <c r="R46" i="2"/>
  <c r="X46" i="2" s="1"/>
  <c r="T46" i="2" s="1"/>
  <c r="X47" i="2"/>
  <c r="T47" i="2" s="1"/>
  <c r="Y47" i="2" s="1"/>
  <c r="Z47" i="2" s="1"/>
  <c r="X54" i="2"/>
  <c r="T54" i="2" s="1"/>
  <c r="Y54" i="2" s="1"/>
  <c r="Z54" i="2" s="1"/>
  <c r="R66" i="2"/>
  <c r="U83" i="2"/>
  <c r="S48" i="2"/>
  <c r="X24" i="2"/>
  <c r="T24" i="2" s="1"/>
  <c r="Y24" i="2" s="1"/>
  <c r="Z24" i="2" s="1"/>
  <c r="X25" i="2"/>
  <c r="T25" i="2" s="1"/>
  <c r="Y25" i="2" s="1"/>
  <c r="Z25" i="2" s="1"/>
  <c r="H38" i="2"/>
  <c r="U48" i="2"/>
  <c r="X49" i="2"/>
  <c r="T49" i="2" s="1"/>
  <c r="Y49" i="2" s="1"/>
  <c r="Z49" i="2" s="1"/>
  <c r="X51" i="2"/>
  <c r="T51" i="2" s="1"/>
  <c r="Y51" i="2" s="1"/>
  <c r="Z51" i="2" s="1"/>
  <c r="U76" i="2"/>
  <c r="X76" i="2" s="1"/>
  <c r="T76" i="2" s="1"/>
  <c r="Y76" i="2" s="1"/>
  <c r="Z76" i="2" s="1"/>
  <c r="X78" i="2"/>
  <c r="T78" i="2" s="1"/>
  <c r="Y78" i="2" s="1"/>
  <c r="Z78" i="2" s="1"/>
  <c r="R83" i="2"/>
  <c r="H39" i="2"/>
  <c r="U90" i="1"/>
  <c r="S90" i="1"/>
  <c r="R90" i="1"/>
  <c r="H90" i="1"/>
  <c r="Q89" i="1"/>
  <c r="G89" i="1"/>
  <c r="F89" i="1"/>
  <c r="H89" i="1" s="1"/>
  <c r="E89" i="1"/>
  <c r="S89" i="1" s="1"/>
  <c r="P88" i="1"/>
  <c r="F88" i="1"/>
  <c r="H88" i="1" s="1"/>
  <c r="U87" i="1"/>
  <c r="S87" i="1"/>
  <c r="R87" i="1"/>
  <c r="H87" i="1"/>
  <c r="Q86" i="1"/>
  <c r="G86" i="1"/>
  <c r="H86" i="1" s="1"/>
  <c r="F86" i="1"/>
  <c r="E86" i="1"/>
  <c r="U86" i="1" s="1"/>
  <c r="X85" i="1"/>
  <c r="T85" i="1" s="1"/>
  <c r="Y85" i="1" s="1"/>
  <c r="Z85" i="1" s="1"/>
  <c r="P85" i="1"/>
  <c r="H85" i="1"/>
  <c r="F85" i="1"/>
  <c r="Y84" i="1"/>
  <c r="Z84" i="1" s="1"/>
  <c r="X84" i="1"/>
  <c r="H84" i="1"/>
  <c r="Y83" i="1"/>
  <c r="Z83" i="1" s="1"/>
  <c r="X83" i="1"/>
  <c r="H83" i="1"/>
  <c r="Y82" i="1"/>
  <c r="Z82" i="1" s="1"/>
  <c r="X82" i="1"/>
  <c r="H82" i="1"/>
  <c r="Y81" i="1"/>
  <c r="Z81" i="1" s="1"/>
  <c r="X81" i="1"/>
  <c r="H81" i="1"/>
  <c r="Y80" i="1"/>
  <c r="Z80" i="1" s="1"/>
  <c r="X80" i="1"/>
  <c r="H80" i="1"/>
  <c r="U79" i="1"/>
  <c r="S79" i="1"/>
  <c r="R79" i="1"/>
  <c r="X79" i="1" s="1"/>
  <c r="T79" i="1" s="1"/>
  <c r="G79" i="1"/>
  <c r="H79" i="1" s="1"/>
  <c r="P78" i="1"/>
  <c r="X78" i="1" s="1"/>
  <c r="F78" i="1"/>
  <c r="H78" i="1" s="1"/>
  <c r="U77" i="1"/>
  <c r="S77" i="1"/>
  <c r="R77" i="1"/>
  <c r="X77" i="1" s="1"/>
  <c r="T77" i="1" s="1"/>
  <c r="G77" i="1"/>
  <c r="H77" i="1" s="1"/>
  <c r="P76" i="1"/>
  <c r="X76" i="1" s="1"/>
  <c r="T76" i="1" s="1"/>
  <c r="F76" i="1"/>
  <c r="H76" i="1" s="1"/>
  <c r="P75" i="1"/>
  <c r="X75" i="1" s="1"/>
  <c r="F75" i="1"/>
  <c r="H75" i="1" s="1"/>
  <c r="Z74" i="1"/>
  <c r="Y74" i="1"/>
  <c r="X74" i="1"/>
  <c r="H74" i="1"/>
  <c r="Z73" i="1"/>
  <c r="Y73" i="1"/>
  <c r="X73" i="1"/>
  <c r="H73" i="1"/>
  <c r="Z72" i="1"/>
  <c r="Y72" i="1"/>
  <c r="X72" i="1"/>
  <c r="H72" i="1"/>
  <c r="U71" i="1"/>
  <c r="S71" i="1"/>
  <c r="R71" i="1"/>
  <c r="G71" i="1"/>
  <c r="H71" i="1" s="1"/>
  <c r="U70" i="1"/>
  <c r="S70" i="1"/>
  <c r="R70" i="1"/>
  <c r="X70" i="1" s="1"/>
  <c r="T70" i="1" s="1"/>
  <c r="G70" i="1"/>
  <c r="H70" i="1" s="1"/>
  <c r="P68" i="1"/>
  <c r="X68" i="1" s="1"/>
  <c r="F68" i="1"/>
  <c r="H68" i="1" s="1"/>
  <c r="U67" i="1"/>
  <c r="S67" i="1"/>
  <c r="R67" i="1"/>
  <c r="X67" i="1" s="1"/>
  <c r="T67" i="1" s="1"/>
  <c r="H67" i="1"/>
  <c r="S66" i="1"/>
  <c r="Q66" i="1"/>
  <c r="G66" i="1"/>
  <c r="F66" i="1"/>
  <c r="E66" i="1"/>
  <c r="U66" i="1" s="1"/>
  <c r="X65" i="1"/>
  <c r="T65" i="1" s="1"/>
  <c r="Y65" i="1" s="1"/>
  <c r="Z65" i="1" s="1"/>
  <c r="P65" i="1"/>
  <c r="F65" i="1"/>
  <c r="H65" i="1" s="1"/>
  <c r="Y64" i="1"/>
  <c r="Z64" i="1" s="1"/>
  <c r="X64" i="1"/>
  <c r="H64" i="1"/>
  <c r="U63" i="1"/>
  <c r="S63" i="1"/>
  <c r="R63" i="1"/>
  <c r="H63" i="1"/>
  <c r="G62" i="1"/>
  <c r="H62" i="1" s="1"/>
  <c r="F62" i="1"/>
  <c r="E62" i="1"/>
  <c r="S62" i="1" s="1"/>
  <c r="P61" i="1"/>
  <c r="F61" i="1"/>
  <c r="H61" i="1" s="1"/>
  <c r="U60" i="1"/>
  <c r="S60" i="1"/>
  <c r="R60" i="1"/>
  <c r="G60" i="1"/>
  <c r="H60" i="1" s="1"/>
  <c r="P59" i="1"/>
  <c r="F59" i="1"/>
  <c r="H59" i="1" s="1"/>
  <c r="P58" i="1"/>
  <c r="X58" i="1" s="1"/>
  <c r="T58" i="1" s="1"/>
  <c r="F58" i="1"/>
  <c r="H58" i="1" s="1"/>
  <c r="U57" i="1"/>
  <c r="S57" i="1"/>
  <c r="R57" i="1"/>
  <c r="X57" i="1" s="1"/>
  <c r="T57" i="1" s="1"/>
  <c r="G57" i="1"/>
  <c r="H57" i="1" s="1"/>
  <c r="U56" i="1"/>
  <c r="S56" i="1"/>
  <c r="R56" i="1"/>
  <c r="G56" i="1"/>
  <c r="H56" i="1" s="1"/>
  <c r="U55" i="1"/>
  <c r="S55" i="1"/>
  <c r="R55" i="1"/>
  <c r="H55" i="1"/>
  <c r="X53" i="1"/>
  <c r="T53" i="1" s="1"/>
  <c r="Y53" i="1" s="1"/>
  <c r="Z53" i="1" s="1"/>
  <c r="H53" i="1"/>
  <c r="F53" i="1"/>
  <c r="X52" i="1"/>
  <c r="T52" i="1" s="1"/>
  <c r="P52" i="1"/>
  <c r="F52" i="1"/>
  <c r="H52" i="1" s="1"/>
  <c r="P51" i="1"/>
  <c r="X51" i="1" s="1"/>
  <c r="T51" i="1" s="1"/>
  <c r="Y51" i="1" s="1"/>
  <c r="Z51" i="1" s="1"/>
  <c r="F51" i="1"/>
  <c r="H51" i="1" s="1"/>
  <c r="Y50" i="1"/>
  <c r="Z50" i="1" s="1"/>
  <c r="X50" i="1"/>
  <c r="H50" i="1"/>
  <c r="U49" i="1"/>
  <c r="S49" i="1"/>
  <c r="R49" i="1"/>
  <c r="H49" i="1"/>
  <c r="Q48" i="1"/>
  <c r="G48" i="1"/>
  <c r="H48" i="1" s="1"/>
  <c r="F48" i="1"/>
  <c r="E48" i="1"/>
  <c r="S48" i="1" s="1"/>
  <c r="P47" i="1"/>
  <c r="F47" i="1"/>
  <c r="H47" i="1" s="1"/>
  <c r="U46" i="1"/>
  <c r="S46" i="1"/>
  <c r="R46" i="1"/>
  <c r="H46" i="1"/>
  <c r="Q45" i="1"/>
  <c r="G45" i="1"/>
  <c r="H45" i="1" s="1"/>
  <c r="F45" i="1"/>
  <c r="E45" i="1"/>
  <c r="U45" i="1" s="1"/>
  <c r="P44" i="1"/>
  <c r="X44" i="1" s="1"/>
  <c r="T44" i="1" s="1"/>
  <c r="Y44" i="1" s="1"/>
  <c r="Z44" i="1" s="1"/>
  <c r="F44" i="1"/>
  <c r="H44" i="1" s="1"/>
  <c r="U43" i="1"/>
  <c r="S43" i="1"/>
  <c r="R43" i="1"/>
  <c r="X43" i="1" s="1"/>
  <c r="T43" i="1" s="1"/>
  <c r="G43" i="1"/>
  <c r="H43" i="1" s="1"/>
  <c r="X42" i="1"/>
  <c r="T42" i="1" s="1"/>
  <c r="P42" i="1"/>
  <c r="Y42" i="1" s="1"/>
  <c r="Z42" i="1" s="1"/>
  <c r="H42" i="1"/>
  <c r="F42" i="1"/>
  <c r="Y41" i="1"/>
  <c r="Z41" i="1" s="1"/>
  <c r="X41" i="1"/>
  <c r="H41" i="1"/>
  <c r="F41" i="1"/>
  <c r="Y40" i="1"/>
  <c r="Z40" i="1" s="1"/>
  <c r="X40" i="1"/>
  <c r="H40" i="1"/>
  <c r="Y39" i="1"/>
  <c r="Z39" i="1" s="1"/>
  <c r="X39" i="1"/>
  <c r="H39" i="1"/>
  <c r="U38" i="1"/>
  <c r="S38" i="1"/>
  <c r="R38" i="1"/>
  <c r="X38" i="1" s="1"/>
  <c r="T38" i="1" s="1"/>
  <c r="G38" i="1"/>
  <c r="H38" i="1" s="1"/>
  <c r="P37" i="1"/>
  <c r="H37" i="1"/>
  <c r="F37" i="1"/>
  <c r="X36" i="1"/>
  <c r="T36" i="1" s="1"/>
  <c r="Y36" i="1" s="1"/>
  <c r="Z36" i="1" s="1"/>
  <c r="P36" i="1"/>
  <c r="H36" i="1"/>
  <c r="F36" i="1"/>
  <c r="U35" i="1"/>
  <c r="S35" i="1"/>
  <c r="X35" i="1" s="1"/>
  <c r="T35" i="1" s="1"/>
  <c r="R35" i="1"/>
  <c r="H35" i="1"/>
  <c r="G35" i="1"/>
  <c r="U34" i="1"/>
  <c r="S34" i="1"/>
  <c r="R34" i="1"/>
  <c r="G34" i="1"/>
  <c r="H34" i="1" s="1"/>
  <c r="X32" i="1"/>
  <c r="F32" i="1"/>
  <c r="T32" i="1" s="1"/>
  <c r="Y32" i="1" s="1"/>
  <c r="Z32" i="1" s="1"/>
  <c r="P31" i="1"/>
  <c r="X31" i="1" s="1"/>
  <c r="T31" i="1" s="1"/>
  <c r="Y31" i="1" s="1"/>
  <c r="Z31" i="1" s="1"/>
  <c r="F31" i="1"/>
  <c r="H31" i="1" s="1"/>
  <c r="Y30" i="1"/>
  <c r="Z30" i="1" s="1"/>
  <c r="X30" i="1"/>
  <c r="H30" i="1"/>
  <c r="Y29" i="1"/>
  <c r="Z29" i="1" s="1"/>
  <c r="X29" i="1"/>
  <c r="H29" i="1"/>
  <c r="U28" i="1"/>
  <c r="F28" i="1"/>
  <c r="H28" i="1" s="1"/>
  <c r="E28" i="1"/>
  <c r="S28" i="1" s="1"/>
  <c r="U27" i="1"/>
  <c r="S27" i="1"/>
  <c r="R27" i="1"/>
  <c r="X27" i="1" s="1"/>
  <c r="T27" i="1" s="1"/>
  <c r="H27" i="1"/>
  <c r="U26" i="1"/>
  <c r="S26" i="1"/>
  <c r="R26" i="1"/>
  <c r="H26" i="1"/>
  <c r="S25" i="1"/>
  <c r="Q25" i="1"/>
  <c r="G25" i="1"/>
  <c r="F25" i="1"/>
  <c r="E25" i="1"/>
  <c r="U25" i="1" s="1"/>
  <c r="Y24" i="1"/>
  <c r="Z24" i="1" s="1"/>
  <c r="P24" i="1"/>
  <c r="X24" i="1" s="1"/>
  <c r="T24" i="1" s="1"/>
  <c r="H24" i="1"/>
  <c r="F24" i="1"/>
  <c r="Y23" i="1"/>
  <c r="Z23" i="1" s="1"/>
  <c r="X23" i="1"/>
  <c r="F23" i="1"/>
  <c r="H23" i="1" s="1"/>
  <c r="U22" i="1"/>
  <c r="S22" i="1"/>
  <c r="R22" i="1"/>
  <c r="G22" i="1"/>
  <c r="H22" i="1" s="1"/>
  <c r="P21" i="1"/>
  <c r="F21" i="1"/>
  <c r="H21" i="1" s="1"/>
  <c r="P20" i="1"/>
  <c r="X20" i="1" s="1"/>
  <c r="T20" i="1" s="1"/>
  <c r="Y20" i="1" s="1"/>
  <c r="Z20" i="1" s="1"/>
  <c r="H20" i="1"/>
  <c r="F20" i="1"/>
  <c r="U19" i="1"/>
  <c r="S19" i="1"/>
  <c r="R19" i="1"/>
  <c r="G19" i="1"/>
  <c r="H19" i="1" s="1"/>
  <c r="X18" i="1"/>
  <c r="F18" i="1"/>
  <c r="H18" i="1" s="1"/>
  <c r="P17" i="1"/>
  <c r="X17" i="1" s="1"/>
  <c r="T17" i="1" s="1"/>
  <c r="Y17" i="1" s="1"/>
  <c r="Z17" i="1" s="1"/>
  <c r="F17" i="1"/>
  <c r="H17" i="1" s="1"/>
  <c r="P16" i="1"/>
  <c r="F16" i="1"/>
  <c r="H16" i="1" s="1"/>
  <c r="Y15" i="1"/>
  <c r="Z15" i="1" s="1"/>
  <c r="P15" i="1"/>
  <c r="X15" i="1" s="1"/>
  <c r="T15" i="1" s="1"/>
  <c r="H15" i="1"/>
  <c r="F15" i="1"/>
  <c r="X14" i="1"/>
  <c r="T14" i="1" s="1"/>
  <c r="U14" i="1"/>
  <c r="S14" i="1"/>
  <c r="R14" i="1"/>
  <c r="H14" i="1"/>
  <c r="G14" i="1"/>
  <c r="G13" i="1"/>
  <c r="F13" i="1"/>
  <c r="E13" i="1"/>
  <c r="R13" i="1" s="1"/>
  <c r="U11" i="1"/>
  <c r="S11" i="1"/>
  <c r="R11" i="1"/>
  <c r="X11" i="1" s="1"/>
  <c r="T11" i="1" s="1"/>
  <c r="H11" i="1"/>
  <c r="Q10" i="1"/>
  <c r="G10" i="1"/>
  <c r="F10" i="1"/>
  <c r="E10" i="1"/>
  <c r="U10" i="1" s="1"/>
  <c r="X9" i="1"/>
  <c r="T9" i="1" s="1"/>
  <c r="Y9" i="1" s="1"/>
  <c r="Z9" i="1" s="1"/>
  <c r="P9" i="1"/>
  <c r="F9" i="1"/>
  <c r="H9" i="1" s="1"/>
  <c r="U8" i="1"/>
  <c r="S8" i="1"/>
  <c r="R8" i="1"/>
  <c r="G8" i="1"/>
  <c r="H8" i="1" s="1"/>
  <c r="U7" i="1"/>
  <c r="S7" i="1"/>
  <c r="R7" i="1"/>
  <c r="G7" i="1"/>
  <c r="H7" i="1" s="1"/>
  <c r="P6" i="1"/>
  <c r="X6" i="1" s="1"/>
  <c r="F6" i="1"/>
  <c r="T6" i="1" s="1"/>
  <c r="X5" i="1"/>
  <c r="T5" i="1" s="1"/>
  <c r="P5" i="1"/>
  <c r="H5" i="1"/>
  <c r="P4" i="1"/>
  <c r="F4" i="1"/>
  <c r="H4" i="1" s="1"/>
  <c r="Y6" i="2" l="1"/>
  <c r="Z6" i="2" s="1"/>
  <c r="Y38" i="2"/>
  <c r="Z38" i="2" s="1"/>
  <c r="X39" i="2"/>
  <c r="Y48" i="2"/>
  <c r="Z48" i="2" s="1"/>
  <c r="X83" i="2"/>
  <c r="T83" i="2" s="1"/>
  <c r="Y83" i="2" s="1"/>
  <c r="Z83" i="2" s="1"/>
  <c r="X66" i="2"/>
  <c r="T66" i="2" s="1"/>
  <c r="Y66" i="2" s="1"/>
  <c r="Z66" i="2" s="1"/>
  <c r="Y46" i="2"/>
  <c r="Z46" i="2" s="1"/>
  <c r="H6" i="1"/>
  <c r="X7" i="1"/>
  <c r="T7" i="1" s="1"/>
  <c r="S10" i="1"/>
  <c r="H13" i="1"/>
  <c r="R25" i="1"/>
  <c r="Y27" i="1"/>
  <c r="Z27" i="1" s="1"/>
  <c r="H32" i="1"/>
  <c r="Y38" i="1"/>
  <c r="Z38" i="1" s="1"/>
  <c r="S45" i="1"/>
  <c r="R48" i="1"/>
  <c r="Y58" i="1"/>
  <c r="Z58" i="1" s="1"/>
  <c r="R66" i="1"/>
  <c r="Y76" i="1"/>
  <c r="Z76" i="1" s="1"/>
  <c r="R10" i="1"/>
  <c r="X10" i="1" s="1"/>
  <c r="T10" i="1" s="1"/>
  <c r="Y5" i="1"/>
  <c r="Z5" i="1" s="1"/>
  <c r="H10" i="1"/>
  <c r="S13" i="1"/>
  <c r="X56" i="1"/>
  <c r="T56" i="1" s="1"/>
  <c r="Y56" i="1" s="1"/>
  <c r="Z56" i="1" s="1"/>
  <c r="U62" i="1"/>
  <c r="T68" i="1"/>
  <c r="T78" i="1"/>
  <c r="R86" i="1"/>
  <c r="Y22" i="1"/>
  <c r="Z22" i="1" s="1"/>
  <c r="R45" i="1"/>
  <c r="X22" i="1"/>
  <c r="T22" i="1" s="1"/>
  <c r="H25" i="1"/>
  <c r="X46" i="1"/>
  <c r="T46" i="1" s="1"/>
  <c r="Y46" i="1" s="1"/>
  <c r="Z46" i="1" s="1"/>
  <c r="Y52" i="1"/>
  <c r="Z52" i="1" s="1"/>
  <c r="Y68" i="1"/>
  <c r="Z68" i="1" s="1"/>
  <c r="Y78" i="1"/>
  <c r="Z78" i="1" s="1"/>
  <c r="X86" i="1"/>
  <c r="T86" i="1" s="1"/>
  <c r="S86" i="1"/>
  <c r="Y14" i="1"/>
  <c r="Z14" i="1" s="1"/>
  <c r="T18" i="1"/>
  <c r="Y18" i="1" s="1"/>
  <c r="Z18" i="1" s="1"/>
  <c r="X21" i="1"/>
  <c r="T21" i="1" s="1"/>
  <c r="Y21" i="1" s="1"/>
  <c r="Z21" i="1" s="1"/>
  <c r="Y35" i="1"/>
  <c r="Z35" i="1" s="1"/>
  <c r="Y43" i="1"/>
  <c r="Z43" i="1" s="1"/>
  <c r="Y67" i="1"/>
  <c r="Z67" i="1" s="1"/>
  <c r="Y77" i="1"/>
  <c r="Z77" i="1" s="1"/>
  <c r="X88" i="1"/>
  <c r="T88" i="1" s="1"/>
  <c r="Y88" i="1" s="1"/>
  <c r="Z88" i="1" s="1"/>
  <c r="X37" i="1"/>
  <c r="T37" i="1" s="1"/>
  <c r="Y37" i="1" s="1"/>
  <c r="Z37" i="1" s="1"/>
  <c r="Y59" i="1"/>
  <c r="Z59" i="1" s="1"/>
  <c r="X59" i="1"/>
  <c r="T59" i="1" s="1"/>
  <c r="X61" i="1"/>
  <c r="T61" i="1" s="1"/>
  <c r="Y61" i="1" s="1"/>
  <c r="Z61" i="1" s="1"/>
  <c r="X4" i="1"/>
  <c r="T4" i="1" s="1"/>
  <c r="Y4" i="1" s="1"/>
  <c r="Z4" i="1" s="1"/>
  <c r="X16" i="1"/>
  <c r="T16" i="1" s="1"/>
  <c r="Y16" i="1" s="1"/>
  <c r="Z16" i="1" s="1"/>
  <c r="T75" i="1"/>
  <c r="Y75" i="1" s="1"/>
  <c r="Z75" i="1" s="1"/>
  <c r="X25" i="1"/>
  <c r="T25" i="1" s="1"/>
  <c r="Y25" i="1" s="1"/>
  <c r="Z25" i="1" s="1"/>
  <c r="Y7" i="1"/>
  <c r="Z7" i="1" s="1"/>
  <c r="Y11" i="1"/>
  <c r="Z11" i="1" s="1"/>
  <c r="Y6" i="1"/>
  <c r="Z6" i="1" s="1"/>
  <c r="X19" i="1"/>
  <c r="T19" i="1" s="1"/>
  <c r="Y19" i="1" s="1"/>
  <c r="Z19" i="1" s="1"/>
  <c r="X26" i="1"/>
  <c r="T26" i="1" s="1"/>
  <c r="Y26" i="1" s="1"/>
  <c r="Z26" i="1" s="1"/>
  <c r="X34" i="1"/>
  <c r="T34" i="1" s="1"/>
  <c r="Y34" i="1" s="1"/>
  <c r="Z34" i="1" s="1"/>
  <c r="X45" i="1"/>
  <c r="T45" i="1" s="1"/>
  <c r="Y45" i="1" s="1"/>
  <c r="Z45" i="1" s="1"/>
  <c r="X47" i="1"/>
  <c r="T47" i="1" s="1"/>
  <c r="Y47" i="1" s="1"/>
  <c r="Z47" i="1" s="1"/>
  <c r="Y57" i="1"/>
  <c r="Z57" i="1" s="1"/>
  <c r="X60" i="1"/>
  <c r="T60" i="1" s="1"/>
  <c r="Y60" i="1" s="1"/>
  <c r="Z60" i="1" s="1"/>
  <c r="H66" i="1"/>
  <c r="X66" i="1"/>
  <c r="T66" i="1" s="1"/>
  <c r="Y66" i="1" s="1"/>
  <c r="Z66" i="1" s="1"/>
  <c r="Y70" i="1"/>
  <c r="Z70" i="1" s="1"/>
  <c r="Y79" i="1"/>
  <c r="Z79" i="1" s="1"/>
  <c r="X87" i="1"/>
  <c r="T87" i="1" s="1"/>
  <c r="Y87" i="1" s="1"/>
  <c r="Z87" i="1" s="1"/>
  <c r="X8" i="1"/>
  <c r="T8" i="1" s="1"/>
  <c r="Y8" i="1" s="1"/>
  <c r="Z8" i="1" s="1"/>
  <c r="R28" i="1"/>
  <c r="U48" i="1"/>
  <c r="X48" i="1" s="1"/>
  <c r="T48" i="1" s="1"/>
  <c r="Y48" i="1" s="1"/>
  <c r="Z48" i="1" s="1"/>
  <c r="R62" i="1"/>
  <c r="X63" i="1"/>
  <c r="T63" i="1" s="1"/>
  <c r="Y63" i="1" s="1"/>
  <c r="Z63" i="1" s="1"/>
  <c r="X71" i="1"/>
  <c r="T71" i="1" s="1"/>
  <c r="Y71" i="1" s="1"/>
  <c r="Z71" i="1" s="1"/>
  <c r="U89" i="1"/>
  <c r="X89" i="1" s="1"/>
  <c r="T89" i="1" s="1"/>
  <c r="Y89" i="1" s="1"/>
  <c r="Z89" i="1" s="1"/>
  <c r="U13" i="1"/>
  <c r="X13" i="1" s="1"/>
  <c r="T13" i="1" s="1"/>
  <c r="Y13" i="1" s="1"/>
  <c r="Z13" i="1" s="1"/>
  <c r="X49" i="1"/>
  <c r="T49" i="1" s="1"/>
  <c r="Y49" i="1" s="1"/>
  <c r="Z49" i="1" s="1"/>
  <c r="X55" i="1"/>
  <c r="T55" i="1" s="1"/>
  <c r="Y55" i="1" s="1"/>
  <c r="Z55" i="1" s="1"/>
  <c r="R89" i="1"/>
  <c r="X90" i="1"/>
  <c r="T90" i="1" s="1"/>
  <c r="Y90" i="1" s="1"/>
  <c r="Z90" i="1" s="1"/>
  <c r="Y10" i="1" l="1"/>
  <c r="Z10" i="1" s="1"/>
  <c r="X62" i="1"/>
  <c r="T62" i="1" s="1"/>
  <c r="Y62" i="1" s="1"/>
  <c r="Z62" i="1" s="1"/>
  <c r="Y86" i="1"/>
  <c r="Z86" i="1" s="1"/>
  <c r="Y28" i="1"/>
  <c r="Z28" i="1" s="1"/>
  <c r="X28" i="1"/>
  <c r="T28" i="1" s="1"/>
</calcChain>
</file>

<file path=xl/comments1.xml><?xml version="1.0" encoding="utf-8"?>
<comments xmlns="http://schemas.openxmlformats.org/spreadsheetml/2006/main">
  <authors>
    <author>Usuario</author>
    <author>octavio-cic</author>
  </authors>
  <commentList>
    <comment ref="F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2.xml><?xml version="1.0" encoding="utf-8"?>
<comments xmlns="http://schemas.openxmlformats.org/spreadsheetml/2006/main">
  <authors>
    <author>Usuario</author>
    <author>octavio-cic</author>
  </authors>
  <commentList>
    <comment ref="F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3.xml><?xml version="1.0" encoding="utf-8"?>
<comments xmlns="http://schemas.openxmlformats.org/spreadsheetml/2006/main">
  <authors>
    <author>Usuario</author>
    <author>octavio-cic</author>
  </authors>
  <commentList>
    <comment ref="F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4.xml><?xml version="1.0" encoding="utf-8"?>
<comments xmlns="http://schemas.openxmlformats.org/spreadsheetml/2006/main">
  <authors>
    <author>Usuario</author>
    <author>octavio-cic</author>
  </authors>
  <commentList>
    <comment ref="F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5.xml><?xml version="1.0" encoding="utf-8"?>
<comments xmlns="http://schemas.openxmlformats.org/spreadsheetml/2006/main">
  <authors>
    <author>Usuario</author>
    <author>octavio-cic</author>
  </authors>
  <commentList>
    <comment ref="F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6.xml><?xml version="1.0" encoding="utf-8"?>
<comments xmlns="http://schemas.openxmlformats.org/spreadsheetml/2006/main">
  <authors>
    <author>Usuario</author>
    <author>octavio-cic</author>
  </authors>
  <commentList>
    <comment ref="F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7.xml><?xml version="1.0" encoding="utf-8"?>
<comments xmlns="http://schemas.openxmlformats.org/spreadsheetml/2006/main">
  <authors>
    <author>Usuario</author>
    <author>octavio-cic</author>
  </authors>
  <commentList>
    <comment ref="F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4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<sst xmlns="http://schemas.openxmlformats.org/spreadsheetml/2006/main" count="3651" uniqueCount="914">
  <si>
    <t>Marzo 2017</t>
  </si>
  <si>
    <t>Producto</t>
  </si>
  <si>
    <t>Marca</t>
  </si>
  <si>
    <t>Proveedor</t>
  </si>
  <si>
    <t>unidades</t>
  </si>
  <si>
    <t>Peso total factura</t>
  </si>
  <si>
    <t>Peso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</si>
  <si>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</si>
  <si>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</si>
  <si>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</si>
  <si>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</si>
  <si>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</si>
  <si>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</si>
  <si>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</si>
  <si>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</si>
  <si>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</si>
  <si>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</si>
  <si>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$ aduanal / matanzas</t>
  </si>
  <si>
    <t>tipo cambio / visceras</t>
  </si>
  <si>
    <t>seguro carga</t>
  </si>
  <si>
    <t>cargada</t>
  </si>
  <si>
    <t>com</t>
  </si>
  <si>
    <t>costo logistica</t>
  </si>
  <si>
    <t>costo integrado</t>
  </si>
  <si>
    <t>costo real</t>
  </si>
  <si>
    <t>$ carga total</t>
  </si>
  <si>
    <t>Pernil con piel</t>
  </si>
  <si>
    <t>Farmland</t>
  </si>
  <si>
    <t>20 combos</t>
  </si>
  <si>
    <t>nl17-18</t>
  </si>
  <si>
    <t>Sanchez</t>
  </si>
  <si>
    <t>mi</t>
  </si>
  <si>
    <t>hoja + 10 ju 23 feb</t>
  </si>
  <si>
    <t>Seaboard</t>
  </si>
  <si>
    <t>21 combos</t>
  </si>
  <si>
    <t>nlse17-36</t>
  </si>
  <si>
    <t>hoja + 10.5 ju 23 feb</t>
  </si>
  <si>
    <t>IBP</t>
  </si>
  <si>
    <t>J9689</t>
  </si>
  <si>
    <t>Tamez</t>
  </si>
  <si>
    <t>hoja + 9.5 ju 23 feb</t>
  </si>
  <si>
    <t>Canal de cerdo</t>
  </si>
  <si>
    <t>Nu3</t>
  </si>
  <si>
    <t>Agrop El Topete</t>
  </si>
  <si>
    <t>fact 5197,5198</t>
  </si>
  <si>
    <t>Agrop El Dorado</t>
  </si>
  <si>
    <t>fact 825,826</t>
  </si>
  <si>
    <t>ju</t>
  </si>
  <si>
    <t>nl17-19</t>
  </si>
  <si>
    <t>vi</t>
  </si>
  <si>
    <t>hoja + 10 vi 27 ene</t>
  </si>
  <si>
    <t>Agrop La Gaby</t>
  </si>
  <si>
    <t>fact 5077,5078</t>
  </si>
  <si>
    <t>Porc Soto</t>
  </si>
  <si>
    <t>fact 852,853</t>
  </si>
  <si>
    <t>Topete y Sn Bernardo</t>
  </si>
  <si>
    <t>fact 5205,5206, 2270, 2271</t>
  </si>
  <si>
    <t>do</t>
  </si>
  <si>
    <t>Porc San Bernardo</t>
  </si>
  <si>
    <t>fact 2290,2278,2291</t>
  </si>
  <si>
    <t>lu</t>
  </si>
  <si>
    <t>nl17-20</t>
  </si>
  <si>
    <t>ma</t>
  </si>
  <si>
    <t>hoja + 10 ju 2 mar</t>
  </si>
  <si>
    <t>Q4745</t>
  </si>
  <si>
    <t>hoja + 9.5 mi 1 mar</t>
  </si>
  <si>
    <t>nlse17-37</t>
  </si>
  <si>
    <t>hoja + 10.5 ju 2 mar</t>
  </si>
  <si>
    <t>nlse17-39</t>
  </si>
  <si>
    <t>hoja + 10.5 ma 28 feb</t>
  </si>
  <si>
    <t>fact 858,859</t>
  </si>
  <si>
    <t>Q4749</t>
  </si>
  <si>
    <t>hoja + 9.5 ju 2 mar</t>
  </si>
  <si>
    <t>nl17-21</t>
  </si>
  <si>
    <t>hoja + 10 vi 3 mar</t>
  </si>
  <si>
    <t>fact 2286,2287</t>
  </si>
  <si>
    <t>Cuero Belly fco</t>
  </si>
  <si>
    <t>Adams</t>
  </si>
  <si>
    <t>4 combos</t>
  </si>
  <si>
    <t>fact 49224</t>
  </si>
  <si>
    <t>nlse17-40</t>
  </si>
  <si>
    <t>hoja + 10.5 vi 3 mar</t>
  </si>
  <si>
    <t>fact 864,865</t>
  </si>
  <si>
    <t>fact 5217,5218</t>
  </si>
  <si>
    <t>fact 2298,2299</t>
  </si>
  <si>
    <t>Chemita y Sn Bernardo</t>
  </si>
  <si>
    <t>fact 3301,3302,2305,2306</t>
  </si>
  <si>
    <t>Queso Gouda</t>
  </si>
  <si>
    <t>chileno</t>
  </si>
  <si>
    <t>Ryc Alimentos</t>
  </si>
  <si>
    <t>50 cajas</t>
  </si>
  <si>
    <t>fact 935544</t>
  </si>
  <si>
    <t>Filete Basa</t>
  </si>
  <si>
    <t>Baja Bay</t>
  </si>
  <si>
    <t>Marimex</t>
  </si>
  <si>
    <t>100 cajas</t>
  </si>
  <si>
    <t>fact 493</t>
  </si>
  <si>
    <t>nlse17-41</t>
  </si>
  <si>
    <t>sa</t>
  </si>
  <si>
    <t>hoja + 10.5 ma 7 mar</t>
  </si>
  <si>
    <t>nlse17-38</t>
  </si>
  <si>
    <t>Agrop EL Topete</t>
  </si>
  <si>
    <t>fact 5225, 5226</t>
  </si>
  <si>
    <t>fact 5229,5230</t>
  </si>
  <si>
    <t>nl17-22</t>
  </si>
  <si>
    <t>hoja + 10 ju 9 mar</t>
  </si>
  <si>
    <t>Q4750</t>
  </si>
  <si>
    <t>hoja + 9.5 mi 8 mar</t>
  </si>
  <si>
    <t>fact 870,871</t>
  </si>
  <si>
    <t>Atun vacio</t>
  </si>
  <si>
    <t>porcionado</t>
  </si>
  <si>
    <t>5 cajas</t>
  </si>
  <si>
    <t>salmon vacio</t>
  </si>
  <si>
    <t>fact 49441</t>
  </si>
  <si>
    <t>Q4751</t>
  </si>
  <si>
    <t>hoja + 9.5 ju 9 mar</t>
  </si>
  <si>
    <t>fact 5240,5241</t>
  </si>
  <si>
    <t>nlse17-42</t>
  </si>
  <si>
    <t>hoja + 10.5 vi 10 mar</t>
  </si>
  <si>
    <t>Gan Rancho San Felipe</t>
  </si>
  <si>
    <t>fact 358,359</t>
  </si>
  <si>
    <t>fact 850,851</t>
  </si>
  <si>
    <t>nl17-23</t>
  </si>
  <si>
    <t>hoja + 10 vi 10 mar</t>
  </si>
  <si>
    <t>fact 2314,2315</t>
  </si>
  <si>
    <t>fact 856, 857</t>
  </si>
  <si>
    <t>Contra</t>
  </si>
  <si>
    <t>Swift</t>
  </si>
  <si>
    <t xml:space="preserve"> </t>
  </si>
  <si>
    <t>608 cajas</t>
  </si>
  <si>
    <t>fact 937067</t>
  </si>
  <si>
    <t>nl17-24</t>
  </si>
  <si>
    <t>hoja + 10 lu 13 mar</t>
  </si>
  <si>
    <t>nlse17-43</t>
  </si>
  <si>
    <t>hoja + 10.5 ma 14 mar</t>
  </si>
  <si>
    <t>nlse17-44</t>
  </si>
  <si>
    <t>fact 2322,2320</t>
  </si>
  <si>
    <t>fact 370,371</t>
  </si>
  <si>
    <t>fact 5249, 5250</t>
  </si>
  <si>
    <t>Q4752</t>
  </si>
  <si>
    <t>hoja + 9.5 ju 16 mar</t>
  </si>
  <si>
    <t>Q4753</t>
  </si>
  <si>
    <t>fact 373,374</t>
  </si>
  <si>
    <t>nlse17-45</t>
  </si>
  <si>
    <t>hoja + 10.5 vi 17 mar</t>
  </si>
  <si>
    <t>fact 376,377</t>
  </si>
  <si>
    <t>fact 5260,5261</t>
  </si>
  <si>
    <t>Cuero Belly Fco</t>
  </si>
  <si>
    <t>6 combos</t>
  </si>
  <si>
    <t>fact 49656</t>
  </si>
  <si>
    <t>nl17-25</t>
  </si>
  <si>
    <t>hoja + 10 vi 17 mar</t>
  </si>
  <si>
    <t>fact 380,381</t>
  </si>
  <si>
    <t>fact 888,889</t>
  </si>
  <si>
    <t>nlse17-46</t>
  </si>
  <si>
    <t>hoja + 10.5 ma 21 mar</t>
  </si>
  <si>
    <t>fact 386, 387</t>
  </si>
  <si>
    <t>fact 890, 891</t>
  </si>
  <si>
    <t>Menudo</t>
  </si>
  <si>
    <t>excel 86M</t>
  </si>
  <si>
    <t>680 cajas</t>
  </si>
  <si>
    <t>fact 939442</t>
  </si>
  <si>
    <t>Esp de carnero</t>
  </si>
  <si>
    <t>Alliance</t>
  </si>
  <si>
    <t>240 cajas</t>
  </si>
  <si>
    <t>fact 939538</t>
  </si>
  <si>
    <t>Filete BASA</t>
  </si>
  <si>
    <t>fact PUI545</t>
  </si>
  <si>
    <t>nl17-26</t>
  </si>
  <si>
    <t>hoja + 10 ju 23 mar</t>
  </si>
  <si>
    <t>Q4754</t>
  </si>
  <si>
    <t>hoja + 9.5 mi 22 mar</t>
  </si>
  <si>
    <t>fact 5281,5282</t>
  </si>
  <si>
    <t>Q4755</t>
  </si>
  <si>
    <t>hoja + 9.5 ju 23 mar</t>
  </si>
  <si>
    <t>fact 5287, 5288</t>
  </si>
  <si>
    <t>fact 49821</t>
  </si>
  <si>
    <t>Media Res</t>
  </si>
  <si>
    <t>el 100</t>
  </si>
  <si>
    <t>Carnes el 100</t>
  </si>
  <si>
    <t>12 medias</t>
  </si>
  <si>
    <t>fact 84744</t>
  </si>
  <si>
    <t>Delantero</t>
  </si>
  <si>
    <t>6 del</t>
  </si>
  <si>
    <t>Arrachera nat</t>
  </si>
  <si>
    <t>Espinazo entero</t>
  </si>
  <si>
    <t>nlse17-47</t>
  </si>
  <si>
    <t>hoja + 10.5 vi 24 mar</t>
  </si>
  <si>
    <t>fact 5294,5295</t>
  </si>
  <si>
    <t>fact 898,899</t>
  </si>
  <si>
    <t>nl17-27</t>
  </si>
  <si>
    <t>hoja + 10 vi 24 mar</t>
  </si>
  <si>
    <t>fact 900,901</t>
  </si>
  <si>
    <t>fact 395,396</t>
  </si>
  <si>
    <t>Abril 2017</t>
  </si>
  <si>
    <t>nlse17-48</t>
  </si>
  <si>
    <t>hoja + 10.5 ma 28 mar</t>
  </si>
  <si>
    <t>nlse17-49</t>
  </si>
  <si>
    <t>Porc Paso Blanco</t>
  </si>
  <si>
    <t>fact 2266,2267</t>
  </si>
  <si>
    <t>fact 5305,5306</t>
  </si>
  <si>
    <t>fact 5308,5309</t>
  </si>
  <si>
    <t>nl17-28</t>
  </si>
  <si>
    <t>hoja + 10 ju 30 mzo</t>
  </si>
  <si>
    <t>X4015</t>
  </si>
  <si>
    <t>hoja + 9.5 mi 29 mzo</t>
  </si>
  <si>
    <t>fact 912,913</t>
  </si>
  <si>
    <t>X4030</t>
  </si>
  <si>
    <t>hoja + 9.5 ju 30 mzo</t>
  </si>
  <si>
    <t>fact 5315,5316</t>
  </si>
  <si>
    <t>Atun Porcion</t>
  </si>
  <si>
    <t>baja bay</t>
  </si>
  <si>
    <t>fact PUI570</t>
  </si>
  <si>
    <t>Salmon Porcion</t>
  </si>
  <si>
    <t>ensenada</t>
  </si>
  <si>
    <t>Filete Tilapia  3/5</t>
  </si>
  <si>
    <t>Camaron c/cab 30-40</t>
  </si>
  <si>
    <t>Cuero belly fco</t>
  </si>
  <si>
    <t>3 combos</t>
  </si>
  <si>
    <t>fact 50110</t>
  </si>
  <si>
    <t>nlse17-50</t>
  </si>
  <si>
    <t>hoja + 10.5 vi 31 mzo</t>
  </si>
  <si>
    <t>fact 926,927</t>
  </si>
  <si>
    <t>fact 5324,5325</t>
  </si>
  <si>
    <t>nl17-29</t>
  </si>
  <si>
    <t>hoja + 10 vi 31 mar</t>
  </si>
  <si>
    <t>X4031</t>
  </si>
  <si>
    <t>hoja + 9.5 lu 03 abr</t>
  </si>
  <si>
    <t>Agrop Las Reses</t>
  </si>
  <si>
    <t>fact 6014,6015</t>
  </si>
  <si>
    <t>fact 915,916</t>
  </si>
  <si>
    <t>Delta</t>
  </si>
  <si>
    <t>fact 90196</t>
  </si>
  <si>
    <t>nlse17-51</t>
  </si>
  <si>
    <t>hoja + 10.5 ma 4 abr</t>
  </si>
  <si>
    <t>20 cajas</t>
  </si>
  <si>
    <t>fact PUI580</t>
  </si>
  <si>
    <t>Torres</t>
  </si>
  <si>
    <t>fact 6668</t>
  </si>
  <si>
    <t>fact 90393</t>
  </si>
  <si>
    <t>fact 90414</t>
  </si>
  <si>
    <t>nl17-30</t>
  </si>
  <si>
    <t>hoja + 10 ju 6 abr</t>
  </si>
  <si>
    <t>X4032</t>
  </si>
  <si>
    <t>hoja + 9.5 mi 5 abr</t>
  </si>
  <si>
    <t>X4033</t>
  </si>
  <si>
    <t>hoja + 9.5 ju 06 abr</t>
  </si>
  <si>
    <t>nlse17-52</t>
  </si>
  <si>
    <t>hoja + 10.5 ju 06 abr</t>
  </si>
  <si>
    <t>fact 6669</t>
  </si>
  <si>
    <t>fact 6670</t>
  </si>
  <si>
    <t>10 cajas</t>
  </si>
  <si>
    <t>Filete Tilapia  5/7</t>
  </si>
  <si>
    <t>fact 50277</t>
  </si>
  <si>
    <t>nlse17-53</t>
  </si>
  <si>
    <t>hoja + 10.5 vi 07 abr</t>
  </si>
  <si>
    <t>fact  940,941</t>
  </si>
  <si>
    <t>fact 923, 924</t>
  </si>
  <si>
    <t>fact 6025,6026</t>
  </si>
  <si>
    <t>nl17-31</t>
  </si>
  <si>
    <t>hoja + 10 ju 13 abr</t>
  </si>
  <si>
    <t>Y5642</t>
  </si>
  <si>
    <t>hoja + 9.5 mi 12 abr</t>
  </si>
  <si>
    <t>fact 947, 948</t>
  </si>
  <si>
    <t>X4034</t>
  </si>
  <si>
    <t>hoja + 9.5 ju 13 abr</t>
  </si>
  <si>
    <t>nlse17-54</t>
  </si>
  <si>
    <t>fact 6034,6035</t>
  </si>
  <si>
    <t>22 combos</t>
  </si>
  <si>
    <t>nl17-32</t>
  </si>
  <si>
    <t>hoja + 10 vi 14 abr</t>
  </si>
  <si>
    <t>X4035</t>
  </si>
  <si>
    <t>hoja + 9.5 lu 17 abr</t>
  </si>
  <si>
    <t>fact 5352,5353</t>
  </si>
  <si>
    <t>fact 5350,5351</t>
  </si>
  <si>
    <t>PUI620</t>
  </si>
  <si>
    <t>Filete Tilapia</t>
  </si>
  <si>
    <t>3-5</t>
  </si>
  <si>
    <t>221 cajas</t>
  </si>
  <si>
    <t>nlse17-55</t>
  </si>
  <si>
    <t>hoja + 10.5 ma 18 abr</t>
  </si>
  <si>
    <t>fact 50485</t>
  </si>
  <si>
    <t>fact 5364,5365</t>
  </si>
  <si>
    <t>fact 5178,5179</t>
  </si>
  <si>
    <t>fact 2354,2355</t>
  </si>
  <si>
    <t>nl17-33</t>
  </si>
  <si>
    <t>hoja + 10 ju 20 abr</t>
  </si>
  <si>
    <t>X4036</t>
  </si>
  <si>
    <t>hoja + 9.5 mi 19 abr</t>
  </si>
  <si>
    <t>fact 5366,5367</t>
  </si>
  <si>
    <t>X4037</t>
  </si>
  <si>
    <t>hoja + 9.5 ju 20 abr</t>
  </si>
  <si>
    <t>nlse17-57</t>
  </si>
  <si>
    <t>hoja + 10.5 vi 21 abr</t>
  </si>
  <si>
    <t>fact 6050, 6051</t>
  </si>
  <si>
    <t>Agrop El &gt;Topete</t>
  </si>
  <si>
    <t>fact 5381,5382</t>
  </si>
  <si>
    <t>nl17-34</t>
  </si>
  <si>
    <t>hoja + 10 vi 21 abr</t>
  </si>
  <si>
    <t>X4038</t>
  </si>
  <si>
    <t>hoja + 9.5 lu 24 abr</t>
  </si>
  <si>
    <t>fact 5386,5387</t>
  </si>
  <si>
    <t>fact 6054,6055</t>
  </si>
  <si>
    <t>nlse17-56</t>
  </si>
  <si>
    <t>hoja + 10.5 ma 25 abr</t>
  </si>
  <si>
    <t>fact 50731</t>
  </si>
  <si>
    <t xml:space="preserve">Menudo </t>
  </si>
  <si>
    <t>fact 947407</t>
  </si>
  <si>
    <t xml:space="preserve">Contra </t>
  </si>
  <si>
    <t xml:space="preserve">excel   </t>
  </si>
  <si>
    <t>586 cajas</t>
  </si>
  <si>
    <t>fact 947404</t>
  </si>
  <si>
    <t>fact 980,981,982,983</t>
  </si>
  <si>
    <t>200+129</t>
  </si>
  <si>
    <t>Junio 2017</t>
  </si>
  <si>
    <t>fact 1086, 1087</t>
  </si>
  <si>
    <t>fact 1081, 1082</t>
  </si>
  <si>
    <t>nlse17-70</t>
  </si>
  <si>
    <t>hoja + 10.5 lu 29 may</t>
  </si>
  <si>
    <t>nlse17-71</t>
  </si>
  <si>
    <t>fact 1018,1019</t>
  </si>
  <si>
    <t>Dorado y La Gaby</t>
  </si>
  <si>
    <t>fact 1094,1095, 5243,5244</t>
  </si>
  <si>
    <t>Esp Carnero</t>
  </si>
  <si>
    <t>Roel</t>
  </si>
  <si>
    <t>49 cajasa</t>
  </si>
  <si>
    <t>fact H3087</t>
  </si>
  <si>
    <t>nlse17-72</t>
  </si>
  <si>
    <t>hoja + 10.5 ma 30 may</t>
  </si>
  <si>
    <t>86M excell</t>
  </si>
  <si>
    <t>fact 955845</t>
  </si>
  <si>
    <t>fact 5252, 5253</t>
  </si>
  <si>
    <t>fact 2492,2493</t>
  </si>
  <si>
    <t>nl17-45</t>
  </si>
  <si>
    <t>hoja + 10 ju 1 jun</t>
  </si>
  <si>
    <t>hoja + 9.5 mi 31 may</t>
  </si>
  <si>
    <t>Agrop La Chemita</t>
  </si>
  <si>
    <t>fact 3453, 3454</t>
  </si>
  <si>
    <t>hoja + 9.5 ju 1 jun</t>
  </si>
  <si>
    <t>fact 5257, 5258</t>
  </si>
  <si>
    <t>nlse17-73</t>
  </si>
  <si>
    <t>hoja + 10.5 vi 2 jun</t>
  </si>
  <si>
    <t>fact 1105, 1106</t>
  </si>
  <si>
    <t>fact 5280, 5281</t>
  </si>
  <si>
    <t>fact 51898</t>
  </si>
  <si>
    <t>nl17-46</t>
  </si>
  <si>
    <t>hoja + 10 vi 2 jun</t>
  </si>
  <si>
    <t>nlse17-74</t>
  </si>
  <si>
    <t>hoja + 10.5 lu 5 jun</t>
  </si>
  <si>
    <t>fact 5284,5285</t>
  </si>
  <si>
    <t>fact 5506,5507</t>
  </si>
  <si>
    <t>5/7 baja bay</t>
  </si>
  <si>
    <t>200 cajas</t>
  </si>
  <si>
    <t>fact PUI828</t>
  </si>
  <si>
    <t>252 cajas</t>
  </si>
  <si>
    <t>fact H3104</t>
  </si>
  <si>
    <t>nlse17-75</t>
  </si>
  <si>
    <t>hoja + 10.5 ma 6 jun</t>
  </si>
  <si>
    <t>fact 5290, 5291</t>
  </si>
  <si>
    <t>fact 6128, 6129</t>
  </si>
  <si>
    <t>fact 52028</t>
  </si>
  <si>
    <t>nl17-47</t>
  </si>
  <si>
    <t>hoja + 10 ju 8 jun</t>
  </si>
  <si>
    <t>hoja + 9.5 mi 7 jun</t>
  </si>
  <si>
    <t>fact 5293,5294</t>
  </si>
  <si>
    <t>hoja + 9.5 ju 8 jun</t>
  </si>
  <si>
    <t>fact 3464, 3465</t>
  </si>
  <si>
    <t>nlse17-76</t>
  </si>
  <si>
    <t>hoja + 10.5 lu 12 jun</t>
  </si>
  <si>
    <t>fact 5296,5297</t>
  </si>
  <si>
    <t>fact 5515,5516</t>
  </si>
  <si>
    <t>nl17-48</t>
  </si>
  <si>
    <t>hoja + 10 vi 9 jun</t>
  </si>
  <si>
    <t>nlse17-77</t>
  </si>
  <si>
    <t>fact 5299, 5300</t>
  </si>
  <si>
    <t xml:space="preserve">Agrop El Dorado </t>
  </si>
  <si>
    <t>fact 1121,1122</t>
  </si>
  <si>
    <t>fact 52143</t>
  </si>
  <si>
    <t>nlse17-78</t>
  </si>
  <si>
    <t>hoja + 10.5 ma 13 jun</t>
  </si>
  <si>
    <t>fact 2511,2512</t>
  </si>
  <si>
    <t>fact 5311,5312</t>
  </si>
  <si>
    <t>nl17-49</t>
  </si>
  <si>
    <t>hoja + 10 ju 15 jun</t>
  </si>
  <si>
    <t>hoja + 9.5 mi 14 jun</t>
  </si>
  <si>
    <t>fact 5519, 5520</t>
  </si>
  <si>
    <t>hoja + 9.5 ju 15 jun</t>
  </si>
  <si>
    <t>fact 5316,5317</t>
  </si>
  <si>
    <t>nlse17-79</t>
  </si>
  <si>
    <t>hoja + 10.5 vi 16 jun</t>
  </si>
  <si>
    <t>fact 5323, 5324</t>
  </si>
  <si>
    <t>fact 5525,5526</t>
  </si>
  <si>
    <t>nl17-50</t>
  </si>
  <si>
    <t>hoja + 10 vi 16 jun</t>
  </si>
  <si>
    <t>nlse17-80</t>
  </si>
  <si>
    <t>hoja + 10.5 lu 19 jun</t>
  </si>
  <si>
    <t>excell</t>
  </si>
  <si>
    <t>330 cajas</t>
  </si>
  <si>
    <t>Camaron c/cabeza</t>
  </si>
  <si>
    <t>30-40</t>
  </si>
  <si>
    <t>fact 893</t>
  </si>
  <si>
    <t>Salmon al vacio</t>
  </si>
  <si>
    <t>porcion 2/4</t>
  </si>
  <si>
    <t xml:space="preserve">  "  "</t>
  </si>
  <si>
    <t>Atun al vacio</t>
  </si>
  <si>
    <t>porcion 8/10</t>
  </si>
  <si>
    <t>fact 3481, 3482</t>
  </si>
  <si>
    <t>fact 2526, 2527</t>
  </si>
  <si>
    <t>nlse17-81</t>
  </si>
  <si>
    <t>hoja + 10.5 ma 20 jun</t>
  </si>
  <si>
    <t>fact 52368</t>
  </si>
  <si>
    <t>Agrop Topete y Gaby</t>
  </si>
  <si>
    <t>fact 5534,5535,5329,5330</t>
  </si>
  <si>
    <t>fact 5536,5537</t>
  </si>
  <si>
    <t>nl17-51</t>
  </si>
  <si>
    <t>hoja + 10 ju 22 jun</t>
  </si>
  <si>
    <t>hoja + 9.5 mi 21 jun</t>
  </si>
  <si>
    <t>fact 5332, 5333</t>
  </si>
  <si>
    <t>fact 52393</t>
  </si>
  <si>
    <t>Buche</t>
  </si>
  <si>
    <t>Saga</t>
  </si>
  <si>
    <t>250 cajas</t>
  </si>
  <si>
    <t>hoja + 9.5 ju 22 jun</t>
  </si>
  <si>
    <t>fact 6146,6147</t>
  </si>
  <si>
    <t>nlse17-82</t>
  </si>
  <si>
    <t>hoja + 10.5 vi 23 jun</t>
  </si>
  <si>
    <t>fact 6157, 6158</t>
  </si>
  <si>
    <t>Esp de Carnero</t>
  </si>
  <si>
    <t>235 cajas</t>
  </si>
  <si>
    <t>fact H3241</t>
  </si>
  <si>
    <t>nl17-52</t>
  </si>
  <si>
    <t>hoja + 10 vi 23 jun</t>
  </si>
  <si>
    <t>fact 3511, 3512</t>
  </si>
  <si>
    <t>fact 2357, 2358</t>
  </si>
  <si>
    <t>Julio 2017</t>
  </si>
  <si>
    <t>nlse17-83</t>
  </si>
  <si>
    <t>hoja + 10.5 lu 26 jun</t>
  </si>
  <si>
    <t>nlse17-84</t>
  </si>
  <si>
    <t>hoja + 10.5 ma 27 jun</t>
  </si>
  <si>
    <t>Manitas</t>
  </si>
  <si>
    <t>GF</t>
  </si>
  <si>
    <t>30 cajas</t>
  </si>
  <si>
    <t>PUI1976</t>
  </si>
  <si>
    <t>Porc Soto y Paso Blanco</t>
  </si>
  <si>
    <t>fact 1033,1034,2363,2364</t>
  </si>
  <si>
    <t>fact 6163, 6164</t>
  </si>
  <si>
    <t>nl17-53</t>
  </si>
  <si>
    <t>hoja + 9.5  ju 29 jun</t>
  </si>
  <si>
    <t>G8659</t>
  </si>
  <si>
    <t>hoja + 9.5 mi 28 jun</t>
  </si>
  <si>
    <t>G8685</t>
  </si>
  <si>
    <t>fact 5361,5362</t>
  </si>
  <si>
    <t xml:space="preserve">Porc Soto  </t>
  </si>
  <si>
    <t>fact 1040, 1041</t>
  </si>
  <si>
    <t>nlse17-85</t>
  </si>
  <si>
    <t>fact 1043,1044</t>
  </si>
  <si>
    <t>fact 6174,6175</t>
  </si>
  <si>
    <t>nl17-54</t>
  </si>
  <si>
    <t>fact 6176,6177</t>
  </si>
  <si>
    <t>fact 1046,1047</t>
  </si>
  <si>
    <t>fact 52674</t>
  </si>
  <si>
    <t>18 combos</t>
  </si>
  <si>
    <t>nlse17-86</t>
  </si>
  <si>
    <t>Excell 86M</t>
  </si>
  <si>
    <t>Ryc</t>
  </si>
  <si>
    <t>686 cajas</t>
  </si>
  <si>
    <t>fact 964286</t>
  </si>
  <si>
    <t>fact 3539, 3540</t>
  </si>
  <si>
    <t>fact 6181, 6182</t>
  </si>
  <si>
    <t>fact 52720</t>
  </si>
  <si>
    <t>nl17-55</t>
  </si>
  <si>
    <t>hoja + 9.5 ju 6 jul</t>
  </si>
  <si>
    <t>nl17-56</t>
  </si>
  <si>
    <t>G8686</t>
  </si>
  <si>
    <t>hoja + 9.5 vi 7 jul</t>
  </si>
  <si>
    <t>fact 3542, 3543</t>
  </si>
  <si>
    <t>G8687</t>
  </si>
  <si>
    <t>fact 2563, 2564</t>
  </si>
  <si>
    <t>nlse17-87</t>
  </si>
  <si>
    <t>hoja + 10.5 vi 7 jul</t>
  </si>
  <si>
    <t>fact 5392,5393</t>
  </si>
  <si>
    <t>fact 6190,6191</t>
  </si>
  <si>
    <t>26 cajas</t>
  </si>
  <si>
    <t>fact 965639</t>
  </si>
  <si>
    <t>fact 3548,3549</t>
  </si>
  <si>
    <t>fact 2567,2568</t>
  </si>
  <si>
    <t>baja bay 5/7</t>
  </si>
  <si>
    <t>fact 993</t>
  </si>
  <si>
    <t>fact 52868</t>
  </si>
  <si>
    <t>nlse17-88</t>
  </si>
  <si>
    <t>hoja + 10.5 ma 11 jul</t>
  </si>
  <si>
    <t>fact 2572,2573,115</t>
  </si>
  <si>
    <t>fact 5403,5404</t>
  </si>
  <si>
    <t>Filete Tilapia 3/5</t>
  </si>
  <si>
    <t>67 cajas</t>
  </si>
  <si>
    <t>fact 52820</t>
  </si>
  <si>
    <t>rem 61101</t>
  </si>
  <si>
    <t>nl17-57</t>
  </si>
  <si>
    <t>hoja + 9.5 ju 13 jul</t>
  </si>
  <si>
    <t>G8688</t>
  </si>
  <si>
    <t>hoja + 9.5 mi 12 jul</t>
  </si>
  <si>
    <t>G8689</t>
  </si>
  <si>
    <t>fact 3552,3553</t>
  </si>
  <si>
    <t>fact 5405,5406</t>
  </si>
  <si>
    <t>nlse17-89</t>
  </si>
  <si>
    <t>hoja + 10.5 vi 14 jul</t>
  </si>
  <si>
    <t>fact 5410,5411</t>
  </si>
  <si>
    <t>fact 2402,2403</t>
  </si>
  <si>
    <t>nl17-58</t>
  </si>
  <si>
    <t>hoja + 9.5 vi 14 jul</t>
  </si>
  <si>
    <t>fact 5413,5414</t>
  </si>
  <si>
    <t>fact 52995</t>
  </si>
  <si>
    <t>rem 61578</t>
  </si>
  <si>
    <t>nlse17-90</t>
  </si>
  <si>
    <t>hoja + 10.5 ma 18 jul</t>
  </si>
  <si>
    <t>fact 5416,5417</t>
  </si>
  <si>
    <t>fact 5421,5422,340</t>
  </si>
  <si>
    <t>nl17-59</t>
  </si>
  <si>
    <t>sanchez</t>
  </si>
  <si>
    <t>hoja + 9.5 ju 20 jul</t>
  </si>
  <si>
    <t>G8690</t>
  </si>
  <si>
    <t>hoja + 9.5 mi 19 jul</t>
  </si>
  <si>
    <t>G8691</t>
  </si>
  <si>
    <t>fact 5569,5570,324</t>
  </si>
  <si>
    <t>fact 5427,5428,341</t>
  </si>
  <si>
    <t>nlse17-91</t>
  </si>
  <si>
    <t>hoja + 10.5 vi 21 jul</t>
  </si>
  <si>
    <t>Ranch San Felipe</t>
  </si>
  <si>
    <t>fact 445,446,9</t>
  </si>
  <si>
    <t>fact 5574,5575</t>
  </si>
  <si>
    <t>nl17-60</t>
  </si>
  <si>
    <t>hoja + 9.5 vi 21 jul</t>
  </si>
  <si>
    <t>fact 5435,5436</t>
  </si>
  <si>
    <t>fact 2584,2585</t>
  </si>
  <si>
    <t>fact 53145</t>
  </si>
  <si>
    <t>rem 62060</t>
  </si>
  <si>
    <t>nlse17-92</t>
  </si>
  <si>
    <t>hoja + 10.5 ma 25 jul</t>
  </si>
  <si>
    <t>fact 5440,5441,342</t>
  </si>
  <si>
    <t>Agropor El Dorado</t>
  </si>
  <si>
    <t>fact 1160,1161</t>
  </si>
  <si>
    <t>Excel</t>
  </si>
  <si>
    <t>614 cajas</t>
  </si>
  <si>
    <t>fact 969312</t>
  </si>
  <si>
    <t>Agosto 2017</t>
  </si>
  <si>
    <t>nl17-61</t>
  </si>
  <si>
    <t>hoja + 9.5 ju 27 jul</t>
  </si>
  <si>
    <t>G8692</t>
  </si>
  <si>
    <t>hoja + 9.5 mi 26 jul</t>
  </si>
  <si>
    <t>fact 5444,5445</t>
  </si>
  <si>
    <t>G8693</t>
  </si>
  <si>
    <t>fact 5446,5447</t>
  </si>
  <si>
    <t>nlse17-93</t>
  </si>
  <si>
    <t>hoja + 10.5 vi 28 jul</t>
  </si>
  <si>
    <t>fact 1165,1166</t>
  </si>
  <si>
    <t>FACT 5450,5451</t>
  </si>
  <si>
    <t>nl17-62</t>
  </si>
  <si>
    <t>hoja + 10 vi 28 jul</t>
  </si>
  <si>
    <t>Rancho San Felipe</t>
  </si>
  <si>
    <t>fact 455,456</t>
  </si>
  <si>
    <t>fact 2421,2422</t>
  </si>
  <si>
    <t>nlse17-94</t>
  </si>
  <si>
    <t>hoja + 10.5 ma 1 ago</t>
  </si>
  <si>
    <t>fact 1174,1175</t>
  </si>
  <si>
    <t>fact 5594,5591</t>
  </si>
  <si>
    <t>nl17-63</t>
  </si>
  <si>
    <t>hoja + 9.5 ju 3 ago</t>
  </si>
  <si>
    <t>L9662</t>
  </si>
  <si>
    <t>hoja + 9.5 mi 2 ago</t>
  </si>
  <si>
    <t>2 combos</t>
  </si>
  <si>
    <t>fact 53390</t>
  </si>
  <si>
    <t>nl17-64</t>
  </si>
  <si>
    <t>fact 5592, 5593</t>
  </si>
  <si>
    <t>L9666</t>
  </si>
  <si>
    <t>5/7 Baja Bay</t>
  </si>
  <si>
    <t>fact PUI1142</t>
  </si>
  <si>
    <t>6/8 Baja Bay</t>
  </si>
  <si>
    <t>nlse17-95</t>
  </si>
  <si>
    <t>hoja + 10.5 vi 4 ago</t>
  </si>
  <si>
    <t>fact 5458, 5459</t>
  </si>
  <si>
    <t>fact 2432, 2433</t>
  </si>
  <si>
    <t>2/3 y 5/7</t>
  </si>
  <si>
    <t>15 cajas</t>
  </si>
  <si>
    <t>fact PUI1159</t>
  </si>
  <si>
    <t>45-50</t>
  </si>
  <si>
    <t xml:space="preserve">Agrop La Chemita </t>
  </si>
  <si>
    <t>fact 2593, 3594</t>
  </si>
  <si>
    <t>fact 1185, 1186</t>
  </si>
  <si>
    <t>nlse17-96</t>
  </si>
  <si>
    <t>hoja + 10.5 ma 8 ago</t>
  </si>
  <si>
    <t>3/5  3 Mares</t>
  </si>
  <si>
    <t>90 cajas</t>
  </si>
  <si>
    <t>fact PUI1180</t>
  </si>
  <si>
    <t>fact 1193,1194</t>
  </si>
  <si>
    <t>fact 5601,5602</t>
  </si>
  <si>
    <t>Cabeza c/papada</t>
  </si>
  <si>
    <t>Granjero Feliz</t>
  </si>
  <si>
    <t>127 cajas</t>
  </si>
  <si>
    <t>fact PCI3223</t>
  </si>
  <si>
    <t>fact 53570</t>
  </si>
  <si>
    <t>nl17-65</t>
  </si>
  <si>
    <t>hoja + 9.5 ju 10 ago</t>
  </si>
  <si>
    <t>L9677</t>
  </si>
  <si>
    <t>hoja + 9.5 mi 9 ago</t>
  </si>
  <si>
    <t>fact 5465, 5466</t>
  </si>
  <si>
    <t>L9678</t>
  </si>
  <si>
    <t xml:space="preserve">Gan Rancho San Felipe </t>
  </si>
  <si>
    <t>fact 464, 465</t>
  </si>
  <si>
    <t>fact H3506</t>
  </si>
  <si>
    <t>Aleman</t>
  </si>
  <si>
    <t>41 cajas</t>
  </si>
  <si>
    <t>Corbata al vacio</t>
  </si>
  <si>
    <t>120 cajas</t>
  </si>
  <si>
    <t>nlse17-97</t>
  </si>
  <si>
    <t>hoja + 10.5 vi 11 ago</t>
  </si>
  <si>
    <t>fact 5468,5469</t>
  </si>
  <si>
    <t>fact 2603,2604</t>
  </si>
  <si>
    <t>fact 5606,5607</t>
  </si>
  <si>
    <t>fact 2451, 2452</t>
  </si>
  <si>
    <t>nl17-66</t>
  </si>
  <si>
    <t>hoja + 9.5 lu 14 ago</t>
  </si>
  <si>
    <t>nlse17-98</t>
  </si>
  <si>
    <t>hoja + 10.5 ma 15 ago</t>
  </si>
  <si>
    <t>fact 53696</t>
  </si>
  <si>
    <t>Indiana</t>
  </si>
  <si>
    <t>8 combos</t>
  </si>
  <si>
    <t>fact 53695</t>
  </si>
  <si>
    <t>Grupo America</t>
  </si>
  <si>
    <t>fact B-612</t>
  </si>
  <si>
    <t>fact 5611, 5612</t>
  </si>
  <si>
    <t>fact 1207, 1208</t>
  </si>
  <si>
    <t>excel</t>
  </si>
  <si>
    <t>256 cajas</t>
  </si>
  <si>
    <t>fact H3531</t>
  </si>
  <si>
    <t>nl17-67</t>
  </si>
  <si>
    <t>hoja + 9.5 ju 17 ago</t>
  </si>
  <si>
    <t>L9679</t>
  </si>
  <si>
    <t>hoja + 9.5 mi 16 ago</t>
  </si>
  <si>
    <t>fact 5615,5617</t>
  </si>
  <si>
    <t>L9680</t>
  </si>
  <si>
    <t>fact 6222,6223,6224,6225</t>
  </si>
  <si>
    <t>cuero belly fco</t>
  </si>
  <si>
    <t>fact 53775</t>
  </si>
  <si>
    <t>nlse17-99</t>
  </si>
  <si>
    <t>hoja + 10.5 vi 18 ago</t>
  </si>
  <si>
    <t>fact 475,476</t>
  </si>
  <si>
    <t>fact 6226,6227</t>
  </si>
  <si>
    <t>Tyson</t>
  </si>
  <si>
    <t>9 combos</t>
  </si>
  <si>
    <t>fact H3544</t>
  </si>
  <si>
    <t>fact 477, 478</t>
  </si>
  <si>
    <t>fact 5619, 5620</t>
  </si>
  <si>
    <t>nl17-68</t>
  </si>
  <si>
    <t>hoja + 9.5 lu 21 ago</t>
  </si>
  <si>
    <t>nlse17-100</t>
  </si>
  <si>
    <t>hoja + 10.5 ma 22 ago</t>
  </si>
  <si>
    <t>fact 5822,5823</t>
  </si>
  <si>
    <t>fact 2616, 2617</t>
  </si>
  <si>
    <t>Cuero Belly  fco</t>
  </si>
  <si>
    <t>fact 53882</t>
  </si>
  <si>
    <t>nl17-69</t>
  </si>
  <si>
    <t>hoja + 9.5 ju 24 ago</t>
  </si>
  <si>
    <t>L9681</t>
  </si>
  <si>
    <t>hoja + 9.5 mi 23 ago</t>
  </si>
  <si>
    <t>Agrop Reses y Soto</t>
  </si>
  <si>
    <t>fact 6238,6237,1067,1068</t>
  </si>
  <si>
    <t>L9682</t>
  </si>
  <si>
    <t>fact 5627, 5628</t>
  </si>
  <si>
    <t>661 cajas</t>
  </si>
  <si>
    <t>fact 977164</t>
  </si>
  <si>
    <t>nlse17-101</t>
  </si>
  <si>
    <t>hoja + 10.5 vi 25 ago</t>
  </si>
  <si>
    <t>Gramjero Feliz</t>
  </si>
  <si>
    <t>56 cajas</t>
  </si>
  <si>
    <t>fact PUI2382</t>
  </si>
  <si>
    <t>fact 5632,5633</t>
  </si>
  <si>
    <t>fact 2622,2623</t>
  </si>
  <si>
    <t>124 cajas</t>
  </si>
  <si>
    <t>fact H3596</t>
  </si>
  <si>
    <t>Lengua de cerdo</t>
  </si>
  <si>
    <t>14 cajas</t>
  </si>
  <si>
    <t>Septiembre 2017</t>
  </si>
  <si>
    <t>fact 5513, 5514</t>
  </si>
  <si>
    <t>fact 5637, 5638</t>
  </si>
  <si>
    <t>fact 54015</t>
  </si>
  <si>
    <t>SAGA</t>
  </si>
  <si>
    <t>254 cajas</t>
  </si>
  <si>
    <t>fact 50089</t>
  </si>
  <si>
    <t>Cabeza C/papada</t>
  </si>
  <si>
    <t xml:space="preserve">GF </t>
  </si>
  <si>
    <t>68 cajas</t>
  </si>
  <si>
    <t>fact 2405</t>
  </si>
  <si>
    <t>nl17-70</t>
  </si>
  <si>
    <t>hoja + 9.5 lu 28 ago</t>
  </si>
  <si>
    <t>nlse17-102</t>
  </si>
  <si>
    <t>hoja + 10.5 ma 29 ago</t>
  </si>
  <si>
    <t>fact 5644</t>
  </si>
  <si>
    <t>19 combos</t>
  </si>
  <si>
    <t>nl17-B74</t>
  </si>
  <si>
    <t>TGP</t>
  </si>
  <si>
    <t>fact 5646, 5647</t>
  </si>
  <si>
    <t>nl17-71</t>
  </si>
  <si>
    <t>Contreras</t>
  </si>
  <si>
    <t>fact 5523,5524</t>
  </si>
  <si>
    <t>fact 5649, 5650</t>
  </si>
  <si>
    <t>nl17-B71</t>
  </si>
  <si>
    <t>hoja + 9.5 vi 1 sep</t>
  </si>
  <si>
    <t>nl17-B72</t>
  </si>
  <si>
    <t>nl17-B73</t>
  </si>
  <si>
    <t>hoja + 9.5 ju 31 ago</t>
  </si>
  <si>
    <t>fact 54124</t>
  </si>
  <si>
    <t>fact 5654,5655</t>
  </si>
  <si>
    <t>fact 2630,2631</t>
  </si>
  <si>
    <t>nlse17-103</t>
  </si>
  <si>
    <t>hoja + 10.5 lu 4 sep</t>
  </si>
  <si>
    <t>nlse17-104</t>
  </si>
  <si>
    <t>fact 5534,5535</t>
  </si>
  <si>
    <t>fact 2489,2490</t>
  </si>
  <si>
    <t>Tilapia</t>
  </si>
  <si>
    <t>5/7 marimex</t>
  </si>
  <si>
    <t>fact 1315</t>
  </si>
  <si>
    <t>fact 3332</t>
  </si>
  <si>
    <t>86M excel</t>
  </si>
  <si>
    <t>fact 979100</t>
  </si>
  <si>
    <t>nl17-72</t>
  </si>
  <si>
    <t>hoja + 9.5 lu 4 sep</t>
  </si>
  <si>
    <t>fact 5658, 5659</t>
  </si>
  <si>
    <t>fact 5663,5664</t>
  </si>
  <si>
    <t>nl17-73</t>
  </si>
  <si>
    <t>hoja + 9.5 ju 7 sep</t>
  </si>
  <si>
    <t>U3017</t>
  </si>
  <si>
    <t>hoja + 9.5 mi 6 sep</t>
  </si>
  <si>
    <t>nlse17-105</t>
  </si>
  <si>
    <t>hoja + 10.5 ju 7 sep</t>
  </si>
  <si>
    <t>fact 5660, 5661</t>
  </si>
  <si>
    <t>U3028</t>
  </si>
  <si>
    <t>fact 54271</t>
  </si>
  <si>
    <t>fact 5668, 5669</t>
  </si>
  <si>
    <t>nl1se17-106</t>
  </si>
  <si>
    <t>hoja + 10.5 vi 8 sep</t>
  </si>
  <si>
    <t>fact 5670,5671</t>
  </si>
  <si>
    <t>fact 1088, 1089</t>
  </si>
  <si>
    <t>Cabeza de cerdo</t>
  </si>
  <si>
    <t>17 cajas</t>
  </si>
  <si>
    <t>fact 2491</t>
  </si>
  <si>
    <t>nl17-74</t>
  </si>
  <si>
    <t>hoja + 9.5 vi 8 sep</t>
  </si>
  <si>
    <t>nlse17-107</t>
  </si>
  <si>
    <t>hoja + 10.5 lu 11 sep</t>
  </si>
  <si>
    <t>fact 5544,5545</t>
  </si>
  <si>
    <t>fact 2500,2501</t>
  </si>
  <si>
    <t>fact 5674,5675</t>
  </si>
  <si>
    <t>fact 1095,1096</t>
  </si>
  <si>
    <t>nl17-75</t>
  </si>
  <si>
    <t>hoja + 9.5 ju 14 sep</t>
  </si>
  <si>
    <t>U3029</t>
  </si>
  <si>
    <t>hoja + 9.5 mi 13 sep</t>
  </si>
  <si>
    <t>fact 5677,5678</t>
  </si>
  <si>
    <t>Ensenada 5/7</t>
  </si>
  <si>
    <t>fact PUI1405</t>
  </si>
  <si>
    <t>3Mares 3/5</t>
  </si>
  <si>
    <t xml:space="preserve">   "     "</t>
  </si>
  <si>
    <t>Baja Bay 6/8</t>
  </si>
  <si>
    <t>6/8</t>
  </si>
  <si>
    <t>U3030</t>
  </si>
  <si>
    <t>U3031</t>
  </si>
  <si>
    <t>fact 5681, 5682</t>
  </si>
  <si>
    <t>nl1se17-108</t>
  </si>
  <si>
    <t>hoja + 10.5 vi 15 sep</t>
  </si>
  <si>
    <t>fact 5683, 5684</t>
  </si>
  <si>
    <t>fact 6256, 6257</t>
  </si>
  <si>
    <t>259 cajas</t>
  </si>
  <si>
    <t>fact H3685</t>
  </si>
  <si>
    <t>fact 5687,5688</t>
  </si>
  <si>
    <t>fact 6259,6260</t>
  </si>
  <si>
    <t>nl17-76</t>
  </si>
  <si>
    <t>hoja + 9.5 vi 15 sep</t>
  </si>
  <si>
    <t>nlse17-109</t>
  </si>
  <si>
    <t>hoja + 10.5 lu 18 sep</t>
  </si>
  <si>
    <t>fact 5696, 5697</t>
  </si>
  <si>
    <t>fact 2644,2645</t>
  </si>
  <si>
    <t>6 cajas</t>
  </si>
  <si>
    <t>U3032</t>
  </si>
  <si>
    <t>hoja + 9.5 mi 20 sep</t>
  </si>
  <si>
    <t>fact 5704,5705</t>
  </si>
  <si>
    <t>fact 6275,6276</t>
  </si>
  <si>
    <t>U3033</t>
  </si>
  <si>
    <t>hoja + 9.5 ju 21 sep</t>
  </si>
  <si>
    <t>fact 5707,5708</t>
  </si>
  <si>
    <t>CANCELADA</t>
  </si>
  <si>
    <t>nl17-77</t>
  </si>
  <si>
    <t>CANECLADA</t>
  </si>
  <si>
    <t>nlse17-110</t>
  </si>
  <si>
    <t>hoja + 10.5 vi 22 sep</t>
  </si>
  <si>
    <t>fact 1104,1105</t>
  </si>
  <si>
    <t>fact 5710,5711</t>
  </si>
  <si>
    <t>nl17-78</t>
  </si>
  <si>
    <t>hoja + 9.5 vi 22 sep</t>
  </si>
  <si>
    <t>nlse17-111</t>
  </si>
  <si>
    <t>hoja + 10.5 lu 25 sep</t>
  </si>
  <si>
    <t>fact 6284,6285</t>
  </si>
  <si>
    <t>fact 1254,1255</t>
  </si>
  <si>
    <t>22 cajas</t>
  </si>
  <si>
    <t>fact PUI2587</t>
  </si>
  <si>
    <t>Octubre 2017</t>
  </si>
  <si>
    <t>fact 5718,5719</t>
  </si>
  <si>
    <t>fact 6296,6297</t>
  </si>
  <si>
    <t>fact 1266,1267</t>
  </si>
  <si>
    <t>nl17-79</t>
  </si>
  <si>
    <t>hoja + 9.5 ju 28 sep</t>
  </si>
  <si>
    <t>01412</t>
  </si>
  <si>
    <t>hoja + 9.5 mi 27 sep</t>
  </si>
  <si>
    <t>Porc Soto y El Dorado</t>
  </si>
  <si>
    <t>fact 1112, 1113</t>
  </si>
  <si>
    <t>01418</t>
  </si>
  <si>
    <t>fact 1116,117</t>
  </si>
  <si>
    <t>nlse17-112</t>
  </si>
  <si>
    <t>hoja + 10.5 vi 29 sep</t>
  </si>
  <si>
    <t>fact 1270,1271</t>
  </si>
  <si>
    <t>fact 6313,6314</t>
  </si>
  <si>
    <t>nlse17-114</t>
  </si>
  <si>
    <t>hoja + 10.5 ma 3 oct</t>
  </si>
  <si>
    <t>nlse17-113</t>
  </si>
  <si>
    <t>hoja + 10.5 lu 2 oct</t>
  </si>
  <si>
    <t>Agrop El topete</t>
  </si>
  <si>
    <t>fact 5722,5723</t>
  </si>
  <si>
    <t>fact 2654,2655</t>
  </si>
  <si>
    <t>nl17-80</t>
  </si>
  <si>
    <t>hoja + 9.5 vi 29 sep</t>
  </si>
  <si>
    <t>fact 3681, 3682</t>
  </si>
  <si>
    <t>Agrop Chemita y Dorado</t>
  </si>
  <si>
    <t>fact 3683,3684, 1281,1282</t>
  </si>
  <si>
    <t>nl17-81</t>
  </si>
  <si>
    <t>hoja + 9.5 ju 5 oct</t>
  </si>
  <si>
    <t>01419</t>
  </si>
  <si>
    <t>hoja + 9.5 mi 4 oct</t>
  </si>
  <si>
    <t>fact 527,5728</t>
  </si>
  <si>
    <t>Salmon porcion</t>
  </si>
  <si>
    <t>Ensenada</t>
  </si>
  <si>
    <t>fact PUI 1579</t>
  </si>
  <si>
    <t>5 combos</t>
  </si>
  <si>
    <t>fact 54867</t>
  </si>
  <si>
    <t>01420</t>
  </si>
  <si>
    <t>fact 1120, 1121</t>
  </si>
  <si>
    <t>nlse17-115</t>
  </si>
  <si>
    <t>hoja + 10.5 vi 6 oct</t>
  </si>
  <si>
    <t>fact 3686,3687</t>
  </si>
  <si>
    <t>fact 5731,5732</t>
  </si>
  <si>
    <t>nl17-82</t>
  </si>
  <si>
    <t>hoja + 9.5 vi 6 oct</t>
  </si>
  <si>
    <t>fact 3688,3689</t>
  </si>
  <si>
    <t>fact 1287, 1288</t>
  </si>
  <si>
    <t>nlse17-116</t>
  </si>
  <si>
    <t>hoja + 10.5 ma 10 oct</t>
  </si>
  <si>
    <t>fact 5739,5740</t>
  </si>
  <si>
    <t>fact 1290,1291</t>
  </si>
  <si>
    <t>fact 6348,6349</t>
  </si>
  <si>
    <t>fact 55023</t>
  </si>
  <si>
    <t>nl17-83</t>
  </si>
  <si>
    <t>hoja + 9.5 ju 12 oct</t>
  </si>
  <si>
    <t>01421</t>
  </si>
  <si>
    <t>hoja + 9.5 mi 11 oct</t>
  </si>
  <si>
    <t>fact 5741, 5742</t>
  </si>
  <si>
    <t>01422</t>
  </si>
  <si>
    <t>01423</t>
  </si>
  <si>
    <t>fact 1132,1133</t>
  </si>
  <si>
    <t>fact 5743, 5744</t>
  </si>
  <si>
    <t>Baja Bay 5/7</t>
  </si>
  <si>
    <t>400 cajas</t>
  </si>
  <si>
    <t>fact PUI1653</t>
  </si>
  <si>
    <t>Excel 86M</t>
  </si>
  <si>
    <t>368 cajas</t>
  </si>
  <si>
    <t>fact H3834</t>
  </si>
  <si>
    <t>237 cajas</t>
  </si>
  <si>
    <t>fact H3833</t>
  </si>
  <si>
    <t>nlse17-117</t>
  </si>
  <si>
    <t>hoja + 10.5 vi 13 oct</t>
  </si>
  <si>
    <t>fact 5584, 5585</t>
  </si>
  <si>
    <t>fact 2666, 2667</t>
  </si>
  <si>
    <t>nl17-84</t>
  </si>
  <si>
    <t>hoja + 9.5 vi 13 oct</t>
  </si>
  <si>
    <t>fact 3697,3698</t>
  </si>
  <si>
    <t>fact 5746,5747</t>
  </si>
  <si>
    <t>7 combos</t>
  </si>
  <si>
    <t>fact 55152</t>
  </si>
  <si>
    <t>fact 5752,5753</t>
  </si>
  <si>
    <t>fact 2672,2673</t>
  </si>
  <si>
    <t>fact 1299, 1300</t>
  </si>
  <si>
    <t>nl17-85</t>
  </si>
  <si>
    <t>hoja + 9.5 ju 19 oct</t>
  </si>
  <si>
    <t>01424</t>
  </si>
  <si>
    <t>hoja + 9.5 mi 18 oct</t>
  </si>
  <si>
    <t>fact 2675, 2676</t>
  </si>
  <si>
    <t>01425</t>
  </si>
  <si>
    <t>nlse17-118</t>
  </si>
  <si>
    <t>hoja + 10.5 vi 20 oct</t>
  </si>
  <si>
    <t>fact 5758, 5759</t>
  </si>
  <si>
    <t>nlse17-119</t>
  </si>
  <si>
    <t>nl17-86</t>
  </si>
  <si>
    <t>hoja + 9.5 vi 20 oct</t>
  </si>
  <si>
    <t>nlse17-120</t>
  </si>
  <si>
    <t>hoja + 10.5 ma 24 oct</t>
  </si>
  <si>
    <t>nl17-87</t>
  </si>
  <si>
    <t>hoja + 9.5 ju 26 oct</t>
  </si>
  <si>
    <t>01426</t>
  </si>
  <si>
    <t>hoja + 9.5 mi 25 oct</t>
  </si>
  <si>
    <t>01427</t>
  </si>
  <si>
    <t>01428</t>
  </si>
  <si>
    <t>nlse17-121</t>
  </si>
  <si>
    <t>hoja + 10.5 vi 27 oct</t>
  </si>
  <si>
    <t>nl17-88</t>
  </si>
  <si>
    <t>hoja + 9.5 vi 27 oct</t>
  </si>
  <si>
    <t>nlse17-122</t>
  </si>
  <si>
    <t>hoja + 10.5 ma 31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</si>
</sst>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&quot;$&quot;#,##0.000"/>
    <numFmt numFmtId="166" formatCode="&quot;$&quot;#,##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FF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9910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4">
    <xf numFmtId="0" fontId="0" fillId="0" borderId="0" xfId="0"/>
    <xf numFmtId="17" fontId="0" fillId="0" borderId="0" xfId="0" quotePrefix="1" applyNumberFormat="1"/>
    <xf numFmtId="164" fontId="0" fillId="0" borderId="0" xfId="0" applyNumberFormat="1"/>
    <xf numFmtId="164" fontId="0" fillId="0" borderId="0" xfId="0" applyNumberFormat="1" applyFont="1" applyFill="1" applyBorder="1"/>
    <xf numFmtId="44" fontId="0" fillId="0" borderId="0" xfId="1" applyFont="1"/>
    <xf numFmtId="0" fontId="0" fillId="0" borderId="1" xfId="0" applyFont="1" applyBorder="1"/>
    <xf numFmtId="0" fontId="0" fillId="0" borderId="1" xfId="0" applyFont="1" applyFill="1" applyBorder="1"/>
    <xf numFmtId="4" fontId="0" fillId="0" borderId="1" xfId="0" applyNumberFormat="1" applyFont="1" applyFill="1" applyBorder="1" applyAlignment="1">
      <alignment wrapText="1"/>
    </xf>
    <xf numFmtId="4" fontId="2" fillId="0" borderId="1" xfId="0" applyNumberFormat="1" applyFont="1" applyFill="1" applyBorder="1" applyAlignment="1">
      <alignment wrapText="1"/>
    </xf>
    <xf numFmtId="3" fontId="0" fillId="0" borderId="1" xfId="0" applyNumberFormat="1" applyFont="1" applyFill="1" applyBorder="1"/>
    <xf numFmtId="15" fontId="0" fillId="0" borderId="1" xfId="0" applyNumberFormat="1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164" fontId="2" fillId="0" borderId="1" xfId="0" applyNumberFormat="1" applyFont="1" applyFill="1" applyBorder="1" applyAlignment="1">
      <alignment wrapText="1"/>
    </xf>
    <xf numFmtId="164" fontId="0" fillId="0" borderId="1" xfId="0" applyNumberFormat="1" applyFont="1" applyFill="1" applyBorder="1" applyAlignment="1">
      <alignment wrapText="1"/>
    </xf>
    <xf numFmtId="44" fontId="0" fillId="0" borderId="1" xfId="1" applyFont="1" applyFill="1" applyBorder="1"/>
    <xf numFmtId="0" fontId="0" fillId="2" borderId="2" xfId="0" applyFont="1" applyFill="1" applyBorder="1" applyAlignment="1">
      <alignment textRotation="255"/>
    </xf>
    <xf numFmtId="0" fontId="0" fillId="0" borderId="3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4" fontId="3" fillId="0" borderId="0" xfId="0" applyNumberFormat="1" applyFont="1" applyFill="1" applyBorder="1"/>
    <xf numFmtId="4" fontId="0" fillId="0" borderId="0" xfId="0" applyNumberFormat="1" applyFont="1" applyFill="1" applyBorder="1"/>
    <xf numFmtId="0" fontId="0" fillId="0" borderId="0" xfId="0" applyFont="1"/>
    <xf numFmtId="0" fontId="0" fillId="3" borderId="0" xfId="0" applyFont="1" applyFill="1" applyBorder="1"/>
    <xf numFmtId="15" fontId="0" fillId="0" borderId="0" xfId="0" applyNumberFormat="1" applyFont="1" applyFill="1" applyBorder="1"/>
    <xf numFmtId="166" fontId="0" fillId="0" borderId="0" xfId="0" applyNumberFormat="1" applyFont="1" applyFill="1" applyBorder="1"/>
    <xf numFmtId="164" fontId="0" fillId="4" borderId="0" xfId="0" applyNumberFormat="1" applyFont="1" applyFill="1" applyBorder="1"/>
    <xf numFmtId="164" fontId="3" fillId="0" borderId="0" xfId="0" applyNumberFormat="1" applyFont="1" applyFill="1" applyBorder="1"/>
    <xf numFmtId="164" fontId="3" fillId="4" borderId="0" xfId="0" applyNumberFormat="1" applyFont="1" applyFill="1" applyBorder="1"/>
    <xf numFmtId="44" fontId="0" fillId="0" borderId="0" xfId="1" applyFont="1" applyFill="1" applyBorder="1"/>
    <xf numFmtId="14" fontId="0" fillId="0" borderId="4" xfId="0" applyNumberFormat="1" applyFont="1" applyFill="1" applyBorder="1"/>
    <xf numFmtId="165" fontId="0" fillId="0" borderId="0" xfId="0" applyNumberFormat="1" applyFont="1" applyFill="1" applyBorder="1"/>
    <xf numFmtId="164" fontId="3" fillId="5" borderId="0" xfId="0" applyNumberFormat="1" applyFont="1" applyFill="1" applyBorder="1"/>
    <xf numFmtId="164" fontId="0" fillId="6" borderId="0" xfId="0" applyNumberFormat="1" applyFont="1" applyFill="1" applyBorder="1"/>
    <xf numFmtId="0" fontId="0" fillId="0" borderId="5" xfId="0" applyFont="1" applyFill="1" applyBorder="1"/>
    <xf numFmtId="4" fontId="0" fillId="0" borderId="1" xfId="0" applyNumberFormat="1" applyFont="1" applyFill="1" applyBorder="1"/>
    <xf numFmtId="14" fontId="0" fillId="0" borderId="6" xfId="0" applyNumberFormat="1" applyFont="1" applyFill="1" applyBorder="1"/>
    <xf numFmtId="0" fontId="0" fillId="5" borderId="7" xfId="0" applyFont="1" applyFill="1" applyBorder="1" applyAlignment="1">
      <alignment textRotation="255"/>
    </xf>
    <xf numFmtId="0" fontId="0" fillId="0" borderId="8" xfId="0" applyFont="1" applyFill="1" applyBorder="1"/>
    <xf numFmtId="0" fontId="3" fillId="0" borderId="8" xfId="0" applyFont="1" applyFill="1" applyBorder="1"/>
    <xf numFmtId="4" fontId="3" fillId="0" borderId="8" xfId="0" applyNumberFormat="1" applyFont="1" applyFill="1" applyBorder="1"/>
    <xf numFmtId="4" fontId="0" fillId="0" borderId="8" xfId="0" applyNumberFormat="1" applyFont="1" applyFill="1" applyBorder="1"/>
    <xf numFmtId="15" fontId="0" fillId="0" borderId="8" xfId="0" applyNumberFormat="1" applyFont="1" applyFill="1" applyBorder="1"/>
    <xf numFmtId="164" fontId="0" fillId="0" borderId="8" xfId="0" applyNumberFormat="1" applyFont="1" applyFill="1" applyBorder="1"/>
    <xf numFmtId="165" fontId="0" fillId="0" borderId="8" xfId="0" applyNumberFormat="1" applyFont="1" applyFill="1" applyBorder="1"/>
    <xf numFmtId="164" fontId="0" fillId="6" borderId="8" xfId="0" applyNumberFormat="1" applyFont="1" applyFill="1" applyBorder="1"/>
    <xf numFmtId="164" fontId="3" fillId="0" borderId="8" xfId="0" applyNumberFormat="1" applyFont="1" applyFill="1" applyBorder="1"/>
    <xf numFmtId="44" fontId="0" fillId="0" borderId="8" xfId="1" applyFont="1" applyFill="1" applyBorder="1"/>
    <xf numFmtId="14" fontId="0" fillId="0" borderId="9" xfId="0" applyNumberFormat="1" applyFont="1" applyFill="1" applyBorder="1"/>
    <xf numFmtId="0" fontId="0" fillId="5" borderId="2" xfId="0" applyFont="1" applyFill="1" applyBorder="1" applyAlignment="1">
      <alignment textRotation="255"/>
    </xf>
    <xf numFmtId="0" fontId="0" fillId="7" borderId="0" xfId="0" applyFont="1" applyFill="1" applyBorder="1"/>
    <xf numFmtId="165" fontId="3" fillId="0" borderId="0" xfId="0" applyNumberFormat="1" applyFont="1" applyFill="1" applyBorder="1"/>
    <xf numFmtId="0" fontId="0" fillId="6" borderId="7" xfId="0" applyFont="1" applyFill="1" applyBorder="1" applyAlignment="1">
      <alignment textRotation="255"/>
    </xf>
    <xf numFmtId="164" fontId="0" fillId="8" borderId="8" xfId="0" applyNumberFormat="1" applyFont="1" applyFill="1" applyBorder="1"/>
    <xf numFmtId="0" fontId="0" fillId="6" borderId="2" xfId="0" applyFont="1" applyFill="1" applyBorder="1" applyAlignment="1">
      <alignment textRotation="255"/>
    </xf>
    <xf numFmtId="164" fontId="0" fillId="8" borderId="0" xfId="0" applyNumberFormat="1" applyFont="1" applyFill="1" applyBorder="1"/>
    <xf numFmtId="0" fontId="0" fillId="9" borderId="7" xfId="0" applyFont="1" applyFill="1" applyBorder="1" applyAlignment="1">
      <alignment textRotation="255"/>
    </xf>
    <xf numFmtId="164" fontId="0" fillId="4" borderId="8" xfId="0" applyNumberFormat="1" applyFont="1" applyFill="1" applyBorder="1"/>
    <xf numFmtId="0" fontId="0" fillId="9" borderId="2" xfId="0" applyFont="1" applyFill="1" applyBorder="1" applyAlignment="1">
      <alignment textRotation="255"/>
    </xf>
    <xf numFmtId="0" fontId="0" fillId="10" borderId="0" xfId="0" applyFont="1" applyFill="1" applyBorder="1"/>
    <xf numFmtId="0" fontId="0" fillId="11" borderId="7" xfId="0" applyFont="1" applyFill="1" applyBorder="1" applyAlignment="1">
      <alignment textRotation="255"/>
    </xf>
    <xf numFmtId="164" fontId="0" fillId="12" borderId="8" xfId="0" applyNumberFormat="1" applyFont="1" applyFill="1" applyBorder="1"/>
    <xf numFmtId="0" fontId="0" fillId="11" borderId="2" xfId="0" applyFont="1" applyFill="1" applyBorder="1" applyAlignment="1">
      <alignment textRotation="255"/>
    </xf>
    <xf numFmtId="164" fontId="0" fillId="12" borderId="0" xfId="0" applyNumberFormat="1" applyFont="1" applyFill="1" applyBorder="1"/>
    <xf numFmtId="164" fontId="0" fillId="3" borderId="0" xfId="0" applyNumberFormat="1" applyFont="1" applyFill="1" applyBorder="1"/>
    <xf numFmtId="0" fontId="0" fillId="5" borderId="0" xfId="0" applyFont="1" applyFill="1" applyBorder="1"/>
    <xf numFmtId="0" fontId="0" fillId="0" borderId="10" xfId="0" applyFont="1" applyBorder="1"/>
    <xf numFmtId="4" fontId="0" fillId="0" borderId="0" xfId="0" applyNumberFormat="1" applyFont="1" applyFill="1" applyBorder="1" applyAlignment="1">
      <alignment wrapText="1"/>
    </xf>
    <xf numFmtId="4" fontId="2" fillId="0" borderId="0" xfId="0" applyNumberFormat="1" applyFont="1" applyFill="1" applyBorder="1" applyAlignment="1">
      <alignment wrapText="1"/>
    </xf>
    <xf numFmtId="3" fontId="0" fillId="0" borderId="0" xfId="0" applyNumberFormat="1" applyFont="1" applyFill="1" applyBorder="1"/>
    <xf numFmtId="164" fontId="0" fillId="0" borderId="6" xfId="0" applyNumberFormat="1" applyFont="1" applyFill="1" applyBorder="1"/>
    <xf numFmtId="0" fontId="0" fillId="5" borderId="8" xfId="0" applyFont="1" applyFill="1" applyBorder="1"/>
    <xf numFmtId="164" fontId="3" fillId="4" borderId="8" xfId="0" applyNumberFormat="1" applyFont="1" applyFill="1" applyBorder="1"/>
    <xf numFmtId="0" fontId="0" fillId="0" borderId="0" xfId="0" applyFont="1" applyFill="1"/>
    <xf numFmtId="0" fontId="0" fillId="11" borderId="10" xfId="0" applyFont="1" applyFill="1" applyBorder="1" applyAlignment="1">
      <alignment textRotation="255"/>
    </xf>
    <xf numFmtId="0" fontId="0" fillId="13" borderId="7" xfId="0" applyFont="1" applyFill="1" applyBorder="1" applyAlignment="1">
      <alignment textRotation="255"/>
    </xf>
    <xf numFmtId="0" fontId="0" fillId="13" borderId="2" xfId="0" applyFont="1" applyFill="1" applyBorder="1" applyAlignment="1">
      <alignment textRotation="255"/>
    </xf>
    <xf numFmtId="0" fontId="0" fillId="13" borderId="10" xfId="0" applyFont="1" applyFill="1" applyBorder="1" applyAlignment="1">
      <alignment textRotation="255"/>
    </xf>
    <xf numFmtId="16" fontId="0" fillId="0" borderId="0" xfId="0" quotePrefix="1" applyNumberFormat="1" applyFont="1" applyFill="1" applyBorder="1"/>
    <xf numFmtId="0" fontId="0" fillId="5" borderId="10" xfId="0" applyFont="1" applyFill="1" applyBorder="1" applyAlignment="1">
      <alignment textRotation="255"/>
    </xf>
    <xf numFmtId="0" fontId="0" fillId="14" borderId="7" xfId="0" applyFont="1" applyFill="1" applyBorder="1" applyAlignment="1">
      <alignment textRotation="255"/>
    </xf>
    <xf numFmtId="0" fontId="0" fillId="14" borderId="2" xfId="0" applyFont="1" applyFill="1" applyBorder="1" applyAlignment="1">
      <alignment textRotation="255"/>
    </xf>
    <xf numFmtId="0" fontId="0" fillId="14" borderId="10" xfId="0" applyFont="1" applyFill="1" applyBorder="1" applyAlignment="1">
      <alignment textRotation="255"/>
    </xf>
    <xf numFmtId="15" fontId="0" fillId="5" borderId="8" xfId="0" applyNumberFormat="1" applyFont="1" applyFill="1" applyBorder="1"/>
    <xf numFmtId="0" fontId="0" fillId="9" borderId="10" xfId="0" applyFont="1" applyFill="1" applyBorder="1" applyAlignment="1">
      <alignment textRotation="255"/>
    </xf>
    <xf numFmtId="0" fontId="0" fillId="15" borderId="7" xfId="0" applyFont="1" applyFill="1" applyBorder="1" applyAlignment="1">
      <alignment textRotation="255"/>
    </xf>
    <xf numFmtId="0" fontId="0" fillId="15" borderId="2" xfId="0" applyFont="1" applyFill="1" applyBorder="1" applyAlignment="1">
      <alignment textRotation="255"/>
    </xf>
    <xf numFmtId="0" fontId="0" fillId="15" borderId="10" xfId="0" applyFont="1" applyFill="1" applyBorder="1" applyAlignment="1">
      <alignment textRotation="255"/>
    </xf>
    <xf numFmtId="0" fontId="0" fillId="16" borderId="7" xfId="0" applyFont="1" applyFill="1" applyBorder="1" applyAlignment="1">
      <alignment textRotation="255"/>
    </xf>
    <xf numFmtId="0" fontId="0" fillId="16" borderId="2" xfId="0" applyFont="1" applyFill="1" applyBorder="1" applyAlignment="1">
      <alignment textRotation="255"/>
    </xf>
    <xf numFmtId="0" fontId="0" fillId="16" borderId="10" xfId="0" applyFont="1" applyFill="1" applyBorder="1" applyAlignment="1">
      <alignment textRotation="255"/>
    </xf>
    <xf numFmtId="0" fontId="0" fillId="17" borderId="7" xfId="0" applyFont="1" applyFill="1" applyBorder="1" applyAlignment="1">
      <alignment textRotation="255"/>
    </xf>
    <xf numFmtId="0" fontId="0" fillId="17" borderId="2" xfId="0" applyFont="1" applyFill="1" applyBorder="1" applyAlignment="1">
      <alignment textRotation="255"/>
    </xf>
    <xf numFmtId="0" fontId="0" fillId="17" borderId="10" xfId="0" applyFont="1" applyFill="1" applyBorder="1" applyAlignment="1">
      <alignment textRotation="255"/>
    </xf>
    <xf numFmtId="0" fontId="0" fillId="10" borderId="7" xfId="0" applyFont="1" applyFill="1" applyBorder="1" applyAlignment="1">
      <alignment textRotation="255"/>
    </xf>
    <xf numFmtId="0" fontId="0" fillId="10" borderId="2" xfId="0" applyFont="1" applyFill="1" applyBorder="1" applyAlignment="1">
      <alignment textRotation="255"/>
    </xf>
    <xf numFmtId="166" fontId="0" fillId="3" borderId="0" xfId="0" applyNumberFormat="1" applyFont="1" applyFill="1" applyBorder="1"/>
    <xf numFmtId="0" fontId="0" fillId="10" borderId="10" xfId="0" applyFont="1" applyFill="1" applyBorder="1" applyAlignment="1">
      <alignment textRotation="255"/>
    </xf>
    <xf numFmtId="0" fontId="0" fillId="18" borderId="7" xfId="0" applyFont="1" applyFill="1" applyBorder="1" applyAlignment="1">
      <alignment textRotation="255"/>
    </xf>
    <xf numFmtId="2" fontId="3" fillId="0" borderId="8" xfId="0" applyNumberFormat="1" applyFont="1" applyFill="1" applyBorder="1"/>
    <xf numFmtId="0" fontId="0" fillId="18" borderId="2" xfId="0" applyFont="1" applyFill="1" applyBorder="1" applyAlignment="1">
      <alignment textRotation="255"/>
    </xf>
    <xf numFmtId="0" fontId="0" fillId="18" borderId="10" xfId="0" applyFont="1" applyFill="1" applyBorder="1" applyAlignment="1">
      <alignment textRotation="255"/>
    </xf>
    <xf numFmtId="0" fontId="0" fillId="19" borderId="7" xfId="0" applyFont="1" applyFill="1" applyBorder="1" applyAlignment="1">
      <alignment textRotation="255"/>
    </xf>
    <xf numFmtId="0" fontId="0" fillId="19" borderId="2" xfId="0" applyFont="1" applyFill="1" applyBorder="1" applyAlignment="1">
      <alignment textRotation="255"/>
    </xf>
    <xf numFmtId="164" fontId="0" fillId="20" borderId="0" xfId="0" applyNumberFormat="1" applyFont="1" applyFill="1" applyBorder="1"/>
    <xf numFmtId="0" fontId="0" fillId="21" borderId="0" xfId="0" applyFont="1" applyFill="1" applyBorder="1"/>
    <xf numFmtId="0" fontId="0" fillId="19" borderId="10" xfId="0" applyFont="1" applyFill="1" applyBorder="1" applyAlignment="1">
      <alignment textRotation="255"/>
    </xf>
    <xf numFmtId="0" fontId="0" fillId="22" borderId="7" xfId="0" applyFont="1" applyFill="1" applyBorder="1" applyAlignment="1">
      <alignment textRotation="255"/>
    </xf>
    <xf numFmtId="0" fontId="0" fillId="7" borderId="8" xfId="0" applyFont="1" applyFill="1" applyBorder="1"/>
    <xf numFmtId="0" fontId="0" fillId="22" borderId="2" xfId="0" applyFont="1" applyFill="1" applyBorder="1" applyAlignment="1">
      <alignment textRotation="255"/>
    </xf>
    <xf numFmtId="0" fontId="0" fillId="22" borderId="10" xfId="0" applyFont="1" applyFill="1" applyBorder="1" applyAlignment="1">
      <alignment textRotation="255"/>
    </xf>
    <xf numFmtId="0" fontId="0" fillId="23" borderId="7" xfId="0" applyFont="1" applyFill="1" applyBorder="1" applyAlignment="1">
      <alignment textRotation="255"/>
    </xf>
    <xf numFmtId="0" fontId="0" fillId="23" borderId="2" xfId="0" applyFont="1" applyFill="1" applyBorder="1" applyAlignment="1">
      <alignment textRotation="255"/>
    </xf>
    <xf numFmtId="0" fontId="3" fillId="7" borderId="0" xfId="0" applyFont="1" applyFill="1" applyBorder="1"/>
    <xf numFmtId="0" fontId="0" fillId="7" borderId="0" xfId="0" applyFont="1" applyFill="1"/>
    <xf numFmtId="0" fontId="0" fillId="24" borderId="0" xfId="0" applyFont="1" applyFill="1" applyBorder="1"/>
    <xf numFmtId="0" fontId="0" fillId="23" borderId="10" xfId="0" applyFont="1" applyFill="1" applyBorder="1" applyAlignment="1">
      <alignment textRotation="255"/>
    </xf>
    <xf numFmtId="0" fontId="0" fillId="13" borderId="10" xfId="0" applyFill="1" applyBorder="1"/>
    <xf numFmtId="0" fontId="0" fillId="0" borderId="1" xfId="0" applyBorder="1"/>
    <xf numFmtId="0" fontId="0" fillId="0" borderId="6" xfId="0" applyBorder="1"/>
    <xf numFmtId="0" fontId="7" fillId="13" borderId="7" xfId="0" applyFont="1" applyFill="1" applyBorder="1" applyAlignment="1">
      <alignment textRotation="255"/>
    </xf>
    <xf numFmtId="0" fontId="0" fillId="24" borderId="8" xfId="0" applyFont="1" applyFill="1" applyBorder="1"/>
    <xf numFmtId="0" fontId="7" fillId="13" borderId="2" xfId="0" applyFont="1" applyFill="1" applyBorder="1" applyAlignment="1">
      <alignment textRotation="255"/>
    </xf>
    <xf numFmtId="16" fontId="3" fillId="0" borderId="0" xfId="0" applyNumberFormat="1" applyFont="1" applyFill="1" applyBorder="1"/>
    <xf numFmtId="0" fontId="7" fillId="13" borderId="10" xfId="0" applyFont="1" applyFill="1" applyBorder="1" applyAlignment="1">
      <alignment textRotation="255"/>
    </xf>
    <xf numFmtId="0" fontId="7" fillId="5" borderId="7" xfId="0" applyFont="1" applyFill="1" applyBorder="1" applyAlignment="1">
      <alignment textRotation="255"/>
    </xf>
    <xf numFmtId="0" fontId="7" fillId="5" borderId="2" xfId="0" applyFont="1" applyFill="1" applyBorder="1" applyAlignment="1">
      <alignment textRotation="255"/>
    </xf>
    <xf numFmtId="0" fontId="0" fillId="25" borderId="0" xfId="0" applyFont="1" applyFill="1" applyBorder="1"/>
    <xf numFmtId="0" fontId="7" fillId="5" borderId="10" xfId="0" applyFont="1" applyFill="1" applyBorder="1" applyAlignment="1">
      <alignment textRotation="255"/>
    </xf>
    <xf numFmtId="0" fontId="7" fillId="26" borderId="7" xfId="0" applyFont="1" applyFill="1" applyBorder="1" applyAlignment="1">
      <alignment textRotation="255"/>
    </xf>
    <xf numFmtId="0" fontId="7" fillId="26" borderId="2" xfId="0" applyFont="1" applyFill="1" applyBorder="1" applyAlignment="1">
      <alignment textRotation="255"/>
    </xf>
    <xf numFmtId="0" fontId="7" fillId="26" borderId="10" xfId="0" applyFont="1" applyFill="1" applyBorder="1" applyAlignment="1">
      <alignment textRotation="255"/>
    </xf>
    <xf numFmtId="0" fontId="7" fillId="14" borderId="7" xfId="0" applyFont="1" applyFill="1" applyBorder="1" applyAlignment="1">
      <alignment textRotation="255"/>
    </xf>
    <xf numFmtId="0" fontId="0" fillId="25" borderId="8" xfId="0" applyFont="1" applyFill="1" applyBorder="1"/>
    <xf numFmtId="0" fontId="7" fillId="14" borderId="2" xfId="0" applyFont="1" applyFill="1" applyBorder="1" applyAlignment="1">
      <alignment textRotation="255"/>
    </xf>
    <xf numFmtId="0" fontId="7" fillId="14" borderId="10" xfId="0" applyFont="1" applyFill="1" applyBorder="1" applyAlignment="1">
      <alignment textRotation="255"/>
    </xf>
    <xf numFmtId="0" fontId="7" fillId="9" borderId="7" xfId="0" applyFont="1" applyFill="1" applyBorder="1" applyAlignment="1">
      <alignment textRotation="255"/>
    </xf>
    <xf numFmtId="0" fontId="7" fillId="9" borderId="2" xfId="0" applyFont="1" applyFill="1" applyBorder="1" applyAlignment="1">
      <alignment textRotation="255"/>
    </xf>
    <xf numFmtId="0" fontId="7" fillId="9" borderId="10" xfId="0" applyFont="1" applyFill="1" applyBorder="1" applyAlignment="1">
      <alignment textRotation="255"/>
    </xf>
    <xf numFmtId="0" fontId="7" fillId="22" borderId="7" xfId="0" applyFont="1" applyFill="1" applyBorder="1" applyAlignment="1">
      <alignment textRotation="255"/>
    </xf>
    <xf numFmtId="0" fontId="7" fillId="22" borderId="2" xfId="0" applyFont="1" applyFill="1" applyBorder="1" applyAlignment="1">
      <alignment textRotation="255"/>
    </xf>
    <xf numFmtId="0" fontId="7" fillId="22" borderId="10" xfId="0" applyFont="1" applyFill="1" applyBorder="1" applyAlignment="1">
      <alignment textRotation="255"/>
    </xf>
    <xf numFmtId="0" fontId="7" fillId="2" borderId="7" xfId="0" applyFont="1" applyFill="1" applyBorder="1" applyAlignment="1">
      <alignment textRotation="255"/>
    </xf>
    <xf numFmtId="0" fontId="7" fillId="2" borderId="2" xfId="0" applyFont="1" applyFill="1" applyBorder="1" applyAlignment="1">
      <alignment textRotation="255"/>
    </xf>
    <xf numFmtId="0" fontId="0" fillId="0" borderId="0" xfId="0" quotePrefix="1" applyFont="1"/>
    <xf numFmtId="3" fontId="0" fillId="0" borderId="0" xfId="0" applyNumberFormat="1" applyFont="1"/>
    <xf numFmtId="0" fontId="7" fillId="2" borderId="10" xfId="0" applyFont="1" applyFill="1" applyBorder="1" applyAlignment="1">
      <alignment textRotation="255"/>
    </xf>
    <xf numFmtId="0" fontId="0" fillId="11" borderId="0" xfId="0" applyFont="1" applyFill="1" applyBorder="1"/>
    <xf numFmtId="164" fontId="0" fillId="10" borderId="0" xfId="0" applyNumberFormat="1" applyFont="1" applyFill="1" applyBorder="1"/>
    <xf numFmtId="0" fontId="3" fillId="0" borderId="0" xfId="0" applyNumberFormat="1" applyFont="1" applyFill="1" applyBorder="1"/>
    <xf numFmtId="164" fontId="0" fillId="24" borderId="0" xfId="0" applyNumberFormat="1" applyFont="1" applyFill="1" applyBorder="1"/>
    <xf numFmtId="14" fontId="0" fillId="11" borderId="4" xfId="0" applyNumberFormat="1" applyFont="1" applyFill="1" applyBorder="1"/>
    <xf numFmtId="164" fontId="0" fillId="27" borderId="0" xfId="0" applyNumberFormat="1" applyFont="1" applyFill="1" applyBorder="1"/>
    <xf numFmtId="164" fontId="0" fillId="5" borderId="8" xfId="0" applyNumberFormat="1" applyFont="1" applyFill="1" applyBorder="1"/>
    <xf numFmtId="0" fontId="7" fillId="15" borderId="7" xfId="0" applyFont="1" applyFill="1" applyBorder="1" applyAlignment="1">
      <alignment textRotation="255"/>
    </xf>
    <xf numFmtId="0" fontId="7" fillId="15" borderId="2" xfId="0" applyFont="1" applyFill="1" applyBorder="1" applyAlignment="1">
      <alignment textRotation="255"/>
    </xf>
    <xf numFmtId="0" fontId="7" fillId="15" borderId="10" xfId="0" applyFont="1" applyFill="1" applyBorder="1" applyAlignment="1">
      <alignment textRotation="255"/>
    </xf>
    <xf numFmtId="165" fontId="3" fillId="13" borderId="0" xfId="0" applyNumberFormat="1" applyFont="1" applyFill="1" applyBorder="1"/>
    <xf numFmtId="4" fontId="0" fillId="13" borderId="0" xfId="0" applyNumberFormat="1" applyFont="1" applyFill="1" applyBorder="1"/>
    <xf numFmtId="0" fontId="0" fillId="13" borderId="0" xfId="0" applyFont="1" applyFill="1" applyBorder="1"/>
    <xf numFmtId="164" fontId="0" fillId="13" borderId="0" xfId="0" applyNumberFormat="1" applyFont="1" applyFill="1" applyBorder="1"/>
    <xf numFmtId="0" fontId="7" fillId="28" borderId="7" xfId="0" applyFont="1" applyFill="1" applyBorder="1" applyAlignment="1">
      <alignment textRotation="255"/>
    </xf>
    <xf numFmtId="0" fontId="7" fillId="28" borderId="2" xfId="0" applyFont="1" applyFill="1" applyBorder="1" applyAlignment="1">
      <alignment textRotation="255"/>
    </xf>
    <xf numFmtId="0" fontId="7" fillId="28" borderId="10" xfId="0" applyFont="1" applyFill="1" applyBorder="1" applyAlignment="1">
      <alignment textRotation="255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91"/>
  <sheetViews>
    <sheetView zoomScale="80" zoomScaleNormal="80" workbookViewId="0">
      <selection activeCell="AG11" sqref="AG11"/>
    </sheetView>
  </sheetViews>
  <sheetFormatPr baseColWidth="10" defaultRowHeight="15" x14ac:dyDescent="0.25"/>
  <cols>
    <col min="1" max="1" width="3.85546875" customWidth="1"/>
    <col min="2" max="2" width="15.5703125" bestFit="1" customWidth="1"/>
    <col min="4" max="4" width="21.7109375" bestFit="1" customWidth="1"/>
    <col min="5" max="5" width="11" bestFit="1" customWidth="1"/>
    <col min="8" max="8" width="10.28515625" customWidth="1"/>
    <col min="10" max="11" width="0" hidden="1" customWidth="1"/>
    <col min="13" max="13" width="4.28515625" customWidth="1"/>
    <col min="14" max="18" width="0" hidden="1" customWidth="1"/>
    <col min="19" max="19" width="12.5703125" style="2" hidden="1" customWidth="1"/>
    <col min="20" max="21" width="0" hidden="1" customWidth="1"/>
    <col min="22" max="22" width="6.28515625" hidden="1" customWidth="1"/>
    <col min="23" max="24" width="0" hidden="1" customWidth="1"/>
    <col min="26" max="26" width="16" customWidth="1"/>
    <col min="27" max="27" width="14.140625" customWidth="1"/>
  </cols>
  <sheetData>
    <row r="2" spans="1:27" x14ac:dyDescent="0.25">
      <c r="A2" s="1" t="s">
        <v>0</v>
      </c>
      <c r="W2" s="3"/>
      <c r="Z2" s="4"/>
    </row>
    <row r="3" spans="1:27" ht="30.75" thickBot="1" x14ac:dyDescent="0.3">
      <c r="A3" s="5"/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 t="s">
        <v>7</v>
      </c>
      <c r="I3" s="9" t="s">
        <v>8</v>
      </c>
      <c r="J3" s="6" t="s">
        <v>9</v>
      </c>
      <c r="K3" s="10" t="s">
        <v>10</v>
      </c>
      <c r="L3" s="10" t="s">
        <v>11</v>
      </c>
      <c r="M3" s="6" t="s">
        <v>12</v>
      </c>
      <c r="N3" s="6" t="s">
        <v>13</v>
      </c>
      <c r="O3" s="11" t="s">
        <v>14</v>
      </c>
      <c r="P3" s="12" t="s">
        <v>15</v>
      </c>
      <c r="Q3" s="11" t="s">
        <v>16</v>
      </c>
      <c r="R3" s="13" t="s">
        <v>17</v>
      </c>
      <c r="S3" s="13" t="s">
        <v>18</v>
      </c>
      <c r="T3" s="14" t="s">
        <v>19</v>
      </c>
      <c r="U3" s="11" t="s">
        <v>20</v>
      </c>
      <c r="V3" s="11" t="s">
        <v>21</v>
      </c>
      <c r="W3" s="14" t="s">
        <v>22</v>
      </c>
      <c r="X3" s="11" t="s">
        <v>23</v>
      </c>
      <c r="Y3" s="11" t="s">
        <v>24</v>
      </c>
      <c r="Z3" s="15" t="s">
        <v>25</v>
      </c>
      <c r="AA3" s="11"/>
    </row>
    <row r="4" spans="1:27" s="22" customFormat="1" x14ac:dyDescent="0.25">
      <c r="A4" s="16"/>
      <c r="B4" s="17" t="s">
        <v>26</v>
      </c>
      <c r="C4" s="18" t="s">
        <v>27</v>
      </c>
      <c r="D4" s="18" t="s">
        <v>27</v>
      </c>
      <c r="E4" s="19" t="s">
        <v>28</v>
      </c>
      <c r="F4" s="20">
        <f>40901*0.4536</f>
        <v>18552.693599999999</v>
      </c>
      <c r="G4" s="21">
        <v>18549.2</v>
      </c>
      <c r="H4" s="21">
        <f>G4-F4</f>
        <v>-3.4935999999979686</v>
      </c>
      <c r="I4" s="22" t="s">
        <v>29</v>
      </c>
      <c r="J4" s="23" t="s">
        <v>30</v>
      </c>
      <c r="K4" s="24">
        <v>42793</v>
      </c>
      <c r="L4" s="24">
        <v>42795</v>
      </c>
      <c r="M4" s="18" t="s">
        <v>31</v>
      </c>
      <c r="N4" s="18" t="s">
        <v>32</v>
      </c>
      <c r="O4" s="3"/>
      <c r="P4" s="25">
        <f>0.55+0.1</f>
        <v>0.65</v>
      </c>
      <c r="Q4" s="26">
        <v>23000</v>
      </c>
      <c r="R4" s="3">
        <v>9400</v>
      </c>
      <c r="S4" s="27">
        <v>19.599</v>
      </c>
      <c r="T4" s="28">
        <f>X4*F4*0.005</f>
        <v>2778.4399898820739</v>
      </c>
      <c r="V4" s="3">
        <v>0.12</v>
      </c>
      <c r="W4" s="3">
        <v>0.3</v>
      </c>
      <c r="X4" s="3">
        <f>IF(O4&gt;0,O4,((P4*2.2046*S4)+(Q4+R4)/G4)+V4)</f>
        <v>29.951877067404098</v>
      </c>
      <c r="Y4" s="3">
        <f t="shared" ref="Y4:Y6" si="0">IF(O4&gt;0,O4,((P4*2.2046*S4)+(Q4+R4+T4)/G4)+V4+W4)</f>
        <v>30.401664658776344</v>
      </c>
      <c r="Z4" s="29">
        <f>Y4*F4</f>
        <v>564032.76934422599</v>
      </c>
      <c r="AA4" s="30">
        <v>42804</v>
      </c>
    </row>
    <row r="5" spans="1:27" s="22" customFormat="1" x14ac:dyDescent="0.25">
      <c r="A5" s="16"/>
      <c r="B5" s="17" t="s">
        <v>26</v>
      </c>
      <c r="C5" s="18" t="s">
        <v>33</v>
      </c>
      <c r="D5" s="18" t="s">
        <v>33</v>
      </c>
      <c r="E5" s="19" t="s">
        <v>34</v>
      </c>
      <c r="F5" s="20">
        <v>18886</v>
      </c>
      <c r="G5" s="21">
        <v>18887</v>
      </c>
      <c r="H5" s="21">
        <f>G5-F5</f>
        <v>1</v>
      </c>
      <c r="I5" s="22" t="s">
        <v>35</v>
      </c>
      <c r="J5" s="23" t="s">
        <v>30</v>
      </c>
      <c r="K5" s="24">
        <v>42793</v>
      </c>
      <c r="L5" s="24">
        <v>42795</v>
      </c>
      <c r="M5" s="18" t="s">
        <v>31</v>
      </c>
      <c r="N5" s="18" t="s">
        <v>36</v>
      </c>
      <c r="O5" s="3"/>
      <c r="P5" s="25">
        <f>0.55+0.105</f>
        <v>0.65500000000000003</v>
      </c>
      <c r="Q5" s="26">
        <v>23000</v>
      </c>
      <c r="R5" s="3">
        <v>9400</v>
      </c>
      <c r="S5" s="27">
        <v>20.440000000000001</v>
      </c>
      <c r="T5" s="28">
        <f>X5*F5*0.005</f>
        <v>2960.4835594112792</v>
      </c>
      <c r="V5" s="3">
        <v>0.12</v>
      </c>
      <c r="W5" s="3">
        <v>0.3</v>
      </c>
      <c r="X5" s="3">
        <f t="shared" ref="X5:X6" si="1">IF(O5&gt;0,O5,((P5*2.2046*S5)+(Q5+R5)/G5)+V5)</f>
        <v>31.351091384213486</v>
      </c>
      <c r="Y5" s="3">
        <f t="shared" si="0"/>
        <v>31.807838541486284</v>
      </c>
      <c r="Z5" s="29">
        <f t="shared" ref="Z5:Z9" si="2">Y5*F5</f>
        <v>600722.83869450993</v>
      </c>
      <c r="AA5" s="30">
        <v>42788</v>
      </c>
    </row>
    <row r="6" spans="1:27" s="22" customFormat="1" x14ac:dyDescent="0.25">
      <c r="A6" s="16"/>
      <c r="B6" s="17" t="s">
        <v>26</v>
      </c>
      <c r="C6" s="18" t="s">
        <v>37</v>
      </c>
      <c r="D6" s="18" t="s">
        <v>37</v>
      </c>
      <c r="E6" s="19" t="s">
        <v>28</v>
      </c>
      <c r="F6" s="20">
        <f>41284*0.4536</f>
        <v>18726.422399999999</v>
      </c>
      <c r="G6" s="21">
        <v>18726.009999999998</v>
      </c>
      <c r="H6" s="21">
        <f>G6-F6</f>
        <v>-0.41240000000107102</v>
      </c>
      <c r="I6" s="22" t="s">
        <v>38</v>
      </c>
      <c r="J6" s="23" t="s">
        <v>39</v>
      </c>
      <c r="K6" s="24">
        <v>42794</v>
      </c>
      <c r="L6" s="24">
        <v>42795</v>
      </c>
      <c r="M6" s="18" t="s">
        <v>31</v>
      </c>
      <c r="N6" s="18" t="s">
        <v>40</v>
      </c>
      <c r="O6" s="3"/>
      <c r="P6" s="25">
        <f>0.55+0.095</f>
        <v>0.64500000000000002</v>
      </c>
      <c r="Q6" s="26">
        <v>23000</v>
      </c>
      <c r="R6" s="3">
        <v>9400</v>
      </c>
      <c r="S6" s="27">
        <v>20.452000000000002</v>
      </c>
      <c r="T6" s="28">
        <f>X6*F6*0.005</f>
        <v>2896.2549708055803</v>
      </c>
      <c r="V6" s="3">
        <v>0.12</v>
      </c>
      <c r="W6" s="3">
        <v>0.3</v>
      </c>
      <c r="X6" s="3">
        <f t="shared" si="1"/>
        <v>30.932282834820391</v>
      </c>
      <c r="Y6" s="3">
        <f t="shared" si="0"/>
        <v>31.386947655078718</v>
      </c>
      <c r="Z6" s="29">
        <f t="shared" si="2"/>
        <v>587765.23963569361</v>
      </c>
      <c r="AA6" s="30">
        <v>42787</v>
      </c>
    </row>
    <row r="7" spans="1:27" s="22" customFormat="1" x14ac:dyDescent="0.25">
      <c r="A7" s="16"/>
      <c r="B7" s="17" t="s">
        <v>41</v>
      </c>
      <c r="C7" s="19" t="s">
        <v>42</v>
      </c>
      <c r="D7" s="18" t="s">
        <v>43</v>
      </c>
      <c r="E7" s="19">
        <v>130</v>
      </c>
      <c r="F7" s="20">
        <v>15595</v>
      </c>
      <c r="G7" s="21">
        <f>5710+6930</f>
        <v>12640</v>
      </c>
      <c r="H7" s="21">
        <f t="shared" ref="H7:H8" si="3">G7-F7</f>
        <v>-2955</v>
      </c>
      <c r="I7" s="22" t="s">
        <v>44</v>
      </c>
      <c r="J7" s="19"/>
      <c r="K7" s="24"/>
      <c r="L7" s="24">
        <v>42795</v>
      </c>
      <c r="M7" s="18" t="s">
        <v>31</v>
      </c>
      <c r="N7" s="19"/>
      <c r="O7" s="3">
        <v>26</v>
      </c>
      <c r="P7" s="31"/>
      <c r="Q7" s="26">
        <v>15700</v>
      </c>
      <c r="R7" s="3">
        <f>65*E7</f>
        <v>8450</v>
      </c>
      <c r="S7" s="32">
        <f t="shared" ref="S7:S8" si="4">-35*E7</f>
        <v>-4550</v>
      </c>
      <c r="T7" s="27">
        <f>X7*F7*0.0045</f>
        <v>2363.6048496835442</v>
      </c>
      <c r="U7" s="3">
        <f>E7*5</f>
        <v>650</v>
      </c>
      <c r="V7" s="19"/>
      <c r="W7" s="3">
        <v>0.3</v>
      </c>
      <c r="X7" s="3">
        <f>((O7*F7)+Q7+R7+S7+U7)/G7</f>
        <v>33.680379746835442</v>
      </c>
      <c r="Y7" s="3">
        <f t="shared" ref="Y7:Y8" si="5">((O7*F7)+Q7+R7+S7+T7+U7)/G7+W7</f>
        <v>34.167373801399009</v>
      </c>
      <c r="Z7" s="29">
        <f t="shared" si="2"/>
        <v>532840.19443281752</v>
      </c>
      <c r="AA7" s="30">
        <v>42809</v>
      </c>
    </row>
    <row r="8" spans="1:27" s="22" customFormat="1" x14ac:dyDescent="0.25">
      <c r="A8" s="16"/>
      <c r="B8" s="17" t="s">
        <v>41</v>
      </c>
      <c r="C8" s="19" t="s">
        <v>42</v>
      </c>
      <c r="D8" s="18" t="s">
        <v>45</v>
      </c>
      <c r="E8" s="19">
        <v>201</v>
      </c>
      <c r="F8" s="20">
        <v>20900</v>
      </c>
      <c r="G8" s="21">
        <f>16580</f>
        <v>16580</v>
      </c>
      <c r="H8" s="21">
        <f t="shared" si="3"/>
        <v>-4320</v>
      </c>
      <c r="I8" s="22" t="s">
        <v>46</v>
      </c>
      <c r="J8" s="19"/>
      <c r="K8" s="24"/>
      <c r="L8" s="24">
        <v>42796</v>
      </c>
      <c r="M8" s="18" t="s">
        <v>47</v>
      </c>
      <c r="N8" s="19"/>
      <c r="O8" s="3">
        <v>26</v>
      </c>
      <c r="P8" s="31"/>
      <c r="Q8" s="33">
        <v>19800</v>
      </c>
      <c r="R8" s="3">
        <f t="shared" ref="R8" si="6">65*E8</f>
        <v>13065</v>
      </c>
      <c r="S8" s="27">
        <f t="shared" si="4"/>
        <v>-7035</v>
      </c>
      <c r="T8" s="27">
        <f t="shared" ref="T8" si="7">X8*F8*0.0045</f>
        <v>3234.6563178528349</v>
      </c>
      <c r="U8" s="3">
        <f t="shared" ref="U8" si="8">E8*5</f>
        <v>1005</v>
      </c>
      <c r="V8" s="19"/>
      <c r="W8" s="3">
        <v>0.3</v>
      </c>
      <c r="X8" s="3">
        <f t="shared" ref="X8" si="9">((O8*F8)+Q8+R8+S8+U8)/G8</f>
        <v>34.392943305186975</v>
      </c>
      <c r="Y8" s="3">
        <f t="shared" si="5"/>
        <v>34.888037172367476</v>
      </c>
      <c r="Z8" s="29">
        <f t="shared" si="2"/>
        <v>729159.97690248024</v>
      </c>
      <c r="AA8" s="30">
        <v>42809</v>
      </c>
    </row>
    <row r="9" spans="1:27" s="22" customFormat="1" x14ac:dyDescent="0.25">
      <c r="A9" s="16"/>
      <c r="B9" s="17" t="s">
        <v>26</v>
      </c>
      <c r="C9" s="18" t="s">
        <v>27</v>
      </c>
      <c r="D9" s="18" t="s">
        <v>27</v>
      </c>
      <c r="E9" s="19" t="s">
        <v>28</v>
      </c>
      <c r="F9" s="20">
        <f>40682*0.4536</f>
        <v>18453.355200000002</v>
      </c>
      <c r="G9" s="21">
        <v>18440.59</v>
      </c>
      <c r="H9" s="21">
        <f>G9-F9</f>
        <v>-12.765200000001641</v>
      </c>
      <c r="I9" s="22" t="s">
        <v>48</v>
      </c>
      <c r="J9" s="23" t="s">
        <v>30</v>
      </c>
      <c r="K9" s="24">
        <v>42796</v>
      </c>
      <c r="L9" s="24">
        <v>42797</v>
      </c>
      <c r="M9" s="18" t="s">
        <v>49</v>
      </c>
      <c r="N9" s="18" t="s">
        <v>50</v>
      </c>
      <c r="O9" s="3"/>
      <c r="P9" s="25">
        <f>0.5381+0.1</f>
        <v>0.6381</v>
      </c>
      <c r="Q9" s="26">
        <v>23000</v>
      </c>
      <c r="R9" s="3">
        <v>9400</v>
      </c>
      <c r="S9" s="27">
        <v>19.75</v>
      </c>
      <c r="T9" s="27">
        <f>X9*F9*0.005</f>
        <v>2736.6704111078493</v>
      </c>
      <c r="V9" s="3">
        <v>0.12</v>
      </c>
      <c r="W9" s="3">
        <v>0.3</v>
      </c>
      <c r="X9" s="3">
        <f t="shared" ref="X9" si="10">IF(O9&gt;0,O9,((P9*2.2046*S9)+(Q9+R9)/G9)+V9)</f>
        <v>29.660410060365056</v>
      </c>
      <c r="Y9" s="3">
        <f t="shared" ref="Y9" si="11">IF(O9&gt;0,O9,((P9*2.2046*S9)+(Q9+R9+T9)/G9)+V9+W9)</f>
        <v>30.108814770361203</v>
      </c>
      <c r="Z9" s="29">
        <f t="shared" si="2"/>
        <v>555608.65360848175</v>
      </c>
      <c r="AA9" s="30">
        <v>42807</v>
      </c>
    </row>
    <row r="10" spans="1:27" s="22" customFormat="1" x14ac:dyDescent="0.25">
      <c r="A10" s="16"/>
      <c r="B10" s="17" t="s">
        <v>41</v>
      </c>
      <c r="C10" s="19" t="s">
        <v>42</v>
      </c>
      <c r="D10" s="18" t="s">
        <v>51</v>
      </c>
      <c r="E10" s="19">
        <f>200</f>
        <v>200</v>
      </c>
      <c r="F10" s="20">
        <f>24985</f>
        <v>24985</v>
      </c>
      <c r="G10" s="21">
        <f>19820</f>
        <v>19820</v>
      </c>
      <c r="H10" s="21">
        <f t="shared" ref="H10:H11" si="12">G10-F10</f>
        <v>-5165</v>
      </c>
      <c r="I10" s="22" t="s">
        <v>52</v>
      </c>
      <c r="J10" s="19"/>
      <c r="K10" s="24"/>
      <c r="L10" s="24">
        <v>42797</v>
      </c>
      <c r="M10" s="18" t="s">
        <v>49</v>
      </c>
      <c r="N10" s="19"/>
      <c r="O10" s="3">
        <v>25.5</v>
      </c>
      <c r="P10" s="31"/>
      <c r="Q10" s="26">
        <f>19800</f>
        <v>19800</v>
      </c>
      <c r="R10" s="3">
        <f t="shared" ref="R10:R11" si="13">65*E10</f>
        <v>13000</v>
      </c>
      <c r="S10" s="27">
        <f>-35*E10</f>
        <v>-7000</v>
      </c>
      <c r="T10" s="27">
        <f>X10*F10*0.0045</f>
        <v>3766.1909343466195</v>
      </c>
      <c r="U10" s="3">
        <f>E10*5</f>
        <v>1000</v>
      </c>
      <c r="V10" s="19"/>
      <c r="W10" s="3">
        <v>0.3</v>
      </c>
      <c r="X10" s="3">
        <f>((O10*F10)+Q10+R10+S10+U10)/G10</f>
        <v>33.497351160443998</v>
      </c>
      <c r="Y10" s="3">
        <f t="shared" ref="Y10:Y11" si="14">((O10*F10)+Q10+R10+S10+T10+U10)/G10+W10</f>
        <v>33.987370884679443</v>
      </c>
      <c r="Z10" s="29">
        <f t="shared" ref="Z10:Z11" si="15">Y10*G10</f>
        <v>673629.69093434652</v>
      </c>
      <c r="AA10" s="30">
        <v>42810</v>
      </c>
    </row>
    <row r="11" spans="1:27" s="22" customFormat="1" x14ac:dyDescent="0.25">
      <c r="A11" s="16"/>
      <c r="B11" s="17" t="s">
        <v>41</v>
      </c>
      <c r="C11" s="19" t="s">
        <v>42</v>
      </c>
      <c r="D11" s="18" t="s">
        <v>53</v>
      </c>
      <c r="E11" s="19">
        <v>130</v>
      </c>
      <c r="F11" s="20">
        <v>15725</v>
      </c>
      <c r="G11" s="21">
        <v>13140</v>
      </c>
      <c r="H11" s="21">
        <f t="shared" si="12"/>
        <v>-2585</v>
      </c>
      <c r="I11" s="18" t="s">
        <v>54</v>
      </c>
      <c r="J11" s="19"/>
      <c r="K11" s="24"/>
      <c r="L11" s="24">
        <v>42797</v>
      </c>
      <c r="M11" s="18" t="s">
        <v>49</v>
      </c>
      <c r="N11" s="19"/>
      <c r="O11" s="3">
        <v>25.5</v>
      </c>
      <c r="P11" s="31"/>
      <c r="Q11" s="26">
        <v>15700</v>
      </c>
      <c r="R11" s="3">
        <f t="shared" si="13"/>
        <v>8450</v>
      </c>
      <c r="S11" s="27">
        <f>-35*E11</f>
        <v>-4550</v>
      </c>
      <c r="T11" s="27">
        <f>X11*F11*0.0045</f>
        <v>2268.4793450342463</v>
      </c>
      <c r="U11" s="3">
        <f>E11*5</f>
        <v>650</v>
      </c>
      <c r="V11" s="19"/>
      <c r="W11" s="3">
        <v>0.3</v>
      </c>
      <c r="X11" s="3">
        <f>((O11*F11)+Q11+R11+S11+U11)/G11</f>
        <v>32.057648401826484</v>
      </c>
      <c r="Y11" s="3">
        <f t="shared" si="14"/>
        <v>32.530287621387686</v>
      </c>
      <c r="Z11" s="29">
        <f t="shared" si="15"/>
        <v>427447.97934503417</v>
      </c>
      <c r="AA11" s="30">
        <v>42810</v>
      </c>
    </row>
    <row r="12" spans="1:27" s="22" customFormat="1" ht="15.75" thickBot="1" x14ac:dyDescent="0.3">
      <c r="A12" s="16"/>
      <c r="B12" s="34"/>
      <c r="C12" s="6"/>
      <c r="D12" s="6"/>
      <c r="E12" s="6"/>
      <c r="F12" s="35"/>
      <c r="G12" s="35"/>
      <c r="H12" s="35"/>
      <c r="I12" s="9"/>
      <c r="J12" s="6"/>
      <c r="K12" s="10"/>
      <c r="L12" s="10"/>
      <c r="M12" s="6"/>
      <c r="N12" s="6"/>
      <c r="O12" s="11"/>
      <c r="P12" s="12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36"/>
    </row>
    <row r="13" spans="1:27" s="22" customFormat="1" x14ac:dyDescent="0.25">
      <c r="A13" s="37"/>
      <c r="B13" s="38" t="s">
        <v>41</v>
      </c>
      <c r="C13" s="38" t="s">
        <v>42</v>
      </c>
      <c r="D13" s="39" t="s">
        <v>55</v>
      </c>
      <c r="E13" s="38">
        <f>220+40</f>
        <v>260</v>
      </c>
      <c r="F13" s="40">
        <f>27275+4870</f>
        <v>32145</v>
      </c>
      <c r="G13" s="41">
        <f>12910+13090</f>
        <v>26000</v>
      </c>
      <c r="H13" s="41">
        <f t="shared" ref="H13:H14" si="16">G13-F13</f>
        <v>-6145</v>
      </c>
      <c r="I13" s="39" t="s">
        <v>56</v>
      </c>
      <c r="J13" s="38"/>
      <c r="K13" s="42"/>
      <c r="L13" s="42">
        <v>42799</v>
      </c>
      <c r="M13" s="39" t="s">
        <v>57</v>
      </c>
      <c r="N13" s="38"/>
      <c r="O13" s="43">
        <v>25</v>
      </c>
      <c r="P13" s="44"/>
      <c r="Q13" s="45">
        <v>19800</v>
      </c>
      <c r="R13" s="3">
        <f t="shared" ref="R13:R14" si="17">65*E13</f>
        <v>16900</v>
      </c>
      <c r="S13" s="46">
        <f>-35*E13</f>
        <v>-9100</v>
      </c>
      <c r="T13" s="46">
        <f>X13*F13*0.0045</f>
        <v>4631.8008677884609</v>
      </c>
      <c r="U13" s="43">
        <f>E13*5</f>
        <v>1300</v>
      </c>
      <c r="V13" s="38"/>
      <c r="W13" s="43">
        <v>0.3</v>
      </c>
      <c r="X13" s="43">
        <f>((O13*F13)+Q13+R13+S13+U13)/G13</f>
        <v>32.020192307692305</v>
      </c>
      <c r="Y13" s="3">
        <f t="shared" ref="Y13:Y14" si="18">((O13*F13)+Q13+R13+S13+T13+U13)/G13+W13</f>
        <v>32.49833849491494</v>
      </c>
      <c r="Z13" s="47">
        <f>Y13*G13</f>
        <v>844956.80086778838</v>
      </c>
      <c r="AA13" s="48">
        <v>42815</v>
      </c>
    </row>
    <row r="14" spans="1:27" s="22" customFormat="1" x14ac:dyDescent="0.25">
      <c r="A14" s="49"/>
      <c r="B14" s="17" t="s">
        <v>41</v>
      </c>
      <c r="C14" s="19" t="s">
        <v>42</v>
      </c>
      <c r="D14" s="18" t="s">
        <v>58</v>
      </c>
      <c r="E14" s="19">
        <v>201</v>
      </c>
      <c r="F14" s="20">
        <v>23355</v>
      </c>
      <c r="G14" s="21">
        <f>12250+6510</f>
        <v>18760</v>
      </c>
      <c r="H14" s="21">
        <f t="shared" si="16"/>
        <v>-4595</v>
      </c>
      <c r="I14" s="18" t="s">
        <v>59</v>
      </c>
      <c r="J14" s="19"/>
      <c r="K14" s="24"/>
      <c r="L14" s="24">
        <v>42800</v>
      </c>
      <c r="M14" s="18" t="s">
        <v>60</v>
      </c>
      <c r="N14" s="19"/>
      <c r="O14" s="3">
        <v>25</v>
      </c>
      <c r="P14" s="31"/>
      <c r="Q14" s="26">
        <v>19800</v>
      </c>
      <c r="R14" s="3">
        <f t="shared" si="17"/>
        <v>13065</v>
      </c>
      <c r="S14" s="27">
        <f t="shared" ref="S14" si="19">-35*E14</f>
        <v>-7035</v>
      </c>
      <c r="T14" s="27">
        <f>X14*F14*0.0045</f>
        <v>3421.3269842750533</v>
      </c>
      <c r="U14" s="3">
        <f>E14*5</f>
        <v>1005</v>
      </c>
      <c r="V14" s="19"/>
      <c r="W14" s="3">
        <v>0.3</v>
      </c>
      <c r="X14" s="3">
        <f>((O14*F14)+Q14+R14+S14+U14)/G14</f>
        <v>32.553837953091687</v>
      </c>
      <c r="Y14" s="3">
        <f t="shared" si="18"/>
        <v>33.036211459716149</v>
      </c>
      <c r="Z14" s="29">
        <f>Y14*G14</f>
        <v>619759.32698427502</v>
      </c>
      <c r="AA14" s="30">
        <v>42815</v>
      </c>
    </row>
    <row r="15" spans="1:27" s="22" customFormat="1" x14ac:dyDescent="0.25">
      <c r="A15" s="49"/>
      <c r="B15" s="17" t="s">
        <v>26</v>
      </c>
      <c r="C15" s="18" t="s">
        <v>27</v>
      </c>
      <c r="D15" s="18" t="s">
        <v>27</v>
      </c>
      <c r="E15" s="19" t="s">
        <v>34</v>
      </c>
      <c r="F15" s="20">
        <f>41629*0.4536</f>
        <v>18882.914400000001</v>
      </c>
      <c r="G15" s="21">
        <v>18826.61</v>
      </c>
      <c r="H15" s="21">
        <f>G15-F15</f>
        <v>-56.304400000000896</v>
      </c>
      <c r="I15" s="22" t="s">
        <v>61</v>
      </c>
      <c r="J15" s="23" t="s">
        <v>30</v>
      </c>
      <c r="K15" s="24">
        <v>42800</v>
      </c>
      <c r="L15" s="24">
        <v>42801</v>
      </c>
      <c r="M15" s="18" t="s">
        <v>62</v>
      </c>
      <c r="N15" s="18" t="s">
        <v>63</v>
      </c>
      <c r="O15" s="3"/>
      <c r="P15" s="25">
        <f>0.5812+0.1</f>
        <v>0.68120000000000003</v>
      </c>
      <c r="Q15" s="26">
        <v>23000</v>
      </c>
      <c r="R15" s="3">
        <v>9400</v>
      </c>
      <c r="S15" s="27">
        <v>19.53</v>
      </c>
      <c r="T15" s="27">
        <f>X15*F15*0.005</f>
        <v>2942.9593487853645</v>
      </c>
      <c r="V15" s="3">
        <v>0.12</v>
      </c>
      <c r="W15" s="3">
        <v>0.3</v>
      </c>
      <c r="X15" s="3">
        <f>IF(O15&gt;0,O15,((P15*2.2046*S15)+(Q15+R15)/G15)+V15)</f>
        <v>31.170605198373025</v>
      </c>
      <c r="Y15" s="3">
        <f t="shared" ref="Y15:Y18" si="20">IF(O15&gt;0,O15,((P15*2.2046*S15)+(Q15+R15+T15)/G15)+V15+W15)</f>
        <v>31.62692433117417</v>
      </c>
      <c r="Z15" s="29">
        <f>Y15*F15</f>
        <v>597208.50488083914</v>
      </c>
      <c r="AA15" s="30">
        <v>42811</v>
      </c>
    </row>
    <row r="16" spans="1:27" s="22" customFormat="1" x14ac:dyDescent="0.25">
      <c r="A16" s="49"/>
      <c r="B16" s="17" t="s">
        <v>26</v>
      </c>
      <c r="C16" s="18" t="s">
        <v>37</v>
      </c>
      <c r="D16" s="18" t="s">
        <v>37</v>
      </c>
      <c r="E16" s="19" t="s">
        <v>28</v>
      </c>
      <c r="F16" s="20">
        <f>41005*0.4536</f>
        <v>18599.867999999999</v>
      </c>
      <c r="G16" s="21">
        <v>18539.580000000002</v>
      </c>
      <c r="H16" s="21">
        <f>G16-F16</f>
        <v>-60.287999999996828</v>
      </c>
      <c r="I16" s="22" t="s">
        <v>64</v>
      </c>
      <c r="J16" s="23" t="s">
        <v>30</v>
      </c>
      <c r="K16" s="24">
        <v>42800</v>
      </c>
      <c r="L16" s="24">
        <v>42801</v>
      </c>
      <c r="M16" s="18" t="s">
        <v>62</v>
      </c>
      <c r="N16" s="18" t="s">
        <v>65</v>
      </c>
      <c r="O16" s="3"/>
      <c r="P16" s="25">
        <f>0.5584+0.095</f>
        <v>0.65339999999999998</v>
      </c>
      <c r="Q16" s="26">
        <v>23000</v>
      </c>
      <c r="R16" s="3">
        <v>9400</v>
      </c>
      <c r="S16" s="27">
        <v>19.881</v>
      </c>
      <c r="T16" s="27">
        <f>X16*F16*0.005</f>
        <v>2837.0292556309159</v>
      </c>
      <c r="V16" s="3">
        <v>0.12</v>
      </c>
      <c r="W16" s="3">
        <v>0.3</v>
      </c>
      <c r="X16" s="3">
        <f t="shared" ref="X16:X18" si="21">IF(O16&gt;0,O16,((P16*2.2046*S16)+(Q16+R16)/G16)+V16)</f>
        <v>30.505907414299028</v>
      </c>
      <c r="Y16" s="3">
        <f t="shared" si="20"/>
        <v>30.95893295509504</v>
      </c>
      <c r="Z16" s="29">
        <f t="shared" ref="Z16:Z18" si="22">Y16*F16</f>
        <v>575832.0663856176</v>
      </c>
      <c r="AA16" s="30">
        <v>42794</v>
      </c>
    </row>
    <row r="17" spans="1:27" s="22" customFormat="1" x14ac:dyDescent="0.25">
      <c r="A17" s="49"/>
      <c r="B17" s="17" t="s">
        <v>26</v>
      </c>
      <c r="C17" s="18" t="s">
        <v>33</v>
      </c>
      <c r="D17" s="18" t="s">
        <v>33</v>
      </c>
      <c r="E17" s="19" t="s">
        <v>34</v>
      </c>
      <c r="F17" s="20">
        <f>41994*0.4536</f>
        <v>19048.4784</v>
      </c>
      <c r="G17" s="21">
        <v>19027.52</v>
      </c>
      <c r="H17" s="21">
        <f>G17-F17</f>
        <v>-20.958399999999529</v>
      </c>
      <c r="I17" s="22" t="s">
        <v>66</v>
      </c>
      <c r="J17" s="23" t="s">
        <v>30</v>
      </c>
      <c r="K17" s="24">
        <v>42800</v>
      </c>
      <c r="L17" s="24">
        <v>42801</v>
      </c>
      <c r="M17" s="18" t="s">
        <v>62</v>
      </c>
      <c r="N17" s="18" t="s">
        <v>67</v>
      </c>
      <c r="O17" s="3"/>
      <c r="P17" s="25">
        <f>0.5812+0.105</f>
        <v>0.68620000000000003</v>
      </c>
      <c r="Q17" s="26">
        <v>23000</v>
      </c>
      <c r="R17" s="3">
        <v>9400</v>
      </c>
      <c r="S17" s="27">
        <v>20.459</v>
      </c>
      <c r="T17" s="27">
        <f>X17*F17*0.005</f>
        <v>3121.3885128637585</v>
      </c>
      <c r="V17" s="3">
        <v>0.12</v>
      </c>
      <c r="W17" s="3">
        <v>0.3</v>
      </c>
      <c r="X17" s="3">
        <f t="shared" si="21"/>
        <v>32.773100793854049</v>
      </c>
      <c r="Y17" s="3">
        <f t="shared" si="20"/>
        <v>33.237146792116761</v>
      </c>
      <c r="Z17" s="29">
        <f t="shared" si="22"/>
        <v>633117.07274726545</v>
      </c>
      <c r="AA17" s="30">
        <v>42790</v>
      </c>
    </row>
    <row r="18" spans="1:27" s="22" customFormat="1" x14ac:dyDescent="0.25">
      <c r="A18" s="49"/>
      <c r="B18" s="17" t="s">
        <v>26</v>
      </c>
      <c r="C18" s="18" t="s">
        <v>33</v>
      </c>
      <c r="D18" s="18" t="s">
        <v>33</v>
      </c>
      <c r="E18" s="19" t="s">
        <v>34</v>
      </c>
      <c r="F18" s="20">
        <f>42696*0.4536</f>
        <v>19366.905600000002</v>
      </c>
      <c r="G18" s="21">
        <v>19321.060000000001</v>
      </c>
      <c r="H18" s="21">
        <f t="shared" ref="H18:H19" si="23">G18-F18</f>
        <v>-45.845600000000559</v>
      </c>
      <c r="I18" s="22" t="s">
        <v>68</v>
      </c>
      <c r="J18" s="23" t="s">
        <v>30</v>
      </c>
      <c r="K18" s="24">
        <v>42797</v>
      </c>
      <c r="L18" s="24">
        <v>42801</v>
      </c>
      <c r="M18" s="18" t="s">
        <v>62</v>
      </c>
      <c r="N18" s="18" t="s">
        <v>69</v>
      </c>
      <c r="O18" s="3"/>
      <c r="P18" s="25">
        <v>0.65739999999999998</v>
      </c>
      <c r="Q18" s="26">
        <v>23000</v>
      </c>
      <c r="R18" s="3">
        <v>9400</v>
      </c>
      <c r="S18" s="27">
        <v>19.928000000000001</v>
      </c>
      <c r="T18" s="27">
        <f t="shared" ref="T18:T19" si="24">X18*F18*0.005</f>
        <v>2970.7533223047872</v>
      </c>
      <c r="V18" s="3">
        <v>0.12</v>
      </c>
      <c r="W18" s="3">
        <v>0.3</v>
      </c>
      <c r="X18" s="3">
        <f t="shared" si="21"/>
        <v>30.67865753736918</v>
      </c>
      <c r="Y18" s="3">
        <f t="shared" si="20"/>
        <v>31.13241480132389</v>
      </c>
      <c r="Z18" s="29">
        <f t="shared" si="22"/>
        <v>602938.53855728253</v>
      </c>
      <c r="AA18" s="30">
        <v>42793</v>
      </c>
    </row>
    <row r="19" spans="1:27" s="22" customFormat="1" x14ac:dyDescent="0.25">
      <c r="A19" s="49"/>
      <c r="B19" s="17" t="s">
        <v>41</v>
      </c>
      <c r="C19" s="19" t="s">
        <v>42</v>
      </c>
      <c r="D19" s="18" t="s">
        <v>53</v>
      </c>
      <c r="E19" s="19">
        <v>200</v>
      </c>
      <c r="F19" s="20">
        <v>23020</v>
      </c>
      <c r="G19" s="21">
        <f>12920+5550</f>
        <v>18470</v>
      </c>
      <c r="H19" s="21">
        <f t="shared" si="23"/>
        <v>-4550</v>
      </c>
      <c r="I19" s="22" t="s">
        <v>70</v>
      </c>
      <c r="J19" s="50">
        <v>199</v>
      </c>
      <c r="K19" s="24"/>
      <c r="L19" s="24">
        <v>42801</v>
      </c>
      <c r="M19" s="18" t="s">
        <v>62</v>
      </c>
      <c r="N19" s="19"/>
      <c r="O19" s="3">
        <v>25</v>
      </c>
      <c r="P19" s="31"/>
      <c r="Q19" s="33">
        <v>19800</v>
      </c>
      <c r="R19" s="3">
        <f>65*E19</f>
        <v>13000</v>
      </c>
      <c r="S19" s="27">
        <f t="shared" ref="S19" si="25">-35*E19</f>
        <v>-7000</v>
      </c>
      <c r="T19" s="27">
        <f t="shared" si="24"/>
        <v>3753.369247428262</v>
      </c>
      <c r="U19" s="3">
        <f>E19*5</f>
        <v>1000</v>
      </c>
      <c r="V19" s="19"/>
      <c r="W19" s="3">
        <v>0.3</v>
      </c>
      <c r="X19" s="3">
        <f>((O19*F19)+Q19+R19+S19+U19)/G19</f>
        <v>32.609637249593938</v>
      </c>
      <c r="Y19" s="3">
        <f t="shared" ref="Y19" si="26">((O19*F19)+Q19+R19+S19+T19+U19)/G19+W19</f>
        <v>33.112851610580847</v>
      </c>
      <c r="Z19" s="29">
        <f>Y19*G19</f>
        <v>611594.36924742826</v>
      </c>
      <c r="AA19" s="30">
        <v>42815</v>
      </c>
    </row>
    <row r="20" spans="1:27" s="22" customFormat="1" x14ac:dyDescent="0.25">
      <c r="A20" s="49"/>
      <c r="B20" s="17" t="s">
        <v>26</v>
      </c>
      <c r="C20" s="18" t="s">
        <v>37</v>
      </c>
      <c r="D20" s="18" t="s">
        <v>37</v>
      </c>
      <c r="E20" s="19" t="s">
        <v>28</v>
      </c>
      <c r="F20" s="20">
        <f>40716*0.4536</f>
        <v>18468.777600000001</v>
      </c>
      <c r="G20" s="21">
        <v>18398.669999999998</v>
      </c>
      <c r="H20" s="21">
        <f>G20-F20</f>
        <v>-70.107600000003004</v>
      </c>
      <c r="I20" s="22" t="s">
        <v>71</v>
      </c>
      <c r="J20" s="23" t="s">
        <v>30</v>
      </c>
      <c r="K20" s="24">
        <v>42801</v>
      </c>
      <c r="L20" s="24">
        <v>42802</v>
      </c>
      <c r="M20" s="18" t="s">
        <v>31</v>
      </c>
      <c r="N20" s="18" t="s">
        <v>72</v>
      </c>
      <c r="O20" s="3"/>
      <c r="P20" s="25">
        <f>0.5812+0.095</f>
        <v>0.67620000000000002</v>
      </c>
      <c r="Q20" s="26">
        <v>23000</v>
      </c>
      <c r="R20" s="3">
        <v>9400</v>
      </c>
      <c r="S20" s="27">
        <v>20.010000000000002</v>
      </c>
      <c r="T20" s="27">
        <f>X20*F20*0.005</f>
        <v>2928.3091609624244</v>
      </c>
      <c r="V20" s="3">
        <v>0.12</v>
      </c>
      <c r="W20" s="3">
        <v>0.3</v>
      </c>
      <c r="X20" s="3">
        <f t="shared" ref="X20:X21" si="27">IF(O20&gt;0,O20,((P20*2.2046*S20)+(Q20+R20)/G20)+V20)</f>
        <v>31.710914759863957</v>
      </c>
      <c r="Y20" s="3">
        <f t="shared" ref="Y20:Y21" si="28">IF(O20&gt;0,O20,((P20*2.2046*S20)+(Q20+R20+T20)/G20)+V20+W20)</f>
        <v>32.170073501281813</v>
      </c>
      <c r="Z20" s="29">
        <f t="shared" ref="Z20:Z21" si="29">Y20*F20</f>
        <v>594141.93287082715</v>
      </c>
      <c r="AA20" s="30">
        <v>42795</v>
      </c>
    </row>
    <row r="21" spans="1:27" s="22" customFormat="1" x14ac:dyDescent="0.25">
      <c r="A21" s="49"/>
      <c r="B21" s="17" t="s">
        <v>26</v>
      </c>
      <c r="C21" s="18" t="s">
        <v>27</v>
      </c>
      <c r="D21" s="18" t="s">
        <v>27</v>
      </c>
      <c r="E21" s="19" t="s">
        <v>34</v>
      </c>
      <c r="F21" s="20">
        <f>39332*0.4536</f>
        <v>17840.995200000001</v>
      </c>
      <c r="G21" s="21">
        <v>17787.93</v>
      </c>
      <c r="H21" s="21">
        <f>G21-F21</f>
        <v>-53.065200000000914</v>
      </c>
      <c r="I21" s="22" t="s">
        <v>73</v>
      </c>
      <c r="J21" s="23" t="s">
        <v>39</v>
      </c>
      <c r="K21" s="24">
        <v>42801</v>
      </c>
      <c r="L21" s="24">
        <v>42802</v>
      </c>
      <c r="M21" s="18" t="s">
        <v>31</v>
      </c>
      <c r="N21" s="18" t="s">
        <v>74</v>
      </c>
      <c r="O21" s="3"/>
      <c r="P21" s="25">
        <f>0.5976+0.1</f>
        <v>0.6976</v>
      </c>
      <c r="Q21" s="26">
        <v>23000</v>
      </c>
      <c r="R21" s="3">
        <v>9400</v>
      </c>
      <c r="S21" s="51">
        <v>19.114999999999998</v>
      </c>
      <c r="T21" s="27">
        <f>X21*F21*0.005</f>
        <v>2795.5922364712856</v>
      </c>
      <c r="V21" s="3">
        <v>0.12</v>
      </c>
      <c r="W21" s="3">
        <v>0.3</v>
      </c>
      <c r="X21" s="3">
        <f t="shared" si="27"/>
        <v>31.338971902994352</v>
      </c>
      <c r="Y21" s="3">
        <f t="shared" si="28"/>
        <v>31.796134216792037</v>
      </c>
      <c r="Z21" s="29">
        <f t="shared" si="29"/>
        <v>567274.67794034258</v>
      </c>
      <c r="AA21" s="30">
        <v>42815</v>
      </c>
    </row>
    <row r="22" spans="1:27" s="22" customFormat="1" x14ac:dyDescent="0.25">
      <c r="A22" s="49"/>
      <c r="B22" s="17" t="s">
        <v>41</v>
      </c>
      <c r="C22" s="19" t="s">
        <v>42</v>
      </c>
      <c r="D22" s="18" t="s">
        <v>58</v>
      </c>
      <c r="E22" s="19">
        <v>200</v>
      </c>
      <c r="F22" s="20">
        <v>22450</v>
      </c>
      <c r="G22" s="21">
        <f>12650+5510</f>
        <v>18160</v>
      </c>
      <c r="H22" s="21">
        <f t="shared" ref="H22:H23" si="30">G22-F22</f>
        <v>-4290</v>
      </c>
      <c r="I22" s="22" t="s">
        <v>75</v>
      </c>
      <c r="J22" s="19"/>
      <c r="K22" s="24"/>
      <c r="L22" s="24">
        <v>42802</v>
      </c>
      <c r="M22" s="18" t="s">
        <v>31</v>
      </c>
      <c r="N22" s="19"/>
      <c r="O22" s="3">
        <v>25</v>
      </c>
      <c r="P22" s="31"/>
      <c r="Q22" s="26">
        <v>19800</v>
      </c>
      <c r="R22" s="3">
        <f>65*E22</f>
        <v>13000</v>
      </c>
      <c r="S22" s="27">
        <f t="shared" ref="S22" si="31">-35*E22</f>
        <v>-7000</v>
      </c>
      <c r="T22" s="27">
        <f>X22*F22*0.0045</f>
        <v>3271.3519410792946</v>
      </c>
      <c r="U22" s="3">
        <f>E22*5</f>
        <v>1000</v>
      </c>
      <c r="V22" s="19"/>
      <c r="W22" s="3">
        <v>0.3</v>
      </c>
      <c r="X22" s="3">
        <f>((O22*F22)+Q22+R22+S22+U22)/G22</f>
        <v>32.381607929515418</v>
      </c>
      <c r="Y22" s="3">
        <f t="shared" ref="Y22" si="32">((O22*F22)+Q22+R22+S22+T22+U22)/G22+W22</f>
        <v>32.861748454905239</v>
      </c>
      <c r="Z22" s="29">
        <f>Y22*G22</f>
        <v>596769.35194107913</v>
      </c>
      <c r="AA22" s="30">
        <v>42815</v>
      </c>
    </row>
    <row r="23" spans="1:27" s="22" customFormat="1" x14ac:dyDescent="0.25">
      <c r="A23" s="49"/>
      <c r="B23" s="17" t="s">
        <v>76</v>
      </c>
      <c r="C23" s="18" t="s">
        <v>33</v>
      </c>
      <c r="D23" s="18" t="s">
        <v>77</v>
      </c>
      <c r="E23" s="19" t="s">
        <v>78</v>
      </c>
      <c r="F23" s="20">
        <f>909+916.7+952.5+932.6</f>
        <v>3710.7999999999997</v>
      </c>
      <c r="G23" s="21">
        <v>3710.8</v>
      </c>
      <c r="H23" s="21">
        <f t="shared" si="30"/>
        <v>0</v>
      </c>
      <c r="I23" s="22" t="s">
        <v>79</v>
      </c>
      <c r="J23" s="19"/>
      <c r="K23" s="24"/>
      <c r="L23" s="24">
        <v>42802</v>
      </c>
      <c r="M23" s="18" t="s">
        <v>31</v>
      </c>
      <c r="N23" s="19"/>
      <c r="O23" s="3">
        <v>20.5</v>
      </c>
      <c r="P23" s="31"/>
      <c r="Q23" s="3"/>
      <c r="R23" s="3"/>
      <c r="S23" s="27"/>
      <c r="T23" s="27"/>
      <c r="U23" s="3"/>
      <c r="V23" s="3"/>
      <c r="W23" s="3"/>
      <c r="X23" s="3">
        <f t="shared" ref="X23:X24" si="33">IF(O23&gt;0,O23,((P23*2.2046*S23)+(Q23+R23)/G23)+V23)</f>
        <v>20.5</v>
      </c>
      <c r="Y23" s="3">
        <f t="shared" ref="Y23:Y24" si="34">IF(O23&gt;0,O23,((P23*2.2046*S23)+(Q23+R23+T23)/G23)+V23+W23)</f>
        <v>20.5</v>
      </c>
      <c r="Z23" s="29">
        <f t="shared" ref="Z23:Z24" si="35">Y23*F23</f>
        <v>76071.399999999994</v>
      </c>
      <c r="AA23" s="30">
        <v>42809</v>
      </c>
    </row>
    <row r="24" spans="1:27" s="22" customFormat="1" x14ac:dyDescent="0.25">
      <c r="A24" s="49"/>
      <c r="B24" s="17" t="s">
        <v>26</v>
      </c>
      <c r="C24" s="18" t="s">
        <v>33</v>
      </c>
      <c r="D24" s="18" t="s">
        <v>33</v>
      </c>
      <c r="E24" s="19" t="s">
        <v>34</v>
      </c>
      <c r="F24" s="20">
        <f>42978*0.4536</f>
        <v>19494.820800000001</v>
      </c>
      <c r="G24" s="21">
        <v>19477.41</v>
      </c>
      <c r="H24" s="21">
        <f>G24-F24</f>
        <v>-17.410800000001473</v>
      </c>
      <c r="I24" s="22" t="s">
        <v>80</v>
      </c>
      <c r="J24" s="23" t="s">
        <v>30</v>
      </c>
      <c r="K24" s="24">
        <v>42803</v>
      </c>
      <c r="L24" s="24">
        <v>42804</v>
      </c>
      <c r="M24" s="18" t="s">
        <v>49</v>
      </c>
      <c r="N24" s="18" t="s">
        <v>81</v>
      </c>
      <c r="O24" s="3"/>
      <c r="P24" s="25">
        <f>0.5976+0.105</f>
        <v>0.7026</v>
      </c>
      <c r="Q24" s="26">
        <v>23000</v>
      </c>
      <c r="R24" s="3">
        <v>9400</v>
      </c>
      <c r="S24" s="27">
        <v>20.010000000000002</v>
      </c>
      <c r="T24" s="27">
        <f>X24*F24*0.005</f>
        <v>3195.0056196528617</v>
      </c>
      <c r="V24" s="3">
        <v>0.12</v>
      </c>
      <c r="W24" s="3">
        <v>0.3</v>
      </c>
      <c r="X24" s="3">
        <f t="shared" si="33"/>
        <v>32.777994241966681</v>
      </c>
      <c r="Y24" s="3">
        <f t="shared" si="34"/>
        <v>33.242030713943848</v>
      </c>
      <c r="Z24" s="29">
        <f t="shared" si="35"/>
        <v>648047.43179643143</v>
      </c>
      <c r="AA24" s="30">
        <v>42796</v>
      </c>
    </row>
    <row r="25" spans="1:27" s="22" customFormat="1" x14ac:dyDescent="0.25">
      <c r="A25" s="49"/>
      <c r="B25" s="17" t="s">
        <v>41</v>
      </c>
      <c r="C25" s="19" t="s">
        <v>42</v>
      </c>
      <c r="D25" s="18" t="s">
        <v>53</v>
      </c>
      <c r="E25" s="19">
        <f>250</f>
        <v>250</v>
      </c>
      <c r="F25" s="20">
        <f>30245</f>
        <v>30245</v>
      </c>
      <c r="G25" s="21">
        <f>24710</f>
        <v>24710</v>
      </c>
      <c r="H25" s="21">
        <f t="shared" ref="H25:H32" si="36">G25-F25</f>
        <v>-5535</v>
      </c>
      <c r="I25" s="22" t="s">
        <v>82</v>
      </c>
      <c r="J25" s="19"/>
      <c r="K25" s="24"/>
      <c r="L25" s="24">
        <v>42803</v>
      </c>
      <c r="M25" s="18" t="s">
        <v>47</v>
      </c>
      <c r="N25" s="19"/>
      <c r="O25" s="3">
        <v>25</v>
      </c>
      <c r="P25" s="31"/>
      <c r="Q25" s="33">
        <f>19800</f>
        <v>19800</v>
      </c>
      <c r="R25" s="3">
        <f t="shared" ref="R25:R28" si="37">65*E25</f>
        <v>16250</v>
      </c>
      <c r="S25" s="27">
        <f t="shared" ref="S25:S26" si="38">-35*E25</f>
        <v>-8750</v>
      </c>
      <c r="T25" s="27">
        <f t="shared" ref="T25:T26" si="39">X25*F25*0.0045</f>
        <v>4321.9841840348035</v>
      </c>
      <c r="U25" s="3">
        <f t="shared" ref="U25:U26" si="40">E25*5</f>
        <v>1250</v>
      </c>
      <c r="V25" s="19"/>
      <c r="W25" s="3">
        <v>0.3</v>
      </c>
      <c r="X25" s="3">
        <f t="shared" ref="X25:X26" si="41">((O25*F25)+Q25+R25+S25+U25)/G25</f>
        <v>31.755362201537839</v>
      </c>
      <c r="Y25" s="3">
        <f t="shared" ref="Y25:Y28" si="42">((O25*F25)+Q25+R25+S25+T25+U25)/G25+W25</f>
        <v>32.230270505221966</v>
      </c>
      <c r="Z25" s="29">
        <f t="shared" ref="Z25:Z28" si="43">Y25*G25</f>
        <v>796409.98418403475</v>
      </c>
      <c r="AA25" s="30">
        <v>42816</v>
      </c>
    </row>
    <row r="26" spans="1:27" s="22" customFormat="1" x14ac:dyDescent="0.25">
      <c r="A26" s="49"/>
      <c r="B26" s="17" t="s">
        <v>41</v>
      </c>
      <c r="C26" s="19" t="s">
        <v>42</v>
      </c>
      <c r="D26" s="18" t="s">
        <v>43</v>
      </c>
      <c r="E26" s="19">
        <v>130</v>
      </c>
      <c r="F26" s="20">
        <v>16680</v>
      </c>
      <c r="G26" s="21">
        <v>12950</v>
      </c>
      <c r="H26" s="21">
        <f t="shared" si="36"/>
        <v>-3730</v>
      </c>
      <c r="I26" s="22" t="s">
        <v>83</v>
      </c>
      <c r="J26" s="19"/>
      <c r="K26" s="24"/>
      <c r="L26" s="24">
        <v>42803</v>
      </c>
      <c r="M26" s="18" t="s">
        <v>47</v>
      </c>
      <c r="N26" s="19"/>
      <c r="O26" s="3">
        <v>25</v>
      </c>
      <c r="P26" s="31"/>
      <c r="Q26" s="26">
        <v>15700</v>
      </c>
      <c r="R26" s="3">
        <f t="shared" si="37"/>
        <v>8450</v>
      </c>
      <c r="S26" s="27">
        <f t="shared" si="38"/>
        <v>-4550</v>
      </c>
      <c r="T26" s="27">
        <f t="shared" si="39"/>
        <v>2534.3617760617758</v>
      </c>
      <c r="U26" s="3">
        <f t="shared" si="40"/>
        <v>650</v>
      </c>
      <c r="V26" s="19"/>
      <c r="W26" s="3">
        <v>0.3</v>
      </c>
      <c r="X26" s="3">
        <f t="shared" si="41"/>
        <v>33.764478764478767</v>
      </c>
      <c r="Y26" s="3">
        <f t="shared" si="42"/>
        <v>34.260182376529862</v>
      </c>
      <c r="Z26" s="29">
        <f t="shared" si="43"/>
        <v>443669.36177606171</v>
      </c>
      <c r="AA26" s="30">
        <v>42816</v>
      </c>
    </row>
    <row r="27" spans="1:27" s="22" customFormat="1" x14ac:dyDescent="0.25">
      <c r="A27" s="49"/>
      <c r="B27" s="17" t="s">
        <v>41</v>
      </c>
      <c r="C27" s="19" t="s">
        <v>42</v>
      </c>
      <c r="D27" s="18" t="s">
        <v>58</v>
      </c>
      <c r="E27" s="19">
        <v>203</v>
      </c>
      <c r="F27" s="20">
        <v>23380</v>
      </c>
      <c r="G27" s="21">
        <v>18720</v>
      </c>
      <c r="H27" s="21">
        <f t="shared" si="36"/>
        <v>-4660</v>
      </c>
      <c r="I27" s="22" t="s">
        <v>84</v>
      </c>
      <c r="J27" s="19"/>
      <c r="K27" s="24"/>
      <c r="L27" s="24">
        <v>42804</v>
      </c>
      <c r="M27" s="18" t="s">
        <v>49</v>
      </c>
      <c r="N27" s="19"/>
      <c r="O27" s="3">
        <v>25</v>
      </c>
      <c r="P27" s="31"/>
      <c r="Q27" s="26">
        <v>19800</v>
      </c>
      <c r="R27" s="3">
        <f t="shared" si="37"/>
        <v>13195</v>
      </c>
      <c r="S27" s="27">
        <f>-35*E27</f>
        <v>-7105</v>
      </c>
      <c r="T27" s="27">
        <f>X27*F27*0.0045</f>
        <v>3436.2136778846157</v>
      </c>
      <c r="U27" s="3">
        <f>E27*5</f>
        <v>1015</v>
      </c>
      <c r="V27" s="19"/>
      <c r="W27" s="3">
        <v>0.3</v>
      </c>
      <c r="X27" s="3">
        <f>((O27*F27)+Q27+R27+S27+U27)/G27</f>
        <v>32.660523504273506</v>
      </c>
      <c r="Y27" s="3">
        <f t="shared" si="42"/>
        <v>33.144081927237423</v>
      </c>
      <c r="Z27" s="29">
        <f t="shared" si="43"/>
        <v>620457.21367788455</v>
      </c>
      <c r="AA27" s="30">
        <v>42817</v>
      </c>
    </row>
    <row r="28" spans="1:27" s="22" customFormat="1" x14ac:dyDescent="0.25">
      <c r="A28" s="49"/>
      <c r="B28" s="17" t="s">
        <v>41</v>
      </c>
      <c r="C28" s="19" t="s">
        <v>42</v>
      </c>
      <c r="D28" s="18" t="s">
        <v>85</v>
      </c>
      <c r="E28" s="19">
        <f>106+20</f>
        <v>126</v>
      </c>
      <c r="F28" s="20">
        <f>13680+2550</f>
        <v>16230</v>
      </c>
      <c r="G28" s="21">
        <v>13230</v>
      </c>
      <c r="H28" s="21">
        <f t="shared" si="36"/>
        <v>-3000</v>
      </c>
      <c r="I28" s="18" t="s">
        <v>86</v>
      </c>
      <c r="J28" s="19"/>
      <c r="K28" s="24"/>
      <c r="L28" s="24">
        <v>42804</v>
      </c>
      <c r="M28" s="18" t="s">
        <v>49</v>
      </c>
      <c r="N28" s="19"/>
      <c r="O28" s="3">
        <v>25</v>
      </c>
      <c r="P28" s="31"/>
      <c r="Q28" s="26">
        <v>15700</v>
      </c>
      <c r="R28" s="3">
        <f t="shared" si="37"/>
        <v>8190</v>
      </c>
      <c r="S28" s="27">
        <f>-35*E28</f>
        <v>-4410</v>
      </c>
      <c r="T28" s="27">
        <f>X28*F28*0.0045</f>
        <v>2350.9210204081633</v>
      </c>
      <c r="U28" s="3">
        <f>E28*5</f>
        <v>630</v>
      </c>
      <c r="V28" s="19"/>
      <c r="W28" s="3">
        <v>0.3</v>
      </c>
      <c r="X28" s="3">
        <f>((O28*F28)+Q28+R28+S28+U28)/G28</f>
        <v>32.188964474678762</v>
      </c>
      <c r="Y28" s="3">
        <f t="shared" si="42"/>
        <v>32.666660696931828</v>
      </c>
      <c r="Z28" s="29">
        <f t="shared" si="43"/>
        <v>432179.9210204081</v>
      </c>
      <c r="AA28" s="30">
        <v>42817</v>
      </c>
    </row>
    <row r="29" spans="1:27" s="22" customFormat="1" x14ac:dyDescent="0.25">
      <c r="A29" s="49"/>
      <c r="B29" s="17" t="s">
        <v>87</v>
      </c>
      <c r="C29" s="19" t="s">
        <v>88</v>
      </c>
      <c r="D29" s="18" t="s">
        <v>89</v>
      </c>
      <c r="E29" s="19" t="s">
        <v>90</v>
      </c>
      <c r="F29" s="20">
        <v>989.61</v>
      </c>
      <c r="G29" s="21">
        <v>989.61</v>
      </c>
      <c r="H29" s="21">
        <f t="shared" si="36"/>
        <v>0</v>
      </c>
      <c r="I29" s="18" t="s">
        <v>91</v>
      </c>
      <c r="J29" s="19"/>
      <c r="K29" s="24"/>
      <c r="L29" s="24">
        <v>42804</v>
      </c>
      <c r="M29" s="18" t="s">
        <v>49</v>
      </c>
      <c r="N29" s="19"/>
      <c r="O29" s="3">
        <v>92</v>
      </c>
      <c r="P29" s="31"/>
      <c r="Q29" s="3"/>
      <c r="R29" s="3"/>
      <c r="S29" s="27"/>
      <c r="T29" s="27"/>
      <c r="U29" s="3"/>
      <c r="V29" s="19"/>
      <c r="W29" s="3"/>
      <c r="X29" s="3">
        <f t="shared" ref="X29:X32" si="44">IF(O29&gt;0,O29,((P29*2.2046*S29)+(Q29+R29)/G29)+V29)</f>
        <v>92</v>
      </c>
      <c r="Y29" s="3">
        <f t="shared" ref="Y29:Y32" si="45">IF(O29&gt;0,O29,((P29*2.2046*S29)+(Q29+R29+T29)/G29)+V29+W29)</f>
        <v>92</v>
      </c>
      <c r="Z29" s="29">
        <f t="shared" ref="Z29:Z32" si="46">Y29*F29</f>
        <v>91044.12</v>
      </c>
      <c r="AA29" s="30">
        <v>42825</v>
      </c>
    </row>
    <row r="30" spans="1:27" s="22" customFormat="1" x14ac:dyDescent="0.25">
      <c r="A30" s="49"/>
      <c r="B30" s="17" t="s">
        <v>92</v>
      </c>
      <c r="C30" s="19" t="s">
        <v>93</v>
      </c>
      <c r="D30" s="18" t="s">
        <v>94</v>
      </c>
      <c r="E30" s="19" t="s">
        <v>95</v>
      </c>
      <c r="F30" s="20">
        <v>1000</v>
      </c>
      <c r="G30" s="21">
        <v>1000</v>
      </c>
      <c r="H30" s="21">
        <f t="shared" si="36"/>
        <v>0</v>
      </c>
      <c r="I30" s="18" t="s">
        <v>96</v>
      </c>
      <c r="J30" s="19"/>
      <c r="K30" s="24"/>
      <c r="L30" s="24">
        <v>42804</v>
      </c>
      <c r="M30" s="18" t="s">
        <v>49</v>
      </c>
      <c r="N30" s="19"/>
      <c r="O30" s="3">
        <v>39</v>
      </c>
      <c r="P30" s="31"/>
      <c r="Q30" s="3"/>
      <c r="R30" s="3"/>
      <c r="S30" s="27"/>
      <c r="T30" s="27"/>
      <c r="U30" s="3"/>
      <c r="V30" s="3"/>
      <c r="W30" s="3"/>
      <c r="X30" s="3">
        <f t="shared" si="44"/>
        <v>39</v>
      </c>
      <c r="Y30" s="3">
        <f t="shared" si="45"/>
        <v>39</v>
      </c>
      <c r="Z30" s="29">
        <f t="shared" si="46"/>
        <v>39000</v>
      </c>
      <c r="AA30" s="30">
        <v>42804</v>
      </c>
    </row>
    <row r="31" spans="1:27" s="22" customFormat="1" x14ac:dyDescent="0.25">
      <c r="A31" s="49"/>
      <c r="B31" s="17" t="s">
        <v>26</v>
      </c>
      <c r="C31" s="18" t="s">
        <v>33</v>
      </c>
      <c r="D31" s="18" t="s">
        <v>33</v>
      </c>
      <c r="E31" s="19" t="s">
        <v>34</v>
      </c>
      <c r="F31" s="20">
        <f>42730*0.4536</f>
        <v>19382.328000000001</v>
      </c>
      <c r="G31" s="21">
        <v>19415.62</v>
      </c>
      <c r="H31" s="21">
        <f t="shared" si="36"/>
        <v>33.291999999997643</v>
      </c>
      <c r="I31" s="22" t="s">
        <v>97</v>
      </c>
      <c r="J31" s="23" t="s">
        <v>30</v>
      </c>
      <c r="K31" s="24">
        <v>42804</v>
      </c>
      <c r="L31" s="24">
        <v>42805</v>
      </c>
      <c r="M31" s="18" t="s">
        <v>98</v>
      </c>
      <c r="N31" s="18" t="s">
        <v>99</v>
      </c>
      <c r="O31" s="3"/>
      <c r="P31" s="25">
        <f>0.6119+0.105</f>
        <v>0.71689999999999998</v>
      </c>
      <c r="Q31" s="26">
        <v>23000</v>
      </c>
      <c r="R31" s="3">
        <v>9400</v>
      </c>
      <c r="S31" s="27">
        <v>19.72</v>
      </c>
      <c r="T31" s="27">
        <f t="shared" ref="T31:T32" si="47">X31*F31*0.005</f>
        <v>3193.7987372995449</v>
      </c>
      <c r="V31" s="3">
        <v>0.12</v>
      </c>
      <c r="W31" s="3">
        <v>0.3</v>
      </c>
      <c r="X31" s="3">
        <f t="shared" si="44"/>
        <v>32.955780516143825</v>
      </c>
      <c r="Y31" s="3">
        <f t="shared" si="45"/>
        <v>33.420276872031479</v>
      </c>
      <c r="Z31" s="29">
        <f t="shared" si="46"/>
        <v>647762.76818452822</v>
      </c>
      <c r="AA31" s="30">
        <v>42800</v>
      </c>
    </row>
    <row r="32" spans="1:27" s="22" customFormat="1" x14ac:dyDescent="0.25">
      <c r="A32" s="49"/>
      <c r="B32" s="17" t="s">
        <v>26</v>
      </c>
      <c r="C32" s="18" t="s">
        <v>33</v>
      </c>
      <c r="D32" s="18" t="s">
        <v>33</v>
      </c>
      <c r="E32" s="19" t="s">
        <v>34</v>
      </c>
      <c r="F32" s="20">
        <f>42814*0.4536</f>
        <v>19420.430400000001</v>
      </c>
      <c r="G32" s="21">
        <v>19434.71</v>
      </c>
      <c r="H32" s="21">
        <f t="shared" si="36"/>
        <v>14.279599999998027</v>
      </c>
      <c r="I32" s="22" t="s">
        <v>100</v>
      </c>
      <c r="J32" s="23" t="s">
        <v>30</v>
      </c>
      <c r="K32" s="24">
        <v>42804</v>
      </c>
      <c r="L32" s="24">
        <v>42805</v>
      </c>
      <c r="M32" s="18" t="s">
        <v>98</v>
      </c>
      <c r="N32" s="18" t="s">
        <v>99</v>
      </c>
      <c r="O32" s="3"/>
      <c r="P32" s="25">
        <v>0.71689999999999998</v>
      </c>
      <c r="Q32" s="26">
        <v>23000</v>
      </c>
      <c r="R32" s="3">
        <v>9400</v>
      </c>
      <c r="S32" s="27">
        <v>19.928000000000001</v>
      </c>
      <c r="T32" s="27">
        <f t="shared" si="47"/>
        <v>3231.8393431637237</v>
      </c>
      <c r="V32" s="3">
        <v>0.12</v>
      </c>
      <c r="W32" s="3">
        <v>0.3</v>
      </c>
      <c r="X32" s="3">
        <f t="shared" si="44"/>
        <v>33.282880725071095</v>
      </c>
      <c r="Y32" s="3">
        <f t="shared" si="45"/>
        <v>33.749172856168684</v>
      </c>
      <c r="Z32" s="29">
        <f t="shared" si="46"/>
        <v>655423.46251079312</v>
      </c>
      <c r="AA32" s="30">
        <v>42793</v>
      </c>
    </row>
    <row r="33" spans="1:27" s="22" customFormat="1" ht="15.75" thickBot="1" x14ac:dyDescent="0.3">
      <c r="A33" s="49"/>
      <c r="B33" s="34"/>
      <c r="C33" s="6"/>
      <c r="D33" s="6"/>
      <c r="E33" s="6"/>
      <c r="F33" s="35"/>
      <c r="G33" s="35"/>
      <c r="H33" s="35"/>
      <c r="I33" s="9"/>
      <c r="J33" s="6"/>
      <c r="K33" s="10"/>
      <c r="L33" s="10"/>
      <c r="M33" s="6"/>
      <c r="N33" s="6"/>
      <c r="O33" s="11"/>
      <c r="P33" s="12"/>
      <c r="Q33" s="11"/>
      <c r="R33" s="11"/>
      <c r="S33" s="11"/>
      <c r="T33" s="11"/>
      <c r="U33" s="11"/>
      <c r="V33" s="11"/>
      <c r="W33" s="11"/>
      <c r="X33" s="11"/>
      <c r="Y33" s="11"/>
      <c r="Z33" s="15"/>
      <c r="AA33" s="36"/>
    </row>
    <row r="34" spans="1:27" s="22" customFormat="1" x14ac:dyDescent="0.25">
      <c r="A34" s="52"/>
      <c r="B34" s="38" t="s">
        <v>41</v>
      </c>
      <c r="C34" s="38" t="s">
        <v>42</v>
      </c>
      <c r="D34" s="39" t="s">
        <v>101</v>
      </c>
      <c r="E34" s="38">
        <v>260</v>
      </c>
      <c r="F34" s="40">
        <v>30740</v>
      </c>
      <c r="G34" s="41">
        <f>12600+12310</f>
        <v>24910</v>
      </c>
      <c r="H34" s="41">
        <f t="shared" ref="H34:H36" si="48">G34-F34</f>
        <v>-5830</v>
      </c>
      <c r="I34" s="39" t="s">
        <v>102</v>
      </c>
      <c r="J34" s="38"/>
      <c r="K34" s="42"/>
      <c r="L34" s="42">
        <v>42806</v>
      </c>
      <c r="M34" s="39" t="s">
        <v>57</v>
      </c>
      <c r="N34" s="38"/>
      <c r="O34" s="43">
        <v>24.5</v>
      </c>
      <c r="P34" s="44"/>
      <c r="Q34" s="53">
        <v>19800</v>
      </c>
      <c r="R34" s="3">
        <f t="shared" ref="R34:R35" si="49">65*E34</f>
        <v>16900</v>
      </c>
      <c r="S34" s="46">
        <f>-35*E34</f>
        <v>-9100</v>
      </c>
      <c r="T34" s="46">
        <f>X34*F34*0.0045</f>
        <v>4342.7623404255319</v>
      </c>
      <c r="U34" s="43">
        <f>E34*5</f>
        <v>1300</v>
      </c>
      <c r="V34" s="38"/>
      <c r="W34" s="43">
        <v>0.3</v>
      </c>
      <c r="X34" s="43">
        <f>((O34*F34)+Q34+R34+S34+U34)/G34</f>
        <v>31.39421918908069</v>
      </c>
      <c r="Y34" s="3">
        <f t="shared" ref="Y34:Y35" si="50">((O34*F34)+Q34+R34+S34+T34+U34)/G34+W34</f>
        <v>31.868557299896651</v>
      </c>
      <c r="Z34" s="47">
        <f>Y34*G34</f>
        <v>793845.76234042551</v>
      </c>
      <c r="AA34" s="48">
        <v>42821</v>
      </c>
    </row>
    <row r="35" spans="1:27" s="22" customFormat="1" x14ac:dyDescent="0.25">
      <c r="A35" s="54"/>
      <c r="B35" s="17" t="s">
        <v>41</v>
      </c>
      <c r="C35" s="19" t="s">
        <v>42</v>
      </c>
      <c r="D35" s="18" t="s">
        <v>101</v>
      </c>
      <c r="E35" s="19">
        <v>130</v>
      </c>
      <c r="F35" s="20">
        <v>15515</v>
      </c>
      <c r="G35" s="21">
        <f>7700+4940</f>
        <v>12640</v>
      </c>
      <c r="H35" s="21">
        <f t="shared" si="48"/>
        <v>-2875</v>
      </c>
      <c r="I35" s="18" t="s">
        <v>103</v>
      </c>
      <c r="J35" s="19"/>
      <c r="K35" s="24"/>
      <c r="L35" s="24">
        <v>42807</v>
      </c>
      <c r="M35" s="18" t="s">
        <v>60</v>
      </c>
      <c r="N35" s="19"/>
      <c r="O35" s="3">
        <v>24.5</v>
      </c>
      <c r="P35" s="31"/>
      <c r="Q35" s="26">
        <v>15700</v>
      </c>
      <c r="R35" s="3">
        <f t="shared" si="49"/>
        <v>8450</v>
      </c>
      <c r="S35" s="27">
        <f t="shared" ref="S35" si="51">-35*E35</f>
        <v>-4550</v>
      </c>
      <c r="T35" s="27">
        <f>X35*F35*0.0045</f>
        <v>2211.4444565862341</v>
      </c>
      <c r="U35" s="3">
        <f>E35*5</f>
        <v>650</v>
      </c>
      <c r="V35" s="19"/>
      <c r="W35" s="3">
        <v>0.3</v>
      </c>
      <c r="X35" s="3">
        <f>((O35*F35)+Q35+R35+S35+U35)/G35</f>
        <v>31.674643987341771</v>
      </c>
      <c r="Y35" s="3">
        <f t="shared" si="50"/>
        <v>32.149600036122322</v>
      </c>
      <c r="Z35" s="29">
        <f>Y35*G35</f>
        <v>406370.94445658615</v>
      </c>
      <c r="AA35" s="30">
        <v>42821</v>
      </c>
    </row>
    <row r="36" spans="1:27" s="22" customFormat="1" x14ac:dyDescent="0.25">
      <c r="A36" s="54"/>
      <c r="B36" s="17" t="s">
        <v>26</v>
      </c>
      <c r="C36" s="18" t="s">
        <v>27</v>
      </c>
      <c r="D36" s="18" t="s">
        <v>27</v>
      </c>
      <c r="E36" s="19" t="s">
        <v>34</v>
      </c>
      <c r="F36" s="20">
        <f>41233.25*0.4536</f>
        <v>18703.4022</v>
      </c>
      <c r="G36" s="21">
        <v>18548.88</v>
      </c>
      <c r="H36" s="21">
        <f t="shared" si="48"/>
        <v>-154.52219999999943</v>
      </c>
      <c r="I36" s="22" t="s">
        <v>104</v>
      </c>
      <c r="J36" s="23" t="s">
        <v>30</v>
      </c>
      <c r="K36" s="24">
        <v>42807</v>
      </c>
      <c r="L36" s="24">
        <v>42808</v>
      </c>
      <c r="M36" s="18" t="s">
        <v>62</v>
      </c>
      <c r="N36" s="18" t="s">
        <v>105</v>
      </c>
      <c r="O36" s="3"/>
      <c r="P36" s="25">
        <f>0.6127+0.1</f>
        <v>0.7127</v>
      </c>
      <c r="Q36" s="26">
        <v>23000</v>
      </c>
      <c r="R36" s="3">
        <v>9400</v>
      </c>
      <c r="S36" s="27">
        <v>19.149999999999999</v>
      </c>
      <c r="T36" s="27">
        <f>X36*F36*0.005</f>
        <v>2988.3892915196184</v>
      </c>
      <c r="V36" s="3">
        <v>0.12</v>
      </c>
      <c r="W36" s="3">
        <v>0.3</v>
      </c>
      <c r="X36" s="3">
        <f>IF(O36&gt;0,O36,((P36*2.2046*S36)+(Q36+R36)/G36)+V36)</f>
        <v>31.955568934080002</v>
      </c>
      <c r="Y36" s="3">
        <f t="shared" ref="Y36:Y37" si="52">IF(O36&gt;0,O36,((P36*2.2046*S36)+(Q36+R36+T36)/G36)+V36+W36)</f>
        <v>32.41667781459028</v>
      </c>
      <c r="Z36" s="29">
        <f>Y36*F36</f>
        <v>606302.16315409902</v>
      </c>
      <c r="AA36" s="30">
        <v>42818</v>
      </c>
    </row>
    <row r="37" spans="1:27" s="22" customFormat="1" x14ac:dyDescent="0.25">
      <c r="A37" s="54"/>
      <c r="B37" s="17" t="s">
        <v>26</v>
      </c>
      <c r="C37" s="18" t="s">
        <v>37</v>
      </c>
      <c r="D37" s="18" t="s">
        <v>37</v>
      </c>
      <c r="E37" s="19" t="s">
        <v>28</v>
      </c>
      <c r="F37" s="20">
        <f>40954*0.4536</f>
        <v>18576.734400000001</v>
      </c>
      <c r="G37" s="21">
        <v>18540.53</v>
      </c>
      <c r="H37" s="21">
        <f>G37-F37</f>
        <v>-36.204400000002352</v>
      </c>
      <c r="I37" s="22" t="s">
        <v>106</v>
      </c>
      <c r="J37" s="23" t="s">
        <v>30</v>
      </c>
      <c r="K37" s="24">
        <v>42807</v>
      </c>
      <c r="L37" s="24">
        <v>42808</v>
      </c>
      <c r="M37" s="18" t="s">
        <v>62</v>
      </c>
      <c r="N37" s="18" t="s">
        <v>107</v>
      </c>
      <c r="O37" s="3"/>
      <c r="P37" s="25">
        <f>0.6184+0.095</f>
        <v>0.71339999999999992</v>
      </c>
      <c r="Q37" s="26">
        <v>23000</v>
      </c>
      <c r="R37" s="3">
        <v>9400</v>
      </c>
      <c r="S37" s="27">
        <v>19.72</v>
      </c>
      <c r="T37" s="27">
        <f>X37*F37*0.005</f>
        <v>3054.2364214367881</v>
      </c>
      <c r="V37" s="3">
        <v>0.12</v>
      </c>
      <c r="W37" s="3">
        <v>0.3</v>
      </c>
      <c r="X37" s="3">
        <f t="shared" ref="X37" si="53">IF(O37&gt;0,O37,((P37*2.2046*S37)+(Q37+R37)/G37)+V37)</f>
        <v>32.882382400178876</v>
      </c>
      <c r="Y37" s="3">
        <f t="shared" si="52"/>
        <v>33.347115362043333</v>
      </c>
      <c r="Z37" s="29">
        <f t="shared" ref="Z37" si="54">Y37*F37</f>
        <v>619480.50508683885</v>
      </c>
      <c r="AA37" s="30">
        <v>42801</v>
      </c>
    </row>
    <row r="38" spans="1:27" s="22" customFormat="1" x14ac:dyDescent="0.25">
      <c r="A38" s="54"/>
      <c r="B38" s="17" t="s">
        <v>41</v>
      </c>
      <c r="C38" s="19" t="s">
        <v>42</v>
      </c>
      <c r="D38" s="18" t="s">
        <v>53</v>
      </c>
      <c r="E38" s="19">
        <v>200</v>
      </c>
      <c r="F38" s="20">
        <v>25430</v>
      </c>
      <c r="G38" s="21">
        <f>15550+5170</f>
        <v>20720</v>
      </c>
      <c r="H38" s="21">
        <f t="shared" ref="H38:H41" si="55">G38-F38</f>
        <v>-4710</v>
      </c>
      <c r="I38" s="22" t="s">
        <v>108</v>
      </c>
      <c r="J38" s="19"/>
      <c r="K38" s="24"/>
      <c r="L38" s="24">
        <v>42839</v>
      </c>
      <c r="M38" s="18" t="s">
        <v>62</v>
      </c>
      <c r="N38" s="19"/>
      <c r="O38" s="3">
        <v>24.5</v>
      </c>
      <c r="P38" s="31"/>
      <c r="Q38" s="55">
        <v>19800</v>
      </c>
      <c r="R38" s="3">
        <f>65*E38</f>
        <v>13000</v>
      </c>
      <c r="S38" s="27">
        <f t="shared" ref="S38" si="56">-35*E38</f>
        <v>-7000</v>
      </c>
      <c r="T38" s="27">
        <f t="shared" ref="T38" si="57">X38*F38*0.005</f>
        <v>3987.7664213320468</v>
      </c>
      <c r="U38" s="3">
        <f>E38*5</f>
        <v>1000</v>
      </c>
      <c r="V38" s="19"/>
      <c r="W38" s="3">
        <v>0.3</v>
      </c>
      <c r="X38" s="3">
        <f>((O38*F38)+Q38+R38+S38+U38)/G38</f>
        <v>31.362693050193052</v>
      </c>
      <c r="Y38" s="3">
        <f t="shared" ref="Y38" si="58">((O38*F38)+Q38+R38+S38+T38+U38)/G38+W38</f>
        <v>31.855152819562356</v>
      </c>
      <c r="Z38" s="29">
        <f>Y38*G38</f>
        <v>660038.76642133202</v>
      </c>
      <c r="AA38" s="30">
        <v>42821</v>
      </c>
    </row>
    <row r="39" spans="1:27" s="22" customFormat="1" x14ac:dyDescent="0.25">
      <c r="A39" s="54"/>
      <c r="B39" s="17" t="s">
        <v>109</v>
      </c>
      <c r="C39" s="19" t="s">
        <v>110</v>
      </c>
      <c r="D39" s="18" t="s">
        <v>94</v>
      </c>
      <c r="E39" s="19" t="s">
        <v>111</v>
      </c>
      <c r="F39" s="20">
        <v>22.7</v>
      </c>
      <c r="G39" s="21">
        <v>22.7</v>
      </c>
      <c r="H39" s="21">
        <f t="shared" si="55"/>
        <v>0</v>
      </c>
      <c r="J39" s="19"/>
      <c r="K39" s="24"/>
      <c r="L39" s="24">
        <v>42809</v>
      </c>
      <c r="M39" s="18" t="s">
        <v>31</v>
      </c>
      <c r="N39" s="19"/>
      <c r="O39" s="3">
        <v>190</v>
      </c>
      <c r="P39" s="31"/>
      <c r="Q39" s="3"/>
      <c r="R39" s="3"/>
      <c r="S39" s="27"/>
      <c r="T39" s="27"/>
      <c r="U39" s="3"/>
      <c r="V39" s="19"/>
      <c r="W39" s="3"/>
      <c r="X39" s="3">
        <f t="shared" ref="X39:X42" si="59">IF(O39&gt;0,O39,((P39*2.2046*S39)+(Q39+R39)/G39)+V39)</f>
        <v>190</v>
      </c>
      <c r="Y39" s="3">
        <f t="shared" ref="Y39:Y42" si="60">IF(O39&gt;0,O39,((P39*2.2046*S39)+(Q39+R39+T39)/G39)+V39+W39)</f>
        <v>190</v>
      </c>
      <c r="Z39" s="29">
        <f t="shared" ref="Z39:Z42" si="61">Y39*F39</f>
        <v>4313</v>
      </c>
      <c r="AA39" s="30">
        <v>42809</v>
      </c>
    </row>
    <row r="40" spans="1:27" s="22" customFormat="1" x14ac:dyDescent="0.25">
      <c r="A40" s="54"/>
      <c r="B40" s="17" t="s">
        <v>112</v>
      </c>
      <c r="C40" s="19" t="s">
        <v>110</v>
      </c>
      <c r="D40" s="18" t="s">
        <v>94</v>
      </c>
      <c r="E40" s="19" t="s">
        <v>111</v>
      </c>
      <c r="F40" s="20">
        <v>50</v>
      </c>
      <c r="G40" s="21">
        <v>50</v>
      </c>
      <c r="H40" s="21">
        <f t="shared" si="55"/>
        <v>0</v>
      </c>
      <c r="J40" s="19"/>
      <c r="K40" s="24"/>
      <c r="L40" s="24">
        <v>42809</v>
      </c>
      <c r="M40" s="18" t="s">
        <v>31</v>
      </c>
      <c r="N40" s="19"/>
      <c r="O40" s="3">
        <v>190</v>
      </c>
      <c r="P40" s="31"/>
      <c r="Q40" s="3"/>
      <c r="R40" s="3"/>
      <c r="S40" s="27"/>
      <c r="T40" s="27"/>
      <c r="U40" s="3"/>
      <c r="V40" s="19"/>
      <c r="W40" s="3"/>
      <c r="X40" s="3">
        <f t="shared" si="59"/>
        <v>190</v>
      </c>
      <c r="Y40" s="3">
        <f t="shared" si="60"/>
        <v>190</v>
      </c>
      <c r="Z40" s="29">
        <f t="shared" si="61"/>
        <v>9500</v>
      </c>
      <c r="AA40" s="30">
        <v>42809</v>
      </c>
    </row>
    <row r="41" spans="1:27" s="22" customFormat="1" x14ac:dyDescent="0.25">
      <c r="A41" s="54"/>
      <c r="B41" s="17" t="s">
        <v>76</v>
      </c>
      <c r="C41" s="19" t="s">
        <v>33</v>
      </c>
      <c r="D41" s="18" t="s">
        <v>77</v>
      </c>
      <c r="E41" s="19" t="s">
        <v>78</v>
      </c>
      <c r="F41" s="20">
        <f>938.5+906.3+919.9+936.7</f>
        <v>3701.3999999999996</v>
      </c>
      <c r="G41" s="21">
        <v>3701.4</v>
      </c>
      <c r="H41" s="21">
        <f t="shared" si="55"/>
        <v>0</v>
      </c>
      <c r="I41" s="22" t="s">
        <v>113</v>
      </c>
      <c r="J41" s="19"/>
      <c r="K41" s="24"/>
      <c r="L41" s="24">
        <v>42809</v>
      </c>
      <c r="M41" s="18" t="s">
        <v>31</v>
      </c>
      <c r="N41" s="19"/>
      <c r="O41" s="3">
        <v>20.5</v>
      </c>
      <c r="P41" s="31"/>
      <c r="Q41" s="3"/>
      <c r="R41" s="3"/>
      <c r="S41" s="27"/>
      <c r="T41" s="27"/>
      <c r="U41" s="3"/>
      <c r="V41" s="3"/>
      <c r="W41" s="3"/>
      <c r="X41" s="3">
        <f t="shared" si="59"/>
        <v>20.5</v>
      </c>
      <c r="Y41" s="3">
        <f t="shared" si="60"/>
        <v>20.5</v>
      </c>
      <c r="Z41" s="29">
        <f t="shared" si="61"/>
        <v>75878.7</v>
      </c>
      <c r="AA41" s="30">
        <v>42817</v>
      </c>
    </row>
    <row r="42" spans="1:27" s="22" customFormat="1" x14ac:dyDescent="0.25">
      <c r="A42" s="54"/>
      <c r="B42" s="17" t="s">
        <v>26</v>
      </c>
      <c r="C42" s="18" t="s">
        <v>37</v>
      </c>
      <c r="D42" s="18" t="s">
        <v>37</v>
      </c>
      <c r="E42" s="19" t="s">
        <v>28</v>
      </c>
      <c r="F42" s="20">
        <f>40905*0.4536</f>
        <v>18554.508000000002</v>
      </c>
      <c r="G42" s="21">
        <v>18495.060000000001</v>
      </c>
      <c r="H42" s="21">
        <f>G42-F42</f>
        <v>-59.44800000000032</v>
      </c>
      <c r="I42" s="22" t="s">
        <v>114</v>
      </c>
      <c r="J42" s="23" t="s">
        <v>39</v>
      </c>
      <c r="K42" s="24">
        <v>42808</v>
      </c>
      <c r="L42" s="24">
        <v>42809</v>
      </c>
      <c r="M42" s="18" t="s">
        <v>31</v>
      </c>
      <c r="N42" s="18" t="s">
        <v>115</v>
      </c>
      <c r="O42" s="3"/>
      <c r="P42" s="25">
        <f>0.6127+0.095</f>
        <v>0.7077</v>
      </c>
      <c r="Q42" s="26">
        <v>23000</v>
      </c>
      <c r="R42" s="3">
        <v>9400</v>
      </c>
      <c r="S42" s="27">
        <v>19.72</v>
      </c>
      <c r="T42" s="27">
        <f>X42*F42*0.005</f>
        <v>3027.9911339521122</v>
      </c>
      <c r="V42" s="3">
        <v>0.12</v>
      </c>
      <c r="W42" s="3">
        <v>0.3</v>
      </c>
      <c r="X42" s="3">
        <f t="shared" si="59"/>
        <v>32.638872816806696</v>
      </c>
      <c r="Y42" s="3">
        <f t="shared" si="60"/>
        <v>33.102591730611358</v>
      </c>
      <c r="Z42" s="29">
        <f t="shared" si="61"/>
        <v>614202.30308636231</v>
      </c>
      <c r="AA42" s="30">
        <v>42802</v>
      </c>
    </row>
    <row r="43" spans="1:27" s="22" customFormat="1" x14ac:dyDescent="0.25">
      <c r="A43" s="54"/>
      <c r="B43" s="17" t="s">
        <v>41</v>
      </c>
      <c r="C43" s="19" t="s">
        <v>42</v>
      </c>
      <c r="D43" s="18" t="s">
        <v>101</v>
      </c>
      <c r="E43" s="19">
        <v>130</v>
      </c>
      <c r="F43" s="20">
        <v>14865</v>
      </c>
      <c r="G43" s="21">
        <f>7090+4880</f>
        <v>11970</v>
      </c>
      <c r="H43" s="21">
        <f t="shared" ref="H43" si="62">G43-F43</f>
        <v>-2895</v>
      </c>
      <c r="I43" s="22" t="s">
        <v>116</v>
      </c>
      <c r="J43" s="19"/>
      <c r="K43" s="24"/>
      <c r="L43" s="24">
        <v>42809</v>
      </c>
      <c r="M43" s="18" t="s">
        <v>31</v>
      </c>
      <c r="N43" s="19"/>
      <c r="O43" s="3">
        <v>24.5</v>
      </c>
      <c r="P43" s="31"/>
      <c r="Q43" s="26">
        <v>15700</v>
      </c>
      <c r="R43" s="3">
        <f>65*E43</f>
        <v>8450</v>
      </c>
      <c r="S43" s="27">
        <f t="shared" ref="S43" si="63">-35*E43</f>
        <v>-4550</v>
      </c>
      <c r="T43" s="27">
        <f>X43*F43*0.0045</f>
        <v>2148.3976550751877</v>
      </c>
      <c r="U43" s="3">
        <f>E43*5</f>
        <v>650</v>
      </c>
      <c r="V43" s="19"/>
      <c r="W43" s="3">
        <v>0.3</v>
      </c>
      <c r="X43" s="3">
        <f>((O43*F43)+Q43+R43+S43+U43)/G43</f>
        <v>32.117167919799499</v>
      </c>
      <c r="Y43" s="3">
        <f t="shared" ref="Y43" si="64">((O43*F43)+Q43+R43+S43+T43+U43)/G43+W43</f>
        <v>32.596649762328752</v>
      </c>
      <c r="Z43" s="29">
        <f>Y43*G43</f>
        <v>390181.89765507518</v>
      </c>
      <c r="AA43" s="30">
        <v>42822</v>
      </c>
    </row>
    <row r="44" spans="1:27" s="22" customFormat="1" x14ac:dyDescent="0.25">
      <c r="A44" s="54"/>
      <c r="B44" s="17" t="s">
        <v>26</v>
      </c>
      <c r="C44" s="18" t="s">
        <v>33</v>
      </c>
      <c r="D44" s="18" t="s">
        <v>33</v>
      </c>
      <c r="E44" s="19" t="s">
        <v>34</v>
      </c>
      <c r="F44" s="20">
        <f>42824*0.4536</f>
        <v>19424.966400000001</v>
      </c>
      <c r="G44" s="21">
        <v>19421.93</v>
      </c>
      <c r="H44" s="21">
        <f>G44-F44</f>
        <v>-3.0364000000008673</v>
      </c>
      <c r="I44" s="22" t="s">
        <v>117</v>
      </c>
      <c r="J44" s="23" t="s">
        <v>30</v>
      </c>
      <c r="K44" s="24">
        <v>42809</v>
      </c>
      <c r="L44" s="24">
        <v>42810</v>
      </c>
      <c r="M44" s="18" t="s">
        <v>47</v>
      </c>
      <c r="N44" s="18" t="s">
        <v>118</v>
      </c>
      <c r="O44" s="3"/>
      <c r="P44" s="25">
        <f>0.6257+0.105</f>
        <v>0.73070000000000002</v>
      </c>
      <c r="Q44" s="26">
        <v>23000</v>
      </c>
      <c r="R44" s="3">
        <v>9400</v>
      </c>
      <c r="S44" s="27">
        <v>19.690000000000001</v>
      </c>
      <c r="T44" s="27">
        <f>X44*F44*0.005</f>
        <v>3254.3483757253034</v>
      </c>
      <c r="V44" s="3">
        <v>0.12</v>
      </c>
      <c r="W44" s="3">
        <v>0.3</v>
      </c>
      <c r="X44" s="3">
        <f t="shared" ref="X44" si="65">IF(O44&gt;0,O44,((P44*2.2046*S44)+(Q44+R44)/G44)+V44)</f>
        <v>33.506862341088045</v>
      </c>
      <c r="Y44" s="3">
        <f t="shared" ref="Y44" si="66">IF(O44&gt;0,O44,((P44*2.2046*S44)+(Q44+R44+T44)/G44)+V44+W44)</f>
        <v>33.974422844896125</v>
      </c>
      <c r="Z44" s="29">
        <f t="shared" ref="Z44" si="67">Y44*F44</f>
        <v>659952.0222214997</v>
      </c>
      <c r="AA44" s="30">
        <v>42803</v>
      </c>
    </row>
    <row r="45" spans="1:27" s="22" customFormat="1" x14ac:dyDescent="0.25">
      <c r="A45" s="54"/>
      <c r="B45" s="17" t="s">
        <v>41</v>
      </c>
      <c r="C45" s="19" t="s">
        <v>42</v>
      </c>
      <c r="D45" s="18" t="s">
        <v>119</v>
      </c>
      <c r="E45" s="19">
        <f>230</f>
        <v>230</v>
      </c>
      <c r="F45" s="20">
        <f>26235</f>
        <v>26235</v>
      </c>
      <c r="G45" s="21">
        <f>18960</f>
        <v>18960</v>
      </c>
      <c r="H45" s="21">
        <f t="shared" ref="H45:H46" si="68">G45-F45</f>
        <v>-7275</v>
      </c>
      <c r="I45" s="22" t="s">
        <v>120</v>
      </c>
      <c r="J45" s="19"/>
      <c r="K45" s="24"/>
      <c r="L45" s="24">
        <v>42810</v>
      </c>
      <c r="M45" s="18" t="s">
        <v>47</v>
      </c>
      <c r="N45" s="19"/>
      <c r="O45" s="3">
        <v>24.5</v>
      </c>
      <c r="P45" s="31"/>
      <c r="Q45" s="26">
        <f>19800</f>
        <v>19800</v>
      </c>
      <c r="R45" s="3">
        <f t="shared" ref="R45:R46" si="69">65*E45</f>
        <v>14950</v>
      </c>
      <c r="S45" s="27">
        <f t="shared" ref="S45:S46" si="70">-35*E45</f>
        <v>-8050</v>
      </c>
      <c r="T45" s="27">
        <f t="shared" ref="T45:T46" si="71">X45*F45*0.0045</f>
        <v>4175.6458297072777</v>
      </c>
      <c r="U45" s="3">
        <f t="shared" ref="U45:U46" si="72">E45*5</f>
        <v>1150</v>
      </c>
      <c r="V45" s="19"/>
      <c r="W45" s="3">
        <v>0.3</v>
      </c>
      <c r="X45" s="3">
        <f t="shared" ref="X45:X46" si="73">((O45*F45)+Q45+R45+S45+U45)/G45</f>
        <v>35.369593881856538</v>
      </c>
      <c r="Y45" s="3">
        <f t="shared" ref="Y45:Y46" si="74">((O45*F45)+Q45+R45+S45+T45+U45)/G45+W45</f>
        <v>35.889828366545736</v>
      </c>
      <c r="Z45" s="29">
        <f t="shared" ref="Z45:Z46" si="75">Y45*G45</f>
        <v>680471.14582970715</v>
      </c>
      <c r="AA45" s="30">
        <v>42823</v>
      </c>
    </row>
    <row r="46" spans="1:27" s="22" customFormat="1" x14ac:dyDescent="0.25">
      <c r="A46" s="54"/>
      <c r="B46" s="17" t="s">
        <v>41</v>
      </c>
      <c r="C46" s="19" t="s">
        <v>42</v>
      </c>
      <c r="D46" s="18" t="s">
        <v>45</v>
      </c>
      <c r="E46" s="19">
        <v>99</v>
      </c>
      <c r="F46" s="20">
        <v>12170</v>
      </c>
      <c r="G46" s="21">
        <v>11760</v>
      </c>
      <c r="H46" s="21">
        <f t="shared" si="68"/>
        <v>-410</v>
      </c>
      <c r="I46" s="22" t="s">
        <v>121</v>
      </c>
      <c r="J46" s="19"/>
      <c r="K46" s="24"/>
      <c r="L46" s="24">
        <v>42810</v>
      </c>
      <c r="M46" s="18" t="s">
        <v>47</v>
      </c>
      <c r="N46" s="19"/>
      <c r="O46" s="3">
        <v>24.5</v>
      </c>
      <c r="P46" s="31"/>
      <c r="Q46" s="26">
        <v>15700</v>
      </c>
      <c r="R46" s="3">
        <f t="shared" si="69"/>
        <v>6435</v>
      </c>
      <c r="S46" s="27">
        <f t="shared" si="70"/>
        <v>-3465</v>
      </c>
      <c r="T46" s="27">
        <f t="shared" si="71"/>
        <v>1477.7701913265305</v>
      </c>
      <c r="U46" s="3">
        <f t="shared" si="72"/>
        <v>495</v>
      </c>
      <c r="V46" s="19"/>
      <c r="W46" s="3">
        <v>0.3</v>
      </c>
      <c r="X46" s="3">
        <f t="shared" si="73"/>
        <v>26.983843537414966</v>
      </c>
      <c r="Y46" s="3">
        <f t="shared" si="74"/>
        <v>27.409504267969943</v>
      </c>
      <c r="Z46" s="29">
        <f t="shared" si="75"/>
        <v>322335.7701913265</v>
      </c>
      <c r="AA46" s="30">
        <v>42823</v>
      </c>
    </row>
    <row r="47" spans="1:27" s="22" customFormat="1" x14ac:dyDescent="0.25">
      <c r="A47" s="54"/>
      <c r="B47" s="17" t="s">
        <v>26</v>
      </c>
      <c r="C47" s="18" t="s">
        <v>27</v>
      </c>
      <c r="D47" s="18" t="s">
        <v>27</v>
      </c>
      <c r="E47" s="19" t="s">
        <v>34</v>
      </c>
      <c r="F47" s="20">
        <f>41067*0.4536</f>
        <v>18627.9912</v>
      </c>
      <c r="G47" s="21">
        <v>18583.87</v>
      </c>
      <c r="H47" s="21">
        <f>G47-F47</f>
        <v>-44.121200000001409</v>
      </c>
      <c r="I47" s="22" t="s">
        <v>122</v>
      </c>
      <c r="J47" s="23" t="s">
        <v>30</v>
      </c>
      <c r="K47" s="24">
        <v>42810</v>
      </c>
      <c r="L47" s="24">
        <v>42811</v>
      </c>
      <c r="M47" s="18" t="s">
        <v>49</v>
      </c>
      <c r="N47" s="18" t="s">
        <v>123</v>
      </c>
      <c r="O47" s="3"/>
      <c r="P47" s="25">
        <f>0.6257+0.1</f>
        <v>0.72570000000000001</v>
      </c>
      <c r="Q47" s="26">
        <v>23000</v>
      </c>
      <c r="R47" s="3">
        <v>9400</v>
      </c>
      <c r="S47" s="51">
        <v>18.965</v>
      </c>
      <c r="T47" s="27">
        <f>X47*F47*0.005</f>
        <v>2999.5851224405442</v>
      </c>
      <c r="V47" s="3">
        <v>0.12</v>
      </c>
      <c r="W47" s="3">
        <v>0.3</v>
      </c>
      <c r="X47" s="3">
        <f t="shared" ref="X47" si="76">IF(O47&gt;0,O47,((P47*2.2046*S47)+(Q47+R47)/G47)+V47)</f>
        <v>32.20513785126272</v>
      </c>
      <c r="Y47" s="3">
        <f t="shared" ref="Y47" si="77">IF(O47&gt;0,O47,((P47*2.2046*S47)+(Q47+R47+T47)/G47)+V47+W47)</f>
        <v>32.666545842302284</v>
      </c>
      <c r="Z47" s="29">
        <f t="shared" ref="Z47" si="78">Y47*F47</f>
        <v>608512.1284848036</v>
      </c>
      <c r="AA47" s="30">
        <v>42822</v>
      </c>
    </row>
    <row r="48" spans="1:27" s="22" customFormat="1" x14ac:dyDescent="0.25">
      <c r="A48" s="54"/>
      <c r="B48" s="17" t="s">
        <v>41</v>
      </c>
      <c r="C48" s="19" t="s">
        <v>42</v>
      </c>
      <c r="D48" s="18" t="s">
        <v>58</v>
      </c>
      <c r="E48" s="19">
        <f>200</f>
        <v>200</v>
      </c>
      <c r="F48" s="20">
        <f>23805</f>
        <v>23805</v>
      </c>
      <c r="G48" s="21">
        <f>18400</f>
        <v>18400</v>
      </c>
      <c r="H48" s="21">
        <f t="shared" ref="H48:H53" si="79">G48-F48</f>
        <v>-5405</v>
      </c>
      <c r="I48" s="22" t="s">
        <v>124</v>
      </c>
      <c r="J48" s="19"/>
      <c r="K48" s="24"/>
      <c r="L48" s="24">
        <v>42811</v>
      </c>
      <c r="M48" s="18" t="s">
        <v>49</v>
      </c>
      <c r="N48" s="19"/>
      <c r="O48" s="3">
        <v>24.5</v>
      </c>
      <c r="P48" s="31"/>
      <c r="Q48" s="26">
        <f>19800</f>
        <v>19800</v>
      </c>
      <c r="R48" s="3">
        <f t="shared" ref="R48:R49" si="80">65*E48</f>
        <v>13000</v>
      </c>
      <c r="S48" s="27">
        <f>-35*E48</f>
        <v>-7000</v>
      </c>
      <c r="T48" s="27">
        <f>X48*F48*0.0045</f>
        <v>3551.4747421874999</v>
      </c>
      <c r="U48" s="3">
        <f>E48*5</f>
        <v>1000</v>
      </c>
      <c r="V48" s="19"/>
      <c r="W48" s="3">
        <v>0.3</v>
      </c>
      <c r="X48" s="3">
        <f>((O48*F48)+Q48+R48+S48+U48)/G48</f>
        <v>33.153396739130436</v>
      </c>
      <c r="Y48" s="3">
        <f t="shared" ref="Y48:Y49" si="81">((O48*F48)+Q48+R48+S48+T48+U48)/G48+W48</f>
        <v>33.646411670771059</v>
      </c>
      <c r="Z48" s="29">
        <f t="shared" ref="Z48:Z49" si="82">Y48*G48</f>
        <v>619093.97474218754</v>
      </c>
      <c r="AA48" s="30">
        <v>42824</v>
      </c>
    </row>
    <row r="49" spans="1:27" s="22" customFormat="1" x14ac:dyDescent="0.25">
      <c r="A49" s="54"/>
      <c r="B49" s="17" t="s">
        <v>41</v>
      </c>
      <c r="C49" s="19" t="s">
        <v>42</v>
      </c>
      <c r="D49" s="18" t="s">
        <v>45</v>
      </c>
      <c r="E49" s="19">
        <v>130</v>
      </c>
      <c r="F49" s="20">
        <v>14605</v>
      </c>
      <c r="G49" s="21">
        <v>12150</v>
      </c>
      <c r="H49" s="21">
        <f t="shared" si="79"/>
        <v>-2455</v>
      </c>
      <c r="I49" s="18" t="s">
        <v>125</v>
      </c>
      <c r="J49" s="19"/>
      <c r="K49" s="24"/>
      <c r="L49" s="24">
        <v>42811</v>
      </c>
      <c r="M49" s="18" t="s">
        <v>49</v>
      </c>
      <c r="N49" s="19"/>
      <c r="O49" s="3">
        <v>24.5</v>
      </c>
      <c r="P49" s="31"/>
      <c r="Q49" s="26">
        <v>15700</v>
      </c>
      <c r="R49" s="3">
        <f t="shared" si="80"/>
        <v>8450</v>
      </c>
      <c r="S49" s="27">
        <f>-35*E49</f>
        <v>-4550</v>
      </c>
      <c r="T49" s="27">
        <f>X49*F49*0.0045</f>
        <v>2045.0921712962961</v>
      </c>
      <c r="U49" s="3">
        <f>E49*5</f>
        <v>650</v>
      </c>
      <c r="V49" s="19"/>
      <c r="W49" s="3">
        <v>0.3</v>
      </c>
      <c r="X49" s="3">
        <f>((O49*F49)+Q49+R49+S49+U49)/G49</f>
        <v>31.117078189300411</v>
      </c>
      <c r="Y49" s="3">
        <f t="shared" si="81"/>
        <v>31.585398532616981</v>
      </c>
      <c r="Z49" s="29">
        <f t="shared" si="82"/>
        <v>383762.5921712963</v>
      </c>
      <c r="AA49" s="30">
        <v>42824</v>
      </c>
    </row>
    <row r="50" spans="1:27" s="22" customFormat="1" x14ac:dyDescent="0.25">
      <c r="A50" s="54"/>
      <c r="B50" s="17" t="s">
        <v>126</v>
      </c>
      <c r="C50" s="19" t="s">
        <v>127</v>
      </c>
      <c r="D50" s="18" t="s">
        <v>128</v>
      </c>
      <c r="E50" s="19" t="s">
        <v>129</v>
      </c>
      <c r="F50" s="20">
        <v>16751.289000000001</v>
      </c>
      <c r="G50" s="21">
        <v>16754.3</v>
      </c>
      <c r="H50" s="21">
        <f>G50-F50</f>
        <v>3.010999999998603</v>
      </c>
      <c r="I50" s="18" t="s">
        <v>130</v>
      </c>
      <c r="J50" s="19"/>
      <c r="K50" s="24"/>
      <c r="L50" s="24">
        <v>42811</v>
      </c>
      <c r="M50" s="18" t="s">
        <v>49</v>
      </c>
      <c r="N50" s="19"/>
      <c r="O50" s="3">
        <v>93.5</v>
      </c>
      <c r="P50" s="31"/>
      <c r="Q50" s="3"/>
      <c r="R50" s="3"/>
      <c r="S50" s="27"/>
      <c r="T50" s="27"/>
      <c r="U50" s="3"/>
      <c r="V50" s="3"/>
      <c r="W50" s="3"/>
      <c r="X50" s="3">
        <f>IF(O50&gt;0,O50,((P50*2.2046*S50)+(Q50+R50)/G50)+V50)</f>
        <v>93.5</v>
      </c>
      <c r="Y50" s="3">
        <f t="shared" ref="Y50:Y53" si="83">IF(O50&gt;0,O50,((P50*2.2046*S50)+(Q50+R50+T50)/G50)+V50+W50)</f>
        <v>93.5</v>
      </c>
      <c r="Z50" s="29">
        <f>Y50*F50</f>
        <v>1566245.5215</v>
      </c>
      <c r="AA50" s="30">
        <v>42831</v>
      </c>
    </row>
    <row r="51" spans="1:27" s="22" customFormat="1" x14ac:dyDescent="0.25">
      <c r="A51" s="54"/>
      <c r="B51" s="17" t="s">
        <v>26</v>
      </c>
      <c r="C51" s="18" t="s">
        <v>27</v>
      </c>
      <c r="D51" s="18" t="s">
        <v>27</v>
      </c>
      <c r="E51" s="19" t="s">
        <v>34</v>
      </c>
      <c r="F51" s="20">
        <f>41109*0.4536</f>
        <v>18647.042399999998</v>
      </c>
      <c r="G51" s="21">
        <v>18574.28</v>
      </c>
      <c r="H51" s="21">
        <f>G51-F51</f>
        <v>-72.762399999999616</v>
      </c>
      <c r="I51" s="22" t="s">
        <v>131</v>
      </c>
      <c r="J51" s="23" t="s">
        <v>30</v>
      </c>
      <c r="K51" s="24">
        <v>42811</v>
      </c>
      <c r="L51" s="24">
        <v>42812</v>
      </c>
      <c r="M51" s="18" t="s">
        <v>98</v>
      </c>
      <c r="N51" s="18" t="s">
        <v>132</v>
      </c>
      <c r="O51" s="3"/>
      <c r="P51" s="25">
        <f>0.6352+0.1</f>
        <v>0.73519999999999996</v>
      </c>
      <c r="Q51" s="26">
        <v>23000</v>
      </c>
      <c r="R51" s="3">
        <v>9400</v>
      </c>
      <c r="S51" s="51">
        <v>18.965</v>
      </c>
      <c r="T51" s="27">
        <f>X51*F51*0.005</f>
        <v>3039.769552561665</v>
      </c>
      <c r="V51" s="3">
        <v>0.12</v>
      </c>
      <c r="W51" s="3">
        <v>0.3</v>
      </c>
      <c r="X51" s="3">
        <f t="shared" ref="X51:X53" si="84">IF(O51&gt;0,O51,((P51*2.2046*S51)+(Q51+R51)/G51)+V51)</f>
        <v>32.603235272974608</v>
      </c>
      <c r="Y51" s="3">
        <f t="shared" si="83"/>
        <v>33.066890044656823</v>
      </c>
      <c r="Z51" s="29">
        <f t="shared" ref="Z51:Z53" si="85">Y51*F51</f>
        <v>616599.70069885359</v>
      </c>
      <c r="AA51" s="30">
        <v>42822</v>
      </c>
    </row>
    <row r="52" spans="1:27" s="22" customFormat="1" x14ac:dyDescent="0.25">
      <c r="A52" s="54"/>
      <c r="B52" s="17" t="s">
        <v>26</v>
      </c>
      <c r="C52" s="18" t="s">
        <v>33</v>
      </c>
      <c r="D52" s="18" t="s">
        <v>33</v>
      </c>
      <c r="E52" s="19" t="s">
        <v>34</v>
      </c>
      <c r="F52" s="20">
        <f>40740*0.4536</f>
        <v>18479.664000000001</v>
      </c>
      <c r="G52" s="21">
        <v>18441</v>
      </c>
      <c r="H52" s="21">
        <f t="shared" si="79"/>
        <v>-38.664000000000669</v>
      </c>
      <c r="I52" s="22" t="s">
        <v>133</v>
      </c>
      <c r="J52" s="23" t="s">
        <v>30</v>
      </c>
      <c r="K52" s="24">
        <v>42811</v>
      </c>
      <c r="L52" s="24">
        <v>42812</v>
      </c>
      <c r="M52" s="18" t="s">
        <v>98</v>
      </c>
      <c r="N52" s="18" t="s">
        <v>134</v>
      </c>
      <c r="O52" s="3"/>
      <c r="P52" s="25">
        <f>0.6421+0.105</f>
        <v>0.74709999999999999</v>
      </c>
      <c r="Q52" s="26">
        <v>23000</v>
      </c>
      <c r="R52" s="3">
        <v>9400</v>
      </c>
      <c r="S52" s="27">
        <v>19.71</v>
      </c>
      <c r="T52" s="27">
        <f t="shared" ref="T52:T53" si="86">X52*F52*0.005</f>
        <v>3172.9990916264614</v>
      </c>
      <c r="V52" s="3">
        <v>0.12</v>
      </c>
      <c r="W52" s="3">
        <v>0.3</v>
      </c>
      <c r="X52" s="3">
        <f t="shared" si="84"/>
        <v>34.340441380605853</v>
      </c>
      <c r="Y52" s="3">
        <f t="shared" si="83"/>
        <v>34.812503583936824</v>
      </c>
      <c r="Z52" s="29">
        <f t="shared" si="85"/>
        <v>643323.36922994838</v>
      </c>
      <c r="AA52" s="30">
        <v>42807</v>
      </c>
    </row>
    <row r="53" spans="1:27" s="22" customFormat="1" x14ac:dyDescent="0.25">
      <c r="A53" s="54"/>
      <c r="B53" s="17" t="s">
        <v>26</v>
      </c>
      <c r="C53" s="18" t="s">
        <v>33</v>
      </c>
      <c r="D53" s="18" t="s">
        <v>33</v>
      </c>
      <c r="E53" s="19" t="s">
        <v>34</v>
      </c>
      <c r="F53" s="20">
        <f>41826*0.4536</f>
        <v>18972.2736</v>
      </c>
      <c r="G53" s="21">
        <v>18970.169999999998</v>
      </c>
      <c r="H53" s="21">
        <f t="shared" si="79"/>
        <v>-2.1036000000021886</v>
      </c>
      <c r="I53" s="22" t="s">
        <v>135</v>
      </c>
      <c r="J53" s="23" t="s">
        <v>30</v>
      </c>
      <c r="K53" s="24">
        <v>42811</v>
      </c>
      <c r="L53" s="24">
        <v>42812</v>
      </c>
      <c r="M53" s="18" t="s">
        <v>98</v>
      </c>
      <c r="N53" s="18" t="s">
        <v>134</v>
      </c>
      <c r="O53" s="3"/>
      <c r="P53" s="25">
        <v>0.74709999999999999</v>
      </c>
      <c r="Q53" s="26">
        <v>23000</v>
      </c>
      <c r="R53" s="3">
        <v>9400</v>
      </c>
      <c r="S53" s="27">
        <v>19.71</v>
      </c>
      <c r="T53" s="27">
        <f t="shared" si="86"/>
        <v>3252.9320932409237</v>
      </c>
      <c r="V53" s="3">
        <v>0.12</v>
      </c>
      <c r="W53" s="3">
        <v>0.3</v>
      </c>
      <c r="X53" s="3">
        <f t="shared" si="84"/>
        <v>34.291431399565347</v>
      </c>
      <c r="Y53" s="3">
        <f t="shared" si="83"/>
        <v>34.762907569427867</v>
      </c>
      <c r="Z53" s="29">
        <f t="shared" si="85"/>
        <v>659531.39353869646</v>
      </c>
      <c r="AA53" s="30">
        <v>42807</v>
      </c>
    </row>
    <row r="54" spans="1:27" s="22" customFormat="1" ht="15.75" thickBot="1" x14ac:dyDescent="0.3">
      <c r="A54" s="54"/>
      <c r="B54" s="34"/>
      <c r="C54" s="6"/>
      <c r="D54" s="6"/>
      <c r="E54" s="6"/>
      <c r="F54" s="35"/>
      <c r="G54" s="35"/>
      <c r="H54" s="35"/>
      <c r="I54" s="9"/>
      <c r="J54" s="6"/>
      <c r="K54" s="10"/>
      <c r="L54" s="10"/>
      <c r="M54" s="6"/>
      <c r="N54" s="6"/>
      <c r="O54" s="11"/>
      <c r="P54" s="12"/>
      <c r="Q54" s="11"/>
      <c r="R54" s="11"/>
      <c r="S54" s="11"/>
      <c r="T54" s="11"/>
      <c r="U54" s="11"/>
      <c r="V54" s="11"/>
      <c r="W54" s="11"/>
      <c r="X54" s="11"/>
      <c r="Y54" s="11"/>
      <c r="Z54" s="15"/>
      <c r="AA54" s="36"/>
    </row>
    <row r="55" spans="1:27" s="22" customFormat="1" x14ac:dyDescent="0.25">
      <c r="A55" s="56"/>
      <c r="B55" s="38" t="s">
        <v>41</v>
      </c>
      <c r="C55" s="38" t="s">
        <v>42</v>
      </c>
      <c r="D55" s="39" t="s">
        <v>58</v>
      </c>
      <c r="E55" s="38">
        <v>131</v>
      </c>
      <c r="F55" s="40">
        <v>14830</v>
      </c>
      <c r="G55" s="41">
        <v>11920</v>
      </c>
      <c r="H55" s="41">
        <f t="shared" ref="H55:H57" si="87">G55-F55</f>
        <v>-2910</v>
      </c>
      <c r="I55" s="39" t="s">
        <v>136</v>
      </c>
      <c r="J55" s="38"/>
      <c r="K55" s="42"/>
      <c r="L55" s="42">
        <v>42813</v>
      </c>
      <c r="M55" s="39" t="s">
        <v>57</v>
      </c>
      <c r="N55" s="38"/>
      <c r="O55" s="43">
        <v>24</v>
      </c>
      <c r="P55" s="44"/>
      <c r="Q55" s="57">
        <v>15700</v>
      </c>
      <c r="R55" s="3">
        <f t="shared" ref="R55:R56" si="88">65*E55</f>
        <v>8515</v>
      </c>
      <c r="S55" s="46">
        <f>-35*E55</f>
        <v>-4585</v>
      </c>
      <c r="T55" s="46">
        <f>X55*F55*0.0045</f>
        <v>2106.2114660234897</v>
      </c>
      <c r="U55" s="43">
        <f>E55*5</f>
        <v>655</v>
      </c>
      <c r="V55" s="38"/>
      <c r="W55" s="43">
        <v>0.3</v>
      </c>
      <c r="X55" s="43">
        <f>((O55*F55)+Q55+R55+S55+U55)/G55</f>
        <v>31.560822147651006</v>
      </c>
      <c r="Y55" s="3">
        <f t="shared" ref="Y55:Y57" si="89">((O55*F55)+Q55+R55+S55+T55+U55)/G55+W55</f>
        <v>32.037517740438211</v>
      </c>
      <c r="Z55" s="47">
        <f>Y55*G55</f>
        <v>381887.21146602347</v>
      </c>
      <c r="AA55" s="48">
        <v>42828</v>
      </c>
    </row>
    <row r="56" spans="1:27" s="22" customFormat="1" x14ac:dyDescent="0.25">
      <c r="A56" s="58"/>
      <c r="B56" s="17" t="s">
        <v>41</v>
      </c>
      <c r="C56" s="19" t="s">
        <v>42</v>
      </c>
      <c r="D56" s="18" t="s">
        <v>119</v>
      </c>
      <c r="E56" s="19">
        <v>200</v>
      </c>
      <c r="F56" s="20">
        <v>24175</v>
      </c>
      <c r="G56" s="21">
        <f>12680+6870</f>
        <v>19550</v>
      </c>
      <c r="H56" s="21">
        <f t="shared" si="87"/>
        <v>-4625</v>
      </c>
      <c r="I56" s="18" t="s">
        <v>137</v>
      </c>
      <c r="J56" s="19"/>
      <c r="K56" s="24"/>
      <c r="L56" s="24">
        <v>42814</v>
      </c>
      <c r="M56" s="18" t="s">
        <v>60</v>
      </c>
      <c r="N56" s="19"/>
      <c r="O56" s="3">
        <v>24</v>
      </c>
      <c r="P56" s="31"/>
      <c r="Q56" s="55">
        <v>19800</v>
      </c>
      <c r="R56" s="3">
        <f t="shared" si="88"/>
        <v>13000</v>
      </c>
      <c r="S56" s="27">
        <f t="shared" ref="S56:S57" si="90">-35*E56</f>
        <v>-7000</v>
      </c>
      <c r="T56" s="27">
        <f>X56*F56*0.0045</f>
        <v>3377.6988491048592</v>
      </c>
      <c r="U56" s="3">
        <f>E56*5</f>
        <v>1000</v>
      </c>
      <c r="V56" s="19"/>
      <c r="W56" s="3">
        <v>0.3</v>
      </c>
      <c r="X56" s="3">
        <f>((O56*F56)+Q56+R56+S56+U56)/G56</f>
        <v>31.04859335038363</v>
      </c>
      <c r="Y56" s="3">
        <f t="shared" si="89"/>
        <v>31.521365670030939</v>
      </c>
      <c r="Z56" s="29">
        <f>Y56*G56</f>
        <v>616242.69884910481</v>
      </c>
      <c r="AA56" s="30">
        <v>42828</v>
      </c>
    </row>
    <row r="57" spans="1:27" s="22" customFormat="1" x14ac:dyDescent="0.25">
      <c r="A57" s="58"/>
      <c r="B57" s="17" t="s">
        <v>41</v>
      </c>
      <c r="C57" s="19" t="s">
        <v>42</v>
      </c>
      <c r="D57" s="18" t="s">
        <v>43</v>
      </c>
      <c r="E57" s="19">
        <v>130</v>
      </c>
      <c r="F57" s="20">
        <v>16230</v>
      </c>
      <c r="G57" s="21">
        <f>7150+6010</f>
        <v>13160</v>
      </c>
      <c r="H57" s="21">
        <f t="shared" si="87"/>
        <v>-3070</v>
      </c>
      <c r="I57" s="22" t="s">
        <v>138</v>
      </c>
      <c r="J57" s="19"/>
      <c r="K57" s="24"/>
      <c r="L57" s="24">
        <v>42815</v>
      </c>
      <c r="M57" s="18" t="s">
        <v>62</v>
      </c>
      <c r="N57" s="19"/>
      <c r="O57" s="3">
        <v>24</v>
      </c>
      <c r="P57" s="31"/>
      <c r="Q57" s="26">
        <v>15700</v>
      </c>
      <c r="R57" s="3">
        <f>65*E57</f>
        <v>8450</v>
      </c>
      <c r="S57" s="27">
        <f t="shared" si="90"/>
        <v>-4550</v>
      </c>
      <c r="T57" s="27">
        <f t="shared" ref="T57" si="91">X57*F57*0.005</f>
        <v>2526.8112082066868</v>
      </c>
      <c r="U57" s="3">
        <f>E57*5</f>
        <v>650</v>
      </c>
      <c r="V57" s="19"/>
      <c r="W57" s="3">
        <v>0.3</v>
      </c>
      <c r="X57" s="3">
        <f>((O57*F57)+Q57+R57+S57+U57)/G57</f>
        <v>31.137537993920972</v>
      </c>
      <c r="Y57" s="3">
        <f t="shared" si="89"/>
        <v>31.629544924635766</v>
      </c>
      <c r="Z57" s="29">
        <f>Y57*G57</f>
        <v>416244.81120820669</v>
      </c>
      <c r="AA57" s="30">
        <v>42828</v>
      </c>
    </row>
    <row r="58" spans="1:27" s="22" customFormat="1" x14ac:dyDescent="0.25">
      <c r="A58" s="58"/>
      <c r="B58" s="17" t="s">
        <v>26</v>
      </c>
      <c r="C58" s="18" t="s">
        <v>37</v>
      </c>
      <c r="D58" s="18" t="s">
        <v>37</v>
      </c>
      <c r="E58" s="19" t="s">
        <v>28</v>
      </c>
      <c r="F58" s="20">
        <f>41143*0.4536</f>
        <v>18662.464800000002</v>
      </c>
      <c r="G58" s="21">
        <v>18611.439999999999</v>
      </c>
      <c r="H58" s="21">
        <f>G58-F58</f>
        <v>-51.02480000000287</v>
      </c>
      <c r="I58" s="22" t="s">
        <v>139</v>
      </c>
      <c r="J58" s="23" t="s">
        <v>39</v>
      </c>
      <c r="K58" s="24">
        <v>42815</v>
      </c>
      <c r="L58" s="24">
        <v>42816</v>
      </c>
      <c r="M58" s="18" t="s">
        <v>31</v>
      </c>
      <c r="N58" s="18" t="s">
        <v>140</v>
      </c>
      <c r="O58" s="3"/>
      <c r="P58" s="25">
        <f>0.6388+0.095</f>
        <v>0.73380000000000001</v>
      </c>
      <c r="Q58" s="26">
        <v>23000</v>
      </c>
      <c r="R58" s="3">
        <v>9400</v>
      </c>
      <c r="S58" s="27">
        <v>19.655000000000001</v>
      </c>
      <c r="T58" s="27">
        <f>X58*F58*0.005</f>
        <v>3140.6554036284065</v>
      </c>
      <c r="V58" s="3">
        <v>0.12</v>
      </c>
      <c r="W58" s="3">
        <v>0.3</v>
      </c>
      <c r="X58" s="3">
        <f t="shared" ref="X58:X59" si="92">IF(O58&gt;0,O58,((P58*2.2046*S58)+(Q58+R58)/G58)+V58)</f>
        <v>33.657455617849642</v>
      </c>
      <c r="Y58" s="3">
        <f t="shared" ref="Y58:Y59" si="93">IF(O58&gt;0,O58,((P58*2.2046*S58)+(Q58+R58+T58)/G58)+V58+W58)</f>
        <v>34.126204269411716</v>
      </c>
      <c r="Z58" s="29">
        <f t="shared" ref="Z58:Z59" si="94">Y58*F58</f>
        <v>636879.08593550592</v>
      </c>
      <c r="AA58" s="30">
        <v>42808</v>
      </c>
    </row>
    <row r="59" spans="1:27" s="22" customFormat="1" x14ac:dyDescent="0.25">
      <c r="A59" s="58"/>
      <c r="B59" s="17" t="s">
        <v>26</v>
      </c>
      <c r="C59" s="18" t="s">
        <v>37</v>
      </c>
      <c r="D59" s="18" t="s">
        <v>37</v>
      </c>
      <c r="E59" s="19" t="s">
        <v>28</v>
      </c>
      <c r="F59" s="20">
        <f>41047*0.4536</f>
        <v>18618.9192</v>
      </c>
      <c r="G59" s="21">
        <v>18565.95</v>
      </c>
      <c r="H59" s="21">
        <f>G59-F59</f>
        <v>-52.969199999999546</v>
      </c>
      <c r="I59" s="22" t="s">
        <v>141</v>
      </c>
      <c r="J59" s="23" t="s">
        <v>30</v>
      </c>
      <c r="K59" s="24">
        <v>42815</v>
      </c>
      <c r="L59" s="24">
        <v>42816</v>
      </c>
      <c r="M59" s="18" t="s">
        <v>31</v>
      </c>
      <c r="N59" s="18" t="s">
        <v>140</v>
      </c>
      <c r="O59" s="3"/>
      <c r="P59" s="25">
        <f>0.6388+0.095</f>
        <v>0.73380000000000001</v>
      </c>
      <c r="Q59" s="26">
        <v>23000</v>
      </c>
      <c r="R59" s="3">
        <v>9400</v>
      </c>
      <c r="S59" s="27">
        <v>19.655000000000001</v>
      </c>
      <c r="T59" s="27">
        <f>X59*F59*0.005</f>
        <v>3133.7243225055618</v>
      </c>
      <c r="V59" s="3">
        <v>0.12</v>
      </c>
      <c r="W59" s="3">
        <v>0.3</v>
      </c>
      <c r="X59" s="3">
        <f t="shared" si="92"/>
        <v>33.661721057423804</v>
      </c>
      <c r="Y59" s="3">
        <f t="shared" si="93"/>
        <v>34.130509852099301</v>
      </c>
      <c r="Z59" s="29">
        <f t="shared" si="94"/>
        <v>635473.20519104088</v>
      </c>
      <c r="AA59" s="30">
        <v>42808</v>
      </c>
    </row>
    <row r="60" spans="1:27" s="22" customFormat="1" x14ac:dyDescent="0.25">
      <c r="A60" s="58"/>
      <c r="B60" s="17" t="s">
        <v>41</v>
      </c>
      <c r="C60" s="19" t="s">
        <v>42</v>
      </c>
      <c r="D60" s="18" t="s">
        <v>119</v>
      </c>
      <c r="E60" s="19">
        <v>190</v>
      </c>
      <c r="F60" s="20">
        <v>22630</v>
      </c>
      <c r="G60" s="21">
        <f>12490+5820</f>
        <v>18310</v>
      </c>
      <c r="H60" s="21">
        <f t="shared" ref="H60" si="95">G60-F60</f>
        <v>-4320</v>
      </c>
      <c r="I60" s="22" t="s">
        <v>142</v>
      </c>
      <c r="J60" s="19"/>
      <c r="K60" s="24"/>
      <c r="L60" s="24">
        <v>42816</v>
      </c>
      <c r="M60" s="18" t="s">
        <v>31</v>
      </c>
      <c r="N60" s="19"/>
      <c r="O60" s="3">
        <v>24</v>
      </c>
      <c r="P60" s="31"/>
      <c r="Q60" s="55">
        <v>19800</v>
      </c>
      <c r="R60" s="3">
        <f>65*E60</f>
        <v>12350</v>
      </c>
      <c r="S60" s="27">
        <f t="shared" ref="S60" si="96">-35*E60</f>
        <v>-6650</v>
      </c>
      <c r="T60" s="27">
        <f>X60*F60*0.0045</f>
        <v>3167.7859612233751</v>
      </c>
      <c r="U60" s="3">
        <f>E60*5</f>
        <v>950</v>
      </c>
      <c r="V60" s="19"/>
      <c r="W60" s="3">
        <v>0.3</v>
      </c>
      <c r="X60" s="3">
        <f>((O60*F60)+Q60+R60+S60+U60)/G60</f>
        <v>31.107045330420537</v>
      </c>
      <c r="Y60" s="3">
        <f t="shared" ref="Y60" si="97">((O60*F60)+Q60+R60+S60+T60+U60)/G60+W60</f>
        <v>31.580053848237217</v>
      </c>
      <c r="Z60" s="29">
        <f>Y60*G60</f>
        <v>578230.78596122342</v>
      </c>
      <c r="AA60" s="30">
        <v>42798</v>
      </c>
    </row>
    <row r="61" spans="1:27" s="22" customFormat="1" x14ac:dyDescent="0.25">
      <c r="A61" s="58"/>
      <c r="B61" s="17" t="s">
        <v>26</v>
      </c>
      <c r="C61" s="18" t="s">
        <v>33</v>
      </c>
      <c r="D61" s="18" t="s">
        <v>33</v>
      </c>
      <c r="E61" s="19" t="s">
        <v>34</v>
      </c>
      <c r="F61" s="20">
        <f>42610*0.4536</f>
        <v>19327.896000000001</v>
      </c>
      <c r="G61" s="21">
        <v>19304.71</v>
      </c>
      <c r="H61" s="21">
        <f>G61-F61</f>
        <v>-23.186000000001513</v>
      </c>
      <c r="I61" s="22" t="s">
        <v>143</v>
      </c>
      <c r="J61" s="23" t="s">
        <v>30</v>
      </c>
      <c r="K61" s="24">
        <v>42816</v>
      </c>
      <c r="L61" s="24">
        <v>42817</v>
      </c>
      <c r="M61" s="18" t="s">
        <v>47</v>
      </c>
      <c r="N61" s="18" t="s">
        <v>144</v>
      </c>
      <c r="O61" s="3"/>
      <c r="P61" s="25">
        <f>0.6308+0.105</f>
        <v>0.73580000000000001</v>
      </c>
      <c r="Q61" s="26">
        <v>23000</v>
      </c>
      <c r="R61" s="3">
        <v>9400</v>
      </c>
      <c r="S61" s="27">
        <v>19.55</v>
      </c>
      <c r="T61" s="27">
        <f>X61*F61*0.005</f>
        <v>3238.5122272923568</v>
      </c>
      <c r="V61" s="3">
        <v>0.12</v>
      </c>
      <c r="W61" s="3">
        <v>0.3</v>
      </c>
      <c r="X61" s="3">
        <f t="shared" ref="X61" si="98">IF(O61&gt;0,O61,((P61*2.2046*S61)+(Q61+R61)/G61)+V61)</f>
        <v>33.511275384473883</v>
      </c>
      <c r="Y61" s="3">
        <f t="shared" ref="Y61" si="99">IF(O61&gt;0,O61,((P61*2.2046*S61)+(Q61+R61+T61)/G61)+V61+W61)</f>
        <v>33.979033005660227</v>
      </c>
      <c r="Z61" s="29">
        <f t="shared" ref="Z61" si="100">Y61*F61</f>
        <v>656743.21611396829</v>
      </c>
      <c r="AA61" s="30">
        <v>42810</v>
      </c>
    </row>
    <row r="62" spans="1:27" s="22" customFormat="1" x14ac:dyDescent="0.25">
      <c r="A62" s="58"/>
      <c r="B62" s="17" t="s">
        <v>41</v>
      </c>
      <c r="C62" s="19" t="s">
        <v>42</v>
      </c>
      <c r="D62" s="18" t="s">
        <v>119</v>
      </c>
      <c r="E62" s="19">
        <f>230</f>
        <v>230</v>
      </c>
      <c r="F62" s="20">
        <f>27515</f>
        <v>27515</v>
      </c>
      <c r="G62" s="21">
        <f>19040</f>
        <v>19040</v>
      </c>
      <c r="H62" s="21">
        <f t="shared" ref="H62:H64" si="101">G62-F62</f>
        <v>-8475</v>
      </c>
      <c r="I62" s="22" t="s">
        <v>145</v>
      </c>
      <c r="J62" s="59">
        <v>200</v>
      </c>
      <c r="K62" s="24"/>
      <c r="L62" s="24">
        <v>42817</v>
      </c>
      <c r="M62" s="18" t="s">
        <v>47</v>
      </c>
      <c r="N62" s="19"/>
      <c r="O62" s="3">
        <v>24</v>
      </c>
      <c r="P62" s="31"/>
      <c r="Q62" s="26">
        <v>19800</v>
      </c>
      <c r="R62" s="3">
        <f t="shared" ref="R62:R63" si="102">65*E62</f>
        <v>14950</v>
      </c>
      <c r="S62" s="27">
        <f t="shared" ref="S62:S63" si="103">-35*E62</f>
        <v>-8050</v>
      </c>
      <c r="T62" s="27">
        <f t="shared" ref="T62:T63" si="104">X62*F62*0.0045</f>
        <v>4475.4433652836124</v>
      </c>
      <c r="U62" s="3">
        <f t="shared" ref="U62:U63" si="105">E62*5</f>
        <v>1150</v>
      </c>
      <c r="V62" s="19"/>
      <c r="W62" s="3">
        <v>0.3</v>
      </c>
      <c r="X62" s="3">
        <f t="shared" ref="X62:X63" si="106">((O62*F62)+Q62+R62+S62+U62)/G62</f>
        <v>36.145483193277308</v>
      </c>
      <c r="Y62" s="3">
        <f t="shared" ref="Y62:Y63" si="107">((O62*F62)+Q62+R62+S62+T62+U62)/G62+W62</f>
        <v>36.680537991874139</v>
      </c>
      <c r="Z62" s="29">
        <f t="shared" ref="Z62:Z63" si="108">Y62*G62</f>
        <v>698397.44336528366</v>
      </c>
      <c r="AA62" s="30">
        <v>42799</v>
      </c>
    </row>
    <row r="63" spans="1:27" s="22" customFormat="1" x14ac:dyDescent="0.25">
      <c r="A63" s="58"/>
      <c r="B63" s="17" t="s">
        <v>41</v>
      </c>
      <c r="C63" s="19" t="s">
        <v>42</v>
      </c>
      <c r="D63" s="18" t="s">
        <v>43</v>
      </c>
      <c r="E63" s="19">
        <v>100</v>
      </c>
      <c r="F63" s="20">
        <v>11575</v>
      </c>
      <c r="G63" s="21">
        <v>12000</v>
      </c>
      <c r="H63" s="21">
        <f t="shared" si="101"/>
        <v>425</v>
      </c>
      <c r="I63" s="22" t="s">
        <v>146</v>
      </c>
      <c r="J63" s="59">
        <v>129</v>
      </c>
      <c r="K63" s="24"/>
      <c r="L63" s="24">
        <v>42817</v>
      </c>
      <c r="M63" s="18" t="s">
        <v>47</v>
      </c>
      <c r="N63" s="19"/>
      <c r="O63" s="3">
        <v>24</v>
      </c>
      <c r="P63" s="31"/>
      <c r="Q63" s="26">
        <v>15700</v>
      </c>
      <c r="R63" s="3">
        <f t="shared" si="102"/>
        <v>6500</v>
      </c>
      <c r="S63" s="27">
        <f t="shared" si="103"/>
        <v>-3500</v>
      </c>
      <c r="T63" s="27">
        <f t="shared" si="104"/>
        <v>1289.1656249999999</v>
      </c>
      <c r="U63" s="3">
        <f t="shared" si="105"/>
        <v>500</v>
      </c>
      <c r="V63" s="19"/>
      <c r="W63" s="3">
        <v>0.3</v>
      </c>
      <c r="X63" s="3">
        <f t="shared" si="106"/>
        <v>24.75</v>
      </c>
      <c r="Y63" s="3">
        <f t="shared" si="107"/>
        <v>25.157430468750004</v>
      </c>
      <c r="Z63" s="29">
        <f t="shared" si="108"/>
        <v>301889.16562500002</v>
      </c>
      <c r="AA63" s="30">
        <v>42799</v>
      </c>
    </row>
    <row r="64" spans="1:27" s="22" customFormat="1" x14ac:dyDescent="0.25">
      <c r="A64" s="58"/>
      <c r="B64" s="17" t="s">
        <v>147</v>
      </c>
      <c r="C64" s="19" t="s">
        <v>33</v>
      </c>
      <c r="D64" s="18" t="s">
        <v>77</v>
      </c>
      <c r="E64" s="19" t="s">
        <v>148</v>
      </c>
      <c r="F64" s="20">
        <v>5539.7</v>
      </c>
      <c r="G64" s="21">
        <v>5539.7</v>
      </c>
      <c r="H64" s="21">
        <f t="shared" si="101"/>
        <v>0</v>
      </c>
      <c r="I64" s="22" t="s">
        <v>149</v>
      </c>
      <c r="J64" s="19"/>
      <c r="K64" s="24"/>
      <c r="L64" s="24">
        <v>42817</v>
      </c>
      <c r="M64" s="18" t="s">
        <v>47</v>
      </c>
      <c r="N64" s="19"/>
      <c r="O64" s="3">
        <v>21.5</v>
      </c>
      <c r="P64" s="31"/>
      <c r="Q64" s="3"/>
      <c r="R64" s="3"/>
      <c r="S64" s="27"/>
      <c r="T64" s="27"/>
      <c r="U64" s="3"/>
      <c r="V64" s="3"/>
      <c r="W64" s="3"/>
      <c r="X64" s="3">
        <f t="shared" ref="X64:X65" si="109">IF(O64&gt;0,O64,((P64*2.2046*S64)+(Q64+R64)/G64)+V64)</f>
        <v>21.5</v>
      </c>
      <c r="Y64" s="3">
        <f t="shared" ref="Y64:Y65" si="110">IF(O64&gt;0,O64,((P64*2.2046*S64)+(Q64+R64+T64)/G64)+V64+W64)</f>
        <v>21.5</v>
      </c>
      <c r="Z64" s="29">
        <f t="shared" ref="Z64:Z65" si="111">Y64*F64</f>
        <v>119103.55</v>
      </c>
      <c r="AA64" s="30">
        <v>42824</v>
      </c>
    </row>
    <row r="65" spans="1:27" s="22" customFormat="1" x14ac:dyDescent="0.25">
      <c r="A65" s="58"/>
      <c r="B65" s="17" t="s">
        <v>26</v>
      </c>
      <c r="C65" s="18" t="s">
        <v>27</v>
      </c>
      <c r="D65" s="18" t="s">
        <v>27</v>
      </c>
      <c r="E65" s="19" t="s">
        <v>28</v>
      </c>
      <c r="F65" s="20">
        <f>39085.5*0.4536</f>
        <v>17729.182799999999</v>
      </c>
      <c r="G65" s="21">
        <v>17632.88</v>
      </c>
      <c r="H65" s="21">
        <f>G65-F65</f>
        <v>-96.30279999999766</v>
      </c>
      <c r="I65" s="22" t="s">
        <v>150</v>
      </c>
      <c r="J65" s="23" t="s">
        <v>30</v>
      </c>
      <c r="K65" s="24">
        <v>42817</v>
      </c>
      <c r="L65" s="24">
        <v>42818</v>
      </c>
      <c r="M65" s="18" t="s">
        <v>49</v>
      </c>
      <c r="N65" s="18" t="s">
        <v>151</v>
      </c>
      <c r="O65" s="3"/>
      <c r="P65" s="25">
        <f>0.6308+0.1</f>
        <v>0.73080000000000001</v>
      </c>
      <c r="Q65" s="26">
        <v>23000</v>
      </c>
      <c r="R65" s="3">
        <v>9400</v>
      </c>
      <c r="S65" s="51">
        <v>18.925999999999998</v>
      </c>
      <c r="T65" s="27">
        <f>X65*F65*0.005</f>
        <v>2876.5213719673966</v>
      </c>
      <c r="V65" s="3">
        <v>0.12</v>
      </c>
      <c r="W65" s="3">
        <v>0.3</v>
      </c>
      <c r="X65" s="3">
        <f t="shared" si="109"/>
        <v>32.44956526667881</v>
      </c>
      <c r="Y65" s="3">
        <f t="shared" si="110"/>
        <v>32.912699217115005</v>
      </c>
      <c r="Z65" s="29">
        <f t="shared" si="111"/>
        <v>583515.26086164871</v>
      </c>
      <c r="AA65" s="30">
        <v>42829</v>
      </c>
    </row>
    <row r="66" spans="1:27" s="22" customFormat="1" x14ac:dyDescent="0.25">
      <c r="A66" s="58"/>
      <c r="B66" s="17" t="s">
        <v>41</v>
      </c>
      <c r="C66" s="19" t="s">
        <v>42</v>
      </c>
      <c r="D66" s="18" t="s">
        <v>119</v>
      </c>
      <c r="E66" s="19">
        <f>229</f>
        <v>229</v>
      </c>
      <c r="F66" s="20">
        <f>26605</f>
        <v>26605</v>
      </c>
      <c r="G66" s="21">
        <f>18670</f>
        <v>18670</v>
      </c>
      <c r="H66" s="21">
        <f t="shared" ref="H66:H68" si="112">G66-F66</f>
        <v>-7935</v>
      </c>
      <c r="I66" s="22" t="s">
        <v>152</v>
      </c>
      <c r="J66" s="59">
        <v>200</v>
      </c>
      <c r="K66" s="24"/>
      <c r="L66" s="24">
        <v>42818</v>
      </c>
      <c r="M66" s="18" t="s">
        <v>49</v>
      </c>
      <c r="N66" s="19"/>
      <c r="O66" s="3">
        <v>24</v>
      </c>
      <c r="P66" s="31"/>
      <c r="Q66" s="55">
        <f>19800</f>
        <v>19800</v>
      </c>
      <c r="R66" s="3">
        <f t="shared" ref="R66:R67" si="113">65*E66</f>
        <v>14885</v>
      </c>
      <c r="S66" s="27">
        <f>-35*E66</f>
        <v>-8015</v>
      </c>
      <c r="T66" s="27">
        <f>X66*F66*0.0045</f>
        <v>4272.9133389126937</v>
      </c>
      <c r="U66" s="3">
        <f>E66*5</f>
        <v>1145</v>
      </c>
      <c r="V66" s="19"/>
      <c r="W66" s="3">
        <v>0.3</v>
      </c>
      <c r="X66" s="3">
        <f>((O66*F66)+Q66+R66+S66+U66)/G66</f>
        <v>35.690144617032672</v>
      </c>
      <c r="Y66" s="3">
        <f t="shared" ref="Y66:Y67" si="114">((O66*F66)+Q66+R66+S66+T66+U66)/G66+W66</f>
        <v>36.219009819973891</v>
      </c>
      <c r="Z66" s="29">
        <f t="shared" ref="Z66:Z67" si="115">Y66*G66</f>
        <v>676208.91333891253</v>
      </c>
      <c r="AA66" s="30">
        <v>42800</v>
      </c>
    </row>
    <row r="67" spans="1:27" s="22" customFormat="1" x14ac:dyDescent="0.25">
      <c r="A67" s="58"/>
      <c r="B67" s="17" t="s">
        <v>41</v>
      </c>
      <c r="C67" s="19" t="s">
        <v>42</v>
      </c>
      <c r="D67" s="18" t="s">
        <v>53</v>
      </c>
      <c r="E67" s="19">
        <v>100</v>
      </c>
      <c r="F67" s="20">
        <v>11950</v>
      </c>
      <c r="G67" s="21">
        <v>11920</v>
      </c>
      <c r="H67" s="21">
        <f t="shared" si="112"/>
        <v>-30</v>
      </c>
      <c r="I67" s="18" t="s">
        <v>153</v>
      </c>
      <c r="J67" s="59">
        <v>128</v>
      </c>
      <c r="K67" s="24"/>
      <c r="L67" s="24">
        <v>42818</v>
      </c>
      <c r="M67" s="18" t="s">
        <v>49</v>
      </c>
      <c r="N67" s="19"/>
      <c r="O67" s="3">
        <v>24</v>
      </c>
      <c r="P67" s="31"/>
      <c r="Q67" s="26">
        <v>15700</v>
      </c>
      <c r="R67" s="3">
        <f t="shared" si="113"/>
        <v>6500</v>
      </c>
      <c r="S67" s="27">
        <f>-35*E67</f>
        <v>-3500</v>
      </c>
      <c r="T67" s="27">
        <f>X67*F67*0.0045</f>
        <v>1380.4656040268455</v>
      </c>
      <c r="U67" s="3">
        <f>E67*5</f>
        <v>500</v>
      </c>
      <c r="V67" s="19"/>
      <c r="W67" s="3">
        <v>0.3</v>
      </c>
      <c r="X67" s="3">
        <f>((O67*F67)+Q67+R67+S67+U67)/G67</f>
        <v>25.671140939597315</v>
      </c>
      <c r="Y67" s="3">
        <f t="shared" si="114"/>
        <v>26.086951812418363</v>
      </c>
      <c r="Z67" s="29">
        <f t="shared" si="115"/>
        <v>310956.46560402686</v>
      </c>
      <c r="AA67" s="30">
        <v>42800</v>
      </c>
    </row>
    <row r="68" spans="1:27" s="22" customFormat="1" x14ac:dyDescent="0.25">
      <c r="A68" s="58"/>
      <c r="B68" s="17" t="s">
        <v>26</v>
      </c>
      <c r="C68" s="18" t="s">
        <v>33</v>
      </c>
      <c r="D68" s="18" t="s">
        <v>33</v>
      </c>
      <c r="E68" s="19" t="s">
        <v>34</v>
      </c>
      <c r="F68" s="20">
        <f>41884*0.4536</f>
        <v>18998.582399999999</v>
      </c>
      <c r="G68" s="21">
        <v>18955.560000000001</v>
      </c>
      <c r="H68" s="21">
        <f t="shared" si="112"/>
        <v>-43.022399999998015</v>
      </c>
      <c r="I68" s="22" t="s">
        <v>154</v>
      </c>
      <c r="J68" s="23" t="s">
        <v>30</v>
      </c>
      <c r="K68" s="24">
        <v>42818</v>
      </c>
      <c r="L68" s="24">
        <v>42819</v>
      </c>
      <c r="M68" s="18" t="s">
        <v>98</v>
      </c>
      <c r="N68" s="18" t="s">
        <v>155</v>
      </c>
      <c r="O68" s="3"/>
      <c r="P68" s="25">
        <f>0.6302+0.105</f>
        <v>0.73519999999999996</v>
      </c>
      <c r="Q68" s="26">
        <v>23000</v>
      </c>
      <c r="R68" s="3">
        <v>9400</v>
      </c>
      <c r="S68" s="51">
        <v>19.241</v>
      </c>
      <c r="T68" s="27">
        <f t="shared" ref="T68" si="116">X68*F68*0.005</f>
        <v>3136.2380674263927</v>
      </c>
      <c r="V68" s="3">
        <v>0.12</v>
      </c>
      <c r="W68" s="3">
        <v>0.3</v>
      </c>
      <c r="X68" s="3">
        <f t="shared" ref="X68" si="117">IF(O68&gt;0,O68,((P68*2.2046*S68)+(Q68+R68)/G68)+V68)</f>
        <v>33.015495592201582</v>
      </c>
      <c r="Y68" s="3">
        <f t="shared" ref="Y68" si="118">IF(O68&gt;0,O68,((P68*2.2046*S68)+(Q68+R68+T68)/G68)+V68+W68)</f>
        <v>33.480947737504934</v>
      </c>
      <c r="Z68" s="29">
        <f t="shared" ref="Z68" si="119">Y68*F68</f>
        <v>636090.54442108108</v>
      </c>
      <c r="AA68" s="30">
        <v>42815</v>
      </c>
    </row>
    <row r="69" spans="1:27" s="22" customFormat="1" ht="15.75" thickBot="1" x14ac:dyDescent="0.3">
      <c r="A69" s="58"/>
      <c r="B69" s="34"/>
      <c r="C69" s="6"/>
      <c r="D69" s="6"/>
      <c r="E69" s="6"/>
      <c r="F69" s="35"/>
      <c r="G69" s="35"/>
      <c r="H69" s="35"/>
      <c r="I69" s="9"/>
      <c r="J69" s="6"/>
      <c r="K69" s="10"/>
      <c r="L69" s="10"/>
      <c r="M69" s="6"/>
      <c r="N69" s="6"/>
      <c r="O69" s="11"/>
      <c r="P69" s="12"/>
      <c r="Q69" s="11"/>
      <c r="R69" s="11"/>
      <c r="S69" s="11"/>
      <c r="T69" s="11"/>
      <c r="U69" s="11"/>
      <c r="V69" s="11"/>
      <c r="W69" s="11"/>
      <c r="X69" s="11"/>
      <c r="Y69" s="11"/>
      <c r="Z69" s="15"/>
      <c r="AA69" s="36"/>
    </row>
    <row r="70" spans="1:27" s="22" customFormat="1" x14ac:dyDescent="0.25">
      <c r="A70" s="60"/>
      <c r="B70" s="38" t="s">
        <v>41</v>
      </c>
      <c r="C70" s="38" t="s">
        <v>42</v>
      </c>
      <c r="D70" s="39" t="s">
        <v>119</v>
      </c>
      <c r="E70" s="38">
        <v>260</v>
      </c>
      <c r="F70" s="40">
        <v>31405</v>
      </c>
      <c r="G70" s="41">
        <f>12920+12590</f>
        <v>25510</v>
      </c>
      <c r="H70" s="41">
        <f t="shared" ref="H70:H75" si="120">G70-F70</f>
        <v>-5895</v>
      </c>
      <c r="I70" s="39" t="s">
        <v>156</v>
      </c>
      <c r="J70" s="38"/>
      <c r="K70" s="42"/>
      <c r="L70" s="42">
        <v>42820</v>
      </c>
      <c r="M70" s="39" t="s">
        <v>57</v>
      </c>
      <c r="N70" s="38"/>
      <c r="O70" s="43">
        <v>23.8</v>
      </c>
      <c r="P70" s="44"/>
      <c r="Q70" s="61">
        <v>19800</v>
      </c>
      <c r="R70" s="3">
        <f t="shared" ref="R70:R71" si="121">65*E70</f>
        <v>16900</v>
      </c>
      <c r="S70" s="46">
        <f>-35*E70</f>
        <v>-9100</v>
      </c>
      <c r="T70" s="46">
        <f>X70*F70*0.0045</f>
        <v>4300.8298050764406</v>
      </c>
      <c r="U70" s="43">
        <f>E70*5</f>
        <v>1300</v>
      </c>
      <c r="V70" s="38"/>
      <c r="W70" s="43">
        <v>0.3</v>
      </c>
      <c r="X70" s="43">
        <f>((O70*F70)+Q70+R70+S70+U70)/G70</f>
        <v>30.432732261858096</v>
      </c>
      <c r="Y70" s="3">
        <f t="shared" ref="Y70:Y71" si="122">((O70*F70)+Q70+R70+S70+T70+U70)/G70+W70</f>
        <v>30.901326138968109</v>
      </c>
      <c r="Z70" s="47">
        <f>Y70*G70</f>
        <v>788292.82980507647</v>
      </c>
      <c r="AA70" s="48">
        <v>42835</v>
      </c>
    </row>
    <row r="71" spans="1:27" s="22" customFormat="1" x14ac:dyDescent="0.25">
      <c r="A71" s="62"/>
      <c r="B71" s="17" t="s">
        <v>41</v>
      </c>
      <c r="C71" s="19" t="s">
        <v>42</v>
      </c>
      <c r="D71" s="18" t="s">
        <v>45</v>
      </c>
      <c r="E71" s="19">
        <v>200</v>
      </c>
      <c r="F71" s="20">
        <v>25895</v>
      </c>
      <c r="G71" s="21">
        <f>13510+7340</f>
        <v>20850</v>
      </c>
      <c r="H71" s="21">
        <f t="shared" si="120"/>
        <v>-5045</v>
      </c>
      <c r="I71" s="18" t="s">
        <v>157</v>
      </c>
      <c r="J71" s="19"/>
      <c r="K71" s="24"/>
      <c r="L71" s="24">
        <v>42821</v>
      </c>
      <c r="M71" s="18" t="s">
        <v>60</v>
      </c>
      <c r="N71" s="19"/>
      <c r="O71" s="3">
        <v>23.8</v>
      </c>
      <c r="P71" s="31"/>
      <c r="Q71" s="26">
        <v>19800</v>
      </c>
      <c r="R71" s="3">
        <f t="shared" si="121"/>
        <v>13000</v>
      </c>
      <c r="S71" s="27">
        <f t="shared" ref="S71" si="123">-35*E71</f>
        <v>-7000</v>
      </c>
      <c r="T71" s="27">
        <f>X71*F71*0.0045</f>
        <v>3594.1943298561146</v>
      </c>
      <c r="U71" s="3">
        <f>E71*5</f>
        <v>1000</v>
      </c>
      <c r="V71" s="19"/>
      <c r="W71" s="3">
        <v>0.3</v>
      </c>
      <c r="X71" s="3">
        <f>((O71*F71)+Q71+R71+S71+U71)/G71</f>
        <v>30.844172661870502</v>
      </c>
      <c r="Y71" s="3">
        <f t="shared" si="122"/>
        <v>31.31655608296672</v>
      </c>
      <c r="Z71" s="29">
        <f>Y71*G71</f>
        <v>652950.19432985608</v>
      </c>
      <c r="AA71" s="30">
        <v>42835</v>
      </c>
    </row>
    <row r="72" spans="1:27" s="22" customFormat="1" x14ac:dyDescent="0.25">
      <c r="A72" s="62"/>
      <c r="B72" s="17" t="s">
        <v>158</v>
      </c>
      <c r="C72" s="19" t="s">
        <v>159</v>
      </c>
      <c r="D72" s="18" t="s">
        <v>89</v>
      </c>
      <c r="E72" s="19" t="s">
        <v>160</v>
      </c>
      <c r="F72" s="20">
        <v>18506.554</v>
      </c>
      <c r="G72" s="21">
        <v>18506</v>
      </c>
      <c r="H72" s="21">
        <f t="shared" si="120"/>
        <v>-0.55400000000008731</v>
      </c>
      <c r="I72" s="18" t="s">
        <v>161</v>
      </c>
      <c r="J72" s="19"/>
      <c r="K72" s="24"/>
      <c r="L72" s="24">
        <v>42821</v>
      </c>
      <c r="M72" s="18" t="s">
        <v>60</v>
      </c>
      <c r="N72" s="19"/>
      <c r="O72" s="3">
        <v>32.200000000000003</v>
      </c>
      <c r="P72" s="31"/>
      <c r="Q72" s="3"/>
      <c r="R72" s="3"/>
      <c r="S72" s="27"/>
      <c r="T72" s="27"/>
      <c r="U72" s="3"/>
      <c r="V72" s="3"/>
      <c r="W72" s="3"/>
      <c r="X72" s="3">
        <f t="shared" ref="X72:X74" si="124">IF(O72&gt;0,O72,((P72*2.2046*S72)+(Q72+R72)/G72)+V72)</f>
        <v>32.200000000000003</v>
      </c>
      <c r="Y72" s="3">
        <f t="shared" ref="Y72:Y78" si="125">IF(O72&gt;0,O72,((P72*2.2046*S72)+(Q72+R72+T72)/G72)+V72+W72)</f>
        <v>32.200000000000003</v>
      </c>
      <c r="Z72" s="29">
        <f t="shared" ref="Z72:Z74" si="126">Y72*F72</f>
        <v>595911.0388000001</v>
      </c>
      <c r="AA72" s="30">
        <v>42842</v>
      </c>
    </row>
    <row r="73" spans="1:27" s="22" customFormat="1" x14ac:dyDescent="0.25">
      <c r="A73" s="62"/>
      <c r="B73" s="17" t="s">
        <v>162</v>
      </c>
      <c r="C73" s="19" t="s">
        <v>163</v>
      </c>
      <c r="D73" s="18" t="s">
        <v>89</v>
      </c>
      <c r="E73" s="19" t="s">
        <v>164</v>
      </c>
      <c r="F73" s="20">
        <v>5022.3</v>
      </c>
      <c r="G73" s="21">
        <v>5024.3</v>
      </c>
      <c r="H73" s="21">
        <f t="shared" si="120"/>
        <v>2</v>
      </c>
      <c r="I73" s="18" t="s">
        <v>165</v>
      </c>
      <c r="J73" s="19"/>
      <c r="K73" s="24"/>
      <c r="L73" s="24">
        <v>42821</v>
      </c>
      <c r="M73" s="18" t="s">
        <v>60</v>
      </c>
      <c r="N73" s="19"/>
      <c r="O73" s="3">
        <v>96</v>
      </c>
      <c r="P73" s="31"/>
      <c r="Q73" s="3"/>
      <c r="R73" s="3"/>
      <c r="S73" s="27"/>
      <c r="T73" s="27"/>
      <c r="U73" s="3"/>
      <c r="V73" s="3"/>
      <c r="W73" s="3"/>
      <c r="X73" s="3">
        <f t="shared" si="124"/>
        <v>96</v>
      </c>
      <c r="Y73" s="3">
        <f t="shared" si="125"/>
        <v>96</v>
      </c>
      <c r="Z73" s="29">
        <f t="shared" si="126"/>
        <v>482140.80000000005</v>
      </c>
      <c r="AA73" s="30">
        <v>42842</v>
      </c>
    </row>
    <row r="74" spans="1:27" s="22" customFormat="1" x14ac:dyDescent="0.25">
      <c r="A74" s="62"/>
      <c r="B74" s="17" t="s">
        <v>166</v>
      </c>
      <c r="C74" s="19" t="s">
        <v>93</v>
      </c>
      <c r="D74" s="18" t="s">
        <v>94</v>
      </c>
      <c r="E74" s="19">
        <v>300</v>
      </c>
      <c r="F74" s="20">
        <v>3000</v>
      </c>
      <c r="G74" s="21">
        <v>3000</v>
      </c>
      <c r="H74" s="21">
        <f t="shared" si="120"/>
        <v>0</v>
      </c>
      <c r="I74" s="18" t="s">
        <v>167</v>
      </c>
      <c r="J74" s="19"/>
      <c r="K74" s="24"/>
      <c r="L74" s="24">
        <v>42822</v>
      </c>
      <c r="M74" s="18" t="s">
        <v>62</v>
      </c>
      <c r="N74" s="19"/>
      <c r="O74" s="3">
        <v>39</v>
      </c>
      <c r="P74" s="31"/>
      <c r="Q74" s="3"/>
      <c r="R74" s="3"/>
      <c r="S74" s="27"/>
      <c r="T74" s="27"/>
      <c r="U74" s="3"/>
      <c r="V74" s="3"/>
      <c r="W74" s="3"/>
      <c r="X74" s="3">
        <f t="shared" si="124"/>
        <v>39</v>
      </c>
      <c r="Y74" s="3">
        <f t="shared" si="125"/>
        <v>39</v>
      </c>
      <c r="Z74" s="29">
        <f t="shared" si="126"/>
        <v>117000</v>
      </c>
      <c r="AA74" s="30">
        <v>42822</v>
      </c>
    </row>
    <row r="75" spans="1:27" s="22" customFormat="1" x14ac:dyDescent="0.25">
      <c r="A75" s="62"/>
      <c r="B75" s="17" t="s">
        <v>26</v>
      </c>
      <c r="C75" s="18" t="s">
        <v>27</v>
      </c>
      <c r="D75" s="18" t="s">
        <v>27</v>
      </c>
      <c r="E75" s="19" t="s">
        <v>34</v>
      </c>
      <c r="F75" s="20">
        <f>40733*0.4536</f>
        <v>18476.488799999999</v>
      </c>
      <c r="G75" s="21">
        <v>18395.68</v>
      </c>
      <c r="H75" s="21">
        <f t="shared" si="120"/>
        <v>-80.808799999998882</v>
      </c>
      <c r="I75" s="22" t="s">
        <v>168</v>
      </c>
      <c r="J75" s="23" t="s">
        <v>30</v>
      </c>
      <c r="K75" s="24">
        <v>42821</v>
      </c>
      <c r="L75" s="24">
        <v>42822</v>
      </c>
      <c r="M75" s="18" t="s">
        <v>62</v>
      </c>
      <c r="N75" s="18" t="s">
        <v>169</v>
      </c>
      <c r="O75" s="3"/>
      <c r="P75" s="25">
        <f>0.6192+0.1</f>
        <v>0.71919999999999995</v>
      </c>
      <c r="Q75" s="26">
        <v>23000</v>
      </c>
      <c r="R75" s="3">
        <v>9400</v>
      </c>
      <c r="S75" s="27">
        <v>18.739999999999998</v>
      </c>
      <c r="T75" s="27">
        <f>X75*F75*0.005</f>
        <v>2918.7733023852797</v>
      </c>
      <c r="V75" s="3">
        <v>0.12</v>
      </c>
      <c r="W75" s="3">
        <v>0.3</v>
      </c>
      <c r="X75" s="3">
        <f>IF(O75&gt;0,O75,((P75*2.2046*S75)+(Q75+R75)/G75)+V75)</f>
        <v>31.594458600654466</v>
      </c>
      <c r="Y75" s="3">
        <f t="shared" si="125"/>
        <v>32.053124836552527</v>
      </c>
      <c r="Z75" s="29">
        <f>Y75*F75</f>
        <v>592229.20204756455</v>
      </c>
      <c r="AA75" s="30">
        <v>42832</v>
      </c>
    </row>
    <row r="76" spans="1:27" s="22" customFormat="1" x14ac:dyDescent="0.25">
      <c r="A76" s="62"/>
      <c r="B76" s="17" t="s">
        <v>26</v>
      </c>
      <c r="C76" s="18" t="s">
        <v>37</v>
      </c>
      <c r="D76" s="18" t="s">
        <v>37</v>
      </c>
      <c r="E76" s="19" t="s">
        <v>28</v>
      </c>
      <c r="F76" s="20">
        <f>41777*0.4536</f>
        <v>18950.047200000001</v>
      </c>
      <c r="G76" s="21">
        <v>18914.63</v>
      </c>
      <c r="H76" s="21">
        <f>G76-F76</f>
        <v>-35.417199999999866</v>
      </c>
      <c r="I76" s="22" t="s">
        <v>170</v>
      </c>
      <c r="J76" s="23" t="s">
        <v>30</v>
      </c>
      <c r="K76" s="24">
        <v>42821</v>
      </c>
      <c r="L76" s="24">
        <v>42822</v>
      </c>
      <c r="M76" s="18" t="s">
        <v>62</v>
      </c>
      <c r="N76" s="18" t="s">
        <v>171</v>
      </c>
      <c r="O76" s="3"/>
      <c r="P76" s="25">
        <f>0.6247+0.095</f>
        <v>0.71970000000000001</v>
      </c>
      <c r="Q76" s="26">
        <v>23000</v>
      </c>
      <c r="R76" s="3">
        <v>9400</v>
      </c>
      <c r="S76" s="51">
        <v>19.241</v>
      </c>
      <c r="T76" s="27">
        <f>X76*F76*0.005</f>
        <v>3066.2791231952142</v>
      </c>
      <c r="V76" s="3">
        <v>0.12</v>
      </c>
      <c r="W76" s="3">
        <v>0.3</v>
      </c>
      <c r="X76" s="3">
        <f t="shared" ref="X76:X78" si="127">IF(O76&gt;0,O76,((P76*2.2046*S76)+(Q76+R76)/G76)+V76)</f>
        <v>32.361704335968241</v>
      </c>
      <c r="Y76" s="3">
        <f t="shared" si="125"/>
        <v>32.823815840300874</v>
      </c>
      <c r="Z76" s="29">
        <f t="shared" ref="Z76:Z78" si="128">Y76*F76</f>
        <v>622012.85945780925</v>
      </c>
      <c r="AA76" s="30">
        <v>42815</v>
      </c>
    </row>
    <row r="77" spans="1:27" s="22" customFormat="1" x14ac:dyDescent="0.25">
      <c r="A77" s="62"/>
      <c r="B77" s="17" t="s">
        <v>41</v>
      </c>
      <c r="C77" s="19" t="s">
        <v>42</v>
      </c>
      <c r="D77" s="18" t="s">
        <v>43</v>
      </c>
      <c r="E77" s="19">
        <v>200</v>
      </c>
      <c r="F77" s="20">
        <v>23700</v>
      </c>
      <c r="G77" s="21">
        <f>13070+5760</f>
        <v>18830</v>
      </c>
      <c r="H77" s="21">
        <f>G77-F77</f>
        <v>-4870</v>
      </c>
      <c r="I77" s="18" t="s">
        <v>172</v>
      </c>
      <c r="J77" s="19"/>
      <c r="K77" s="24"/>
      <c r="L77" s="24">
        <v>42822</v>
      </c>
      <c r="M77" s="18" t="s">
        <v>62</v>
      </c>
      <c r="N77" s="19"/>
      <c r="O77" s="3">
        <v>23.8</v>
      </c>
      <c r="P77" s="31"/>
      <c r="Q77" s="63">
        <v>19800</v>
      </c>
      <c r="R77" s="3">
        <f>65*E77</f>
        <v>13000</v>
      </c>
      <c r="S77" s="27">
        <f>-35*E77</f>
        <v>-7000</v>
      </c>
      <c r="T77" s="27">
        <f t="shared" ref="T77" si="129">X77*F77*0.005</f>
        <v>3718.3701540095594</v>
      </c>
      <c r="U77" s="3">
        <f>E77*5</f>
        <v>1000</v>
      </c>
      <c r="V77" s="19"/>
      <c r="W77" s="3">
        <v>0.3</v>
      </c>
      <c r="X77" s="3">
        <f>((O77*F77)+Q77+R77+S77+U77)/G77</f>
        <v>31.378651088688262</v>
      </c>
      <c r="Y77" s="3">
        <f>((O77*F77)+Q77+R77+S77+T77+U77)/G77+W77</f>
        <v>31.87612162262398</v>
      </c>
      <c r="Z77" s="29">
        <f>Y77*G77</f>
        <v>600227.37015400955</v>
      </c>
      <c r="AA77" s="30">
        <v>42835</v>
      </c>
    </row>
    <row r="78" spans="1:27" s="22" customFormat="1" x14ac:dyDescent="0.25">
      <c r="A78" s="62"/>
      <c r="B78" s="17" t="s">
        <v>26</v>
      </c>
      <c r="C78" s="18" t="s">
        <v>37</v>
      </c>
      <c r="D78" s="18" t="s">
        <v>37</v>
      </c>
      <c r="E78" s="19" t="s">
        <v>28</v>
      </c>
      <c r="F78" s="20">
        <f>41548*0.4536</f>
        <v>18846.1728</v>
      </c>
      <c r="G78" s="21">
        <v>18800</v>
      </c>
      <c r="H78" s="21">
        <f>G78-F78</f>
        <v>-46.172800000000279</v>
      </c>
      <c r="I78" s="22" t="s">
        <v>173</v>
      </c>
      <c r="J78" s="23" t="s">
        <v>39</v>
      </c>
      <c r="K78" s="24">
        <v>42822</v>
      </c>
      <c r="L78" s="24">
        <v>42823</v>
      </c>
      <c r="M78" s="18" t="s">
        <v>31</v>
      </c>
      <c r="N78" s="18" t="s">
        <v>174</v>
      </c>
      <c r="O78" s="3"/>
      <c r="P78" s="25">
        <f>0.6192+0.095</f>
        <v>0.71419999999999995</v>
      </c>
      <c r="Q78" s="26">
        <v>23000</v>
      </c>
      <c r="R78" s="3">
        <v>9400</v>
      </c>
      <c r="S78" s="51">
        <v>19.241</v>
      </c>
      <c r="T78" s="27">
        <f>X78*F78*0.005</f>
        <v>3028.4712206477807</v>
      </c>
      <c r="V78" s="3">
        <v>0.12</v>
      </c>
      <c r="W78" s="3">
        <v>0.3</v>
      </c>
      <c r="X78" s="3">
        <f t="shared" si="127"/>
        <v>32.138845937439143</v>
      </c>
      <c r="Y78" s="3">
        <f t="shared" si="125"/>
        <v>32.599934832154453</v>
      </c>
      <c r="Z78" s="29">
        <f t="shared" si="128"/>
        <v>614384.00511552184</v>
      </c>
      <c r="AA78" s="30">
        <v>42815</v>
      </c>
    </row>
    <row r="79" spans="1:27" s="22" customFormat="1" x14ac:dyDescent="0.25">
      <c r="A79" s="62"/>
      <c r="B79" s="17" t="s">
        <v>41</v>
      </c>
      <c r="C79" s="19" t="s">
        <v>42</v>
      </c>
      <c r="D79" s="18" t="s">
        <v>43</v>
      </c>
      <c r="E79" s="19">
        <v>200</v>
      </c>
      <c r="F79" s="20">
        <v>23130</v>
      </c>
      <c r="G79" s="21">
        <f>13840+4460</f>
        <v>18300</v>
      </c>
      <c r="H79" s="21">
        <f t="shared" ref="H79:H87" si="130">G79-F79</f>
        <v>-4830</v>
      </c>
      <c r="I79" s="22" t="s">
        <v>175</v>
      </c>
      <c r="J79" s="59">
        <v>199</v>
      </c>
      <c r="K79" s="24"/>
      <c r="L79" s="24">
        <v>42823</v>
      </c>
      <c r="M79" s="18" t="s">
        <v>31</v>
      </c>
      <c r="N79" s="19"/>
      <c r="O79" s="3">
        <v>23.8</v>
      </c>
      <c r="P79" s="31"/>
      <c r="Q79" s="26">
        <v>19800</v>
      </c>
      <c r="R79" s="3">
        <f>65*E79</f>
        <v>13000</v>
      </c>
      <c r="S79" s="27">
        <f t="shared" ref="S79" si="131">-35*E79</f>
        <v>-7000</v>
      </c>
      <c r="T79" s="27">
        <f>X79*F79*0.0045</f>
        <v>3283.4779229508194</v>
      </c>
      <c r="U79" s="3">
        <f>E79*5</f>
        <v>1000</v>
      </c>
      <c r="V79" s="19"/>
      <c r="W79" s="3">
        <v>0.2</v>
      </c>
      <c r="X79" s="3">
        <f>((O79*F79)+Q79+R79+S79+U79)/G79</f>
        <v>31.546120218579237</v>
      </c>
      <c r="Y79" s="3">
        <f t="shared" ref="Y79" si="132">((O79*F79)+Q79+R79+S79+T79+U79)/G79+W79</f>
        <v>31.925545241691303</v>
      </c>
      <c r="Z79" s="29">
        <f>Y79*G79</f>
        <v>584237.47792295087</v>
      </c>
      <c r="AA79" s="30">
        <v>42836</v>
      </c>
    </row>
    <row r="80" spans="1:27" s="22" customFormat="1" x14ac:dyDescent="0.25">
      <c r="A80" s="62"/>
      <c r="B80" s="17" t="s">
        <v>147</v>
      </c>
      <c r="C80" s="18" t="s">
        <v>33</v>
      </c>
      <c r="D80" s="18" t="s">
        <v>77</v>
      </c>
      <c r="E80" s="19" t="s">
        <v>78</v>
      </c>
      <c r="F80" s="20">
        <v>3681.8</v>
      </c>
      <c r="G80" s="21">
        <v>3681.8</v>
      </c>
      <c r="H80" s="21">
        <f t="shared" si="130"/>
        <v>0</v>
      </c>
      <c r="I80" s="22" t="s">
        <v>176</v>
      </c>
      <c r="J80" s="19"/>
      <c r="K80" s="24"/>
      <c r="L80" s="24">
        <v>42823</v>
      </c>
      <c r="M80" s="18" t="s">
        <v>31</v>
      </c>
      <c r="N80" s="19"/>
      <c r="O80" s="3">
        <v>21</v>
      </c>
      <c r="P80" s="31"/>
      <c r="Q80" s="3"/>
      <c r="R80" s="3"/>
      <c r="S80" s="27"/>
      <c r="T80" s="27"/>
      <c r="U80" s="3"/>
      <c r="V80" s="19"/>
      <c r="W80" s="3"/>
      <c r="X80" s="3">
        <f t="shared" ref="X80:X85" si="133">IF(O80&gt;0,O80,((P80*2.2046*S80)+(Q80+R80)/G80)+V80)</f>
        <v>21</v>
      </c>
      <c r="Y80" s="3">
        <f t="shared" ref="Y80:Y85" si="134">IF(O80&gt;0,O80,((P80*2.2046*S80)+(Q80+R80+T80)/G80)+V80+W80)</f>
        <v>21</v>
      </c>
      <c r="Z80" s="29">
        <f t="shared" ref="Z80:Z85" si="135">Y80*F80</f>
        <v>77317.8</v>
      </c>
      <c r="AA80" s="30">
        <v>42830</v>
      </c>
    </row>
    <row r="81" spans="1:27" s="22" customFormat="1" x14ac:dyDescent="0.25">
      <c r="A81" s="62"/>
      <c r="B81" s="17" t="s">
        <v>177</v>
      </c>
      <c r="C81" s="18" t="s">
        <v>178</v>
      </c>
      <c r="D81" s="18" t="s">
        <v>179</v>
      </c>
      <c r="E81" s="19" t="s">
        <v>180</v>
      </c>
      <c r="F81" s="20">
        <v>2298</v>
      </c>
      <c r="G81" s="21"/>
      <c r="H81" s="21">
        <f t="shared" si="130"/>
        <v>-2298</v>
      </c>
      <c r="I81" s="22" t="s">
        <v>181</v>
      </c>
      <c r="J81" s="19"/>
      <c r="K81" s="24"/>
      <c r="L81" s="24">
        <v>42824</v>
      </c>
      <c r="M81" s="18" t="s">
        <v>47</v>
      </c>
      <c r="N81" s="19"/>
      <c r="O81" s="3">
        <v>70</v>
      </c>
      <c r="P81" s="31"/>
      <c r="Q81" s="3"/>
      <c r="R81" s="3"/>
      <c r="S81" s="27"/>
      <c r="T81" s="27"/>
      <c r="U81" s="3"/>
      <c r="V81" s="3"/>
      <c r="W81" s="3"/>
      <c r="X81" s="3">
        <f t="shared" si="133"/>
        <v>70</v>
      </c>
      <c r="Y81" s="3">
        <f t="shared" si="134"/>
        <v>70</v>
      </c>
      <c r="Z81" s="29">
        <f t="shared" si="135"/>
        <v>160860</v>
      </c>
      <c r="AA81" s="30">
        <v>42823</v>
      </c>
    </row>
    <row r="82" spans="1:27" s="22" customFormat="1" x14ac:dyDescent="0.25">
      <c r="A82" s="62"/>
      <c r="B82" s="17" t="s">
        <v>182</v>
      </c>
      <c r="C82" s="19" t="s">
        <v>178</v>
      </c>
      <c r="D82" s="18" t="s">
        <v>179</v>
      </c>
      <c r="E82" s="19" t="s">
        <v>183</v>
      </c>
      <c r="F82" s="20">
        <v>346.4</v>
      </c>
      <c r="G82" s="21"/>
      <c r="H82" s="21">
        <f t="shared" si="130"/>
        <v>-346.4</v>
      </c>
      <c r="I82" s="22" t="s">
        <v>181</v>
      </c>
      <c r="J82" s="19"/>
      <c r="K82" s="24"/>
      <c r="L82" s="24">
        <v>42824</v>
      </c>
      <c r="M82" s="18" t="s">
        <v>47</v>
      </c>
      <c r="N82" s="19"/>
      <c r="O82" s="3">
        <v>64</v>
      </c>
      <c r="P82" s="31"/>
      <c r="Q82" s="3"/>
      <c r="R82" s="3"/>
      <c r="S82" s="27"/>
      <c r="T82" s="27"/>
      <c r="U82" s="3"/>
      <c r="V82" s="3"/>
      <c r="W82" s="3"/>
      <c r="X82" s="3">
        <f t="shared" si="133"/>
        <v>64</v>
      </c>
      <c r="Y82" s="3">
        <f t="shared" si="134"/>
        <v>64</v>
      </c>
      <c r="Z82" s="29">
        <f t="shared" si="135"/>
        <v>22169.599999999999</v>
      </c>
      <c r="AA82" s="30">
        <v>42823</v>
      </c>
    </row>
    <row r="83" spans="1:27" s="22" customFormat="1" x14ac:dyDescent="0.25">
      <c r="A83" s="62"/>
      <c r="B83" s="17" t="s">
        <v>184</v>
      </c>
      <c r="C83" s="18" t="s">
        <v>178</v>
      </c>
      <c r="D83" s="18" t="s">
        <v>179</v>
      </c>
      <c r="E83" s="19"/>
      <c r="F83" s="20">
        <v>105</v>
      </c>
      <c r="G83" s="21"/>
      <c r="H83" s="21">
        <f t="shared" si="130"/>
        <v>-105</v>
      </c>
      <c r="I83" s="22" t="s">
        <v>181</v>
      </c>
      <c r="J83" s="19"/>
      <c r="K83" s="24"/>
      <c r="L83" s="24">
        <v>42824</v>
      </c>
      <c r="M83" s="18" t="s">
        <v>47</v>
      </c>
      <c r="N83" s="19"/>
      <c r="O83" s="3">
        <v>139</v>
      </c>
      <c r="P83" s="31"/>
      <c r="Q83" s="3"/>
      <c r="R83" s="3"/>
      <c r="S83" s="27"/>
      <c r="T83" s="27"/>
      <c r="U83" s="3"/>
      <c r="V83" s="3"/>
      <c r="W83" s="3"/>
      <c r="X83" s="3">
        <f t="shared" si="133"/>
        <v>139</v>
      </c>
      <c r="Y83" s="3">
        <f t="shared" si="134"/>
        <v>139</v>
      </c>
      <c r="Z83" s="29">
        <f t="shared" si="135"/>
        <v>14595</v>
      </c>
      <c r="AA83" s="30">
        <v>42823</v>
      </c>
    </row>
    <row r="84" spans="1:27" s="22" customFormat="1" x14ac:dyDescent="0.25">
      <c r="A84" s="62"/>
      <c r="B84" s="17" t="s">
        <v>185</v>
      </c>
      <c r="C84" s="19" t="s">
        <v>178</v>
      </c>
      <c r="D84" s="18" t="s">
        <v>179</v>
      </c>
      <c r="E84" s="19"/>
      <c r="F84" s="20">
        <v>2007</v>
      </c>
      <c r="G84" s="21"/>
      <c r="H84" s="21">
        <f t="shared" si="130"/>
        <v>-2007</v>
      </c>
      <c r="I84" s="22" t="s">
        <v>181</v>
      </c>
      <c r="J84" s="19"/>
      <c r="K84" s="24"/>
      <c r="L84" s="24">
        <v>42824</v>
      </c>
      <c r="M84" s="18" t="s">
        <v>47</v>
      </c>
      <c r="N84" s="19"/>
      <c r="O84" s="3">
        <v>23</v>
      </c>
      <c r="P84" s="31"/>
      <c r="Q84" s="3"/>
      <c r="R84" s="3"/>
      <c r="S84" s="27"/>
      <c r="T84" s="27"/>
      <c r="U84" s="3"/>
      <c r="V84" s="3"/>
      <c r="W84" s="3"/>
      <c r="X84" s="3">
        <f t="shared" si="133"/>
        <v>23</v>
      </c>
      <c r="Y84" s="3">
        <f t="shared" si="134"/>
        <v>23</v>
      </c>
      <c r="Z84" s="29">
        <f t="shared" si="135"/>
        <v>46161</v>
      </c>
      <c r="AA84" s="30">
        <v>42823</v>
      </c>
    </row>
    <row r="85" spans="1:27" s="22" customFormat="1" x14ac:dyDescent="0.25">
      <c r="A85" s="62"/>
      <c r="B85" s="17" t="s">
        <v>26</v>
      </c>
      <c r="C85" s="18" t="s">
        <v>33</v>
      </c>
      <c r="D85" s="18" t="s">
        <v>33</v>
      </c>
      <c r="E85" s="19" t="s">
        <v>34</v>
      </c>
      <c r="F85" s="20">
        <f>43002*0.4536</f>
        <v>19505.707200000001</v>
      </c>
      <c r="G85" s="21">
        <v>19476.52</v>
      </c>
      <c r="H85" s="21">
        <f t="shared" si="130"/>
        <v>-29.187200000000303</v>
      </c>
      <c r="I85" s="22" t="s">
        <v>186</v>
      </c>
      <c r="J85" s="23" t="s">
        <v>30</v>
      </c>
      <c r="K85" s="24">
        <v>42823</v>
      </c>
      <c r="L85" s="24">
        <v>42824</v>
      </c>
      <c r="M85" s="18" t="s">
        <v>47</v>
      </c>
      <c r="N85" s="18" t="s">
        <v>187</v>
      </c>
      <c r="O85" s="3"/>
      <c r="P85" s="25">
        <f>0.6144+0.105</f>
        <v>0.71939999999999993</v>
      </c>
      <c r="Q85" s="26">
        <v>23000</v>
      </c>
      <c r="R85" s="3">
        <v>9400</v>
      </c>
      <c r="S85" s="27">
        <v>19.149999999999999</v>
      </c>
      <c r="T85" s="27">
        <f>X85*F85*0.005</f>
        <v>3136.0530413110646</v>
      </c>
      <c r="V85" s="3">
        <v>0.12</v>
      </c>
      <c r="W85" s="3">
        <v>0.3</v>
      </c>
      <c r="X85" s="3">
        <f t="shared" si="133"/>
        <v>32.155235482167647</v>
      </c>
      <c r="Y85" s="3">
        <f t="shared" si="134"/>
        <v>32.616252596175229</v>
      </c>
      <c r="Z85" s="29">
        <f t="shared" si="135"/>
        <v>636203.07310223393</v>
      </c>
      <c r="AA85" s="30">
        <v>42817</v>
      </c>
    </row>
    <row r="86" spans="1:27" s="22" customFormat="1" x14ac:dyDescent="0.25">
      <c r="A86" s="62"/>
      <c r="B86" s="17" t="s">
        <v>41</v>
      </c>
      <c r="C86" s="19" t="s">
        <v>42</v>
      </c>
      <c r="D86" s="18" t="s">
        <v>43</v>
      </c>
      <c r="E86" s="19">
        <f>229</f>
        <v>229</v>
      </c>
      <c r="F86" s="20">
        <f>25295-110</f>
        <v>25185</v>
      </c>
      <c r="G86" s="21">
        <f>18400</f>
        <v>18400</v>
      </c>
      <c r="H86" s="21">
        <f t="shared" si="130"/>
        <v>-6785</v>
      </c>
      <c r="I86" s="22" t="s">
        <v>188</v>
      </c>
      <c r="J86" s="59">
        <v>200</v>
      </c>
      <c r="K86" s="24"/>
      <c r="L86" s="24">
        <v>42824</v>
      </c>
      <c r="M86" s="18" t="s">
        <v>47</v>
      </c>
      <c r="N86" s="19"/>
      <c r="O86" s="3">
        <v>23.8</v>
      </c>
      <c r="P86" s="31"/>
      <c r="Q86" s="63">
        <f>19800</f>
        <v>19800</v>
      </c>
      <c r="R86" s="3">
        <f t="shared" ref="R86:R87" si="136">65*E86</f>
        <v>14885</v>
      </c>
      <c r="S86" s="27">
        <f t="shared" ref="S86:S87" si="137">-35*E86</f>
        <v>-8015</v>
      </c>
      <c r="T86" s="27">
        <f t="shared" ref="T86:T87" si="138">X86*F86*0.0045</f>
        <v>3863.2708687499999</v>
      </c>
      <c r="U86" s="3">
        <f t="shared" ref="U86:U87" si="139">E86*5</f>
        <v>1145</v>
      </c>
      <c r="V86" s="19"/>
      <c r="W86" s="64"/>
      <c r="X86" s="3">
        <f t="shared" ref="X86:X87" si="140">((O86*F86)+Q86+R86+S86+U86)/G86</f>
        <v>34.087934782608698</v>
      </c>
      <c r="Y86" s="3">
        <f t="shared" ref="Y86:Y87" si="141">((O86*F86)+Q86+R86+S86+T86+U86)/G86+W86</f>
        <v>34.297895155910332</v>
      </c>
      <c r="Z86" s="29">
        <f t="shared" ref="Z86:Z87" si="142">Y86*G86</f>
        <v>631081.27086875006</v>
      </c>
      <c r="AA86" s="30">
        <v>42837</v>
      </c>
    </row>
    <row r="87" spans="1:27" s="22" customFormat="1" x14ac:dyDescent="0.25">
      <c r="A87" s="62"/>
      <c r="B87" s="17" t="s">
        <v>41</v>
      </c>
      <c r="C87" s="19" t="s">
        <v>42</v>
      </c>
      <c r="D87" s="18" t="s">
        <v>53</v>
      </c>
      <c r="E87" s="19">
        <v>100</v>
      </c>
      <c r="F87" s="20">
        <v>11965</v>
      </c>
      <c r="G87" s="21">
        <v>10780</v>
      </c>
      <c r="H87" s="21">
        <f t="shared" si="130"/>
        <v>-1185</v>
      </c>
      <c r="I87" s="22" t="s">
        <v>189</v>
      </c>
      <c r="J87" s="59">
        <v>128</v>
      </c>
      <c r="K87" s="24"/>
      <c r="L87" s="24">
        <v>42824</v>
      </c>
      <c r="M87" s="18" t="s">
        <v>47</v>
      </c>
      <c r="N87" s="19"/>
      <c r="O87" s="3">
        <v>23.8</v>
      </c>
      <c r="P87" s="31"/>
      <c r="Q87" s="26">
        <v>15700</v>
      </c>
      <c r="R87" s="3">
        <f t="shared" si="136"/>
        <v>6500</v>
      </c>
      <c r="S87" s="27">
        <f t="shared" si="137"/>
        <v>-3500</v>
      </c>
      <c r="T87" s="27">
        <f t="shared" si="138"/>
        <v>1518.2136546846009</v>
      </c>
      <c r="U87" s="3">
        <f t="shared" si="139"/>
        <v>500</v>
      </c>
      <c r="V87" s="19"/>
      <c r="W87" s="3">
        <v>0.3</v>
      </c>
      <c r="X87" s="3">
        <f t="shared" si="140"/>
        <v>28.197309833024118</v>
      </c>
      <c r="Y87" s="3">
        <f t="shared" si="141"/>
        <v>28.638145979098759</v>
      </c>
      <c r="Z87" s="29">
        <f t="shared" si="142"/>
        <v>308719.2136546846</v>
      </c>
      <c r="AA87" s="30">
        <v>42837</v>
      </c>
    </row>
    <row r="88" spans="1:27" s="22" customFormat="1" x14ac:dyDescent="0.25">
      <c r="A88" s="62"/>
      <c r="B88" s="17" t="s">
        <v>26</v>
      </c>
      <c r="C88" s="18" t="s">
        <v>27</v>
      </c>
      <c r="D88" s="18" t="s">
        <v>27</v>
      </c>
      <c r="E88" s="19" t="s">
        <v>34</v>
      </c>
      <c r="F88" s="20">
        <f>40951*0.4536</f>
        <v>18575.373599999999</v>
      </c>
      <c r="G88" s="21">
        <v>18467.52</v>
      </c>
      <c r="H88" s="21">
        <f>G88-F88</f>
        <v>-107.85359999999855</v>
      </c>
      <c r="I88" s="22" t="s">
        <v>190</v>
      </c>
      <c r="J88" s="23" t="s">
        <v>30</v>
      </c>
      <c r="K88" s="24">
        <v>42824</v>
      </c>
      <c r="L88" s="24">
        <v>42825</v>
      </c>
      <c r="M88" s="18" t="s">
        <v>49</v>
      </c>
      <c r="N88" s="18" t="s">
        <v>191</v>
      </c>
      <c r="O88" s="3"/>
      <c r="P88" s="25">
        <f>0.6144+0.1</f>
        <v>0.71439999999999992</v>
      </c>
      <c r="Q88" s="26">
        <v>23000</v>
      </c>
      <c r="R88" s="3">
        <v>9400</v>
      </c>
      <c r="S88" s="51">
        <v>18.742000000000001</v>
      </c>
      <c r="T88" s="27">
        <f>X88*F88*0.005</f>
        <v>2915.6323265756887</v>
      </c>
      <c r="V88" s="3">
        <v>0.12</v>
      </c>
      <c r="W88" s="3">
        <v>0.3</v>
      </c>
      <c r="X88" s="3">
        <f t="shared" ref="X88" si="143">IF(O88&gt;0,O88,((P88*2.2046*S88)+(Q88+R88)/G88)+V88)</f>
        <v>31.392448834253209</v>
      </c>
      <c r="Y88" s="3">
        <f t="shared" ref="Y88" si="144">IF(O88&gt;0,O88,((P88*2.2046*S88)+(Q88+R88+T88)/G88)+V88+W88)</f>
        <v>31.850327765835562</v>
      </c>
      <c r="Z88" s="29">
        <f t="shared" ref="Z88" si="145">Y88*F88</f>
        <v>591631.73753284884</v>
      </c>
      <c r="AA88" s="30">
        <v>42836</v>
      </c>
    </row>
    <row r="89" spans="1:27" s="22" customFormat="1" x14ac:dyDescent="0.25">
      <c r="A89" s="62"/>
      <c r="B89" s="17" t="s">
        <v>41</v>
      </c>
      <c r="C89" s="19" t="s">
        <v>42</v>
      </c>
      <c r="D89" s="18" t="s">
        <v>53</v>
      </c>
      <c r="E89" s="19">
        <f>247</f>
        <v>247</v>
      </c>
      <c r="F89" s="20">
        <f>28690</f>
        <v>28690</v>
      </c>
      <c r="G89" s="21">
        <f>23290</f>
        <v>23290</v>
      </c>
      <c r="H89" s="21">
        <f t="shared" ref="H89:H90" si="146">G89-F89</f>
        <v>-5400</v>
      </c>
      <c r="I89" s="22" t="s">
        <v>192</v>
      </c>
      <c r="J89" s="65">
        <v>250</v>
      </c>
      <c r="K89" s="24"/>
      <c r="L89" s="24">
        <v>42825</v>
      </c>
      <c r="M89" s="18" t="s">
        <v>49</v>
      </c>
      <c r="N89" s="19"/>
      <c r="O89" s="3">
        <v>23.8</v>
      </c>
      <c r="P89" s="31"/>
      <c r="Q89" s="26">
        <f>19800</f>
        <v>19800</v>
      </c>
      <c r="R89" s="3">
        <f t="shared" ref="R89:R90" si="147">65*E89</f>
        <v>16055</v>
      </c>
      <c r="S89" s="27">
        <f>-35*E89</f>
        <v>-8645</v>
      </c>
      <c r="T89" s="27">
        <f>X89*F89*0.0045</f>
        <v>3942.8134836839845</v>
      </c>
      <c r="U89" s="3">
        <f>E89*5</f>
        <v>1235</v>
      </c>
      <c r="V89" s="19"/>
      <c r="W89" s="3">
        <v>0.3</v>
      </c>
      <c r="X89" s="3">
        <f>((O89*F89)+Q89+R89+S89+U89)/G89</f>
        <v>30.53958780592529</v>
      </c>
      <c r="Y89" s="3">
        <f t="shared" ref="Y89:Y90" si="148">((O89*F89)+Q89+R89+S89+T89+U89)/G89+W89</f>
        <v>31.00887992630674</v>
      </c>
      <c r="Z89" s="29">
        <f t="shared" ref="Z89:Z90" si="149">Y89*G89</f>
        <v>722196.81348368397</v>
      </c>
      <c r="AA89" s="30">
        <v>42838</v>
      </c>
    </row>
    <row r="90" spans="1:27" s="22" customFormat="1" x14ac:dyDescent="0.25">
      <c r="A90" s="62"/>
      <c r="B90" s="17" t="s">
        <v>41</v>
      </c>
      <c r="C90" s="19" t="s">
        <v>42</v>
      </c>
      <c r="D90" s="18" t="s">
        <v>119</v>
      </c>
      <c r="E90" s="19">
        <v>129</v>
      </c>
      <c r="F90" s="20">
        <v>14980</v>
      </c>
      <c r="G90" s="21">
        <v>11630</v>
      </c>
      <c r="H90" s="21">
        <f t="shared" si="146"/>
        <v>-3350</v>
      </c>
      <c r="I90" s="18" t="s">
        <v>193</v>
      </c>
      <c r="J90" s="65">
        <v>126</v>
      </c>
      <c r="K90" s="24"/>
      <c r="L90" s="24">
        <v>42825</v>
      </c>
      <c r="M90" s="18" t="s">
        <v>49</v>
      </c>
      <c r="N90" s="19"/>
      <c r="O90" s="3">
        <v>23.8</v>
      </c>
      <c r="P90" s="31"/>
      <c r="Q90" s="26">
        <v>15700</v>
      </c>
      <c r="R90" s="3">
        <f t="shared" si="147"/>
        <v>8385</v>
      </c>
      <c r="S90" s="27">
        <f>-35*E90</f>
        <v>-4515</v>
      </c>
      <c r="T90" s="27">
        <f>X90*F90*0.0045</f>
        <v>2183.6608761822872</v>
      </c>
      <c r="U90" s="3">
        <f>E90*5</f>
        <v>645</v>
      </c>
      <c r="V90" s="19"/>
      <c r="W90" s="3">
        <v>0.3</v>
      </c>
      <c r="X90" s="3">
        <f>((O90*F90)+Q90+R90+S90+U90)/G90</f>
        <v>32.39372312983663</v>
      </c>
      <c r="Y90" s="3">
        <f t="shared" si="148"/>
        <v>32.881484168201403</v>
      </c>
      <c r="Z90" s="29">
        <f t="shared" si="149"/>
        <v>382411.66087618232</v>
      </c>
      <c r="AA90" s="30">
        <v>42838</v>
      </c>
    </row>
    <row r="91" spans="1:27" s="22" customFormat="1" ht="15.75" thickBot="1" x14ac:dyDescent="0.3">
      <c r="A91" s="62"/>
      <c r="B91" s="34"/>
      <c r="C91" s="6"/>
      <c r="D91" s="6"/>
      <c r="E91" s="6"/>
      <c r="F91" s="35"/>
      <c r="G91" s="35"/>
      <c r="H91" s="35"/>
      <c r="I91" s="9"/>
      <c r="J91" s="6"/>
      <c r="K91" s="10"/>
      <c r="L91" s="10"/>
      <c r="M91" s="6"/>
      <c r="N91" s="6"/>
      <c r="O91" s="11"/>
      <c r="P91" s="12"/>
      <c r="Q91" s="11"/>
      <c r="R91" s="11"/>
      <c r="S91" s="11"/>
      <c r="T91" s="11"/>
      <c r="U91" s="11"/>
      <c r="V91" s="11"/>
      <c r="W91" s="11"/>
      <c r="X91" s="11"/>
      <c r="Y91" s="11"/>
      <c r="Z91" s="15"/>
      <c r="AA91" s="3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4"/>
  <sheetViews>
    <sheetView zoomScale="80" zoomScaleNormal="80" workbookViewId="0">
      <selection activeCell="AG13" sqref="AG13"/>
    </sheetView>
  </sheetViews>
  <sheetFormatPr baseColWidth="10" defaultRowHeight="15" x14ac:dyDescent="0.25"/>
  <cols>
    <col min="1" max="1" width="3.5703125" customWidth="1"/>
    <col min="2" max="2" width="19.7109375" bestFit="1" customWidth="1"/>
    <col min="4" max="4" width="17.140625" bestFit="1" customWidth="1"/>
    <col min="5" max="5" width="10.5703125" bestFit="1" customWidth="1"/>
    <col min="8" max="8" width="10.42578125" customWidth="1"/>
    <col min="10" max="11" width="0" hidden="1" customWidth="1"/>
    <col min="13" max="13" width="4.42578125" customWidth="1"/>
    <col min="14" max="14" width="7.5703125" hidden="1" customWidth="1"/>
    <col min="15" max="21" width="0" hidden="1" customWidth="1"/>
    <col min="22" max="22" width="6.5703125" hidden="1" customWidth="1"/>
    <col min="23" max="23" width="7.42578125" hidden="1" customWidth="1"/>
    <col min="24" max="24" width="0" hidden="1" customWidth="1"/>
    <col min="26" max="26" width="16.140625" customWidth="1"/>
  </cols>
  <sheetData>
    <row r="1" spans="1:27" x14ac:dyDescent="0.25">
      <c r="A1" s="1" t="s">
        <v>194</v>
      </c>
      <c r="S1" s="2"/>
      <c r="W1" s="3"/>
      <c r="Z1" s="4"/>
    </row>
    <row r="2" spans="1:27" ht="45.75" thickBot="1" x14ac:dyDescent="0.3">
      <c r="A2" s="5"/>
      <c r="B2" s="6" t="s">
        <v>1</v>
      </c>
      <c r="C2" s="6" t="s">
        <v>2</v>
      </c>
      <c r="D2" s="6" t="s">
        <v>3</v>
      </c>
      <c r="E2" s="6" t="s">
        <v>4</v>
      </c>
      <c r="F2" s="7" t="s">
        <v>5</v>
      </c>
      <c r="G2" s="7" t="s">
        <v>6</v>
      </c>
      <c r="H2" s="8" t="s">
        <v>7</v>
      </c>
      <c r="I2" s="9" t="s">
        <v>8</v>
      </c>
      <c r="J2" s="6" t="s">
        <v>9</v>
      </c>
      <c r="K2" s="10" t="s">
        <v>10</v>
      </c>
      <c r="L2" s="10" t="s">
        <v>11</v>
      </c>
      <c r="M2" s="6" t="s">
        <v>12</v>
      </c>
      <c r="N2" s="6" t="s">
        <v>13</v>
      </c>
      <c r="O2" s="11" t="s">
        <v>14</v>
      </c>
      <c r="P2" s="12" t="s">
        <v>15</v>
      </c>
      <c r="Q2" s="11" t="s">
        <v>16</v>
      </c>
      <c r="R2" s="13" t="s">
        <v>17</v>
      </c>
      <c r="S2" s="13" t="s">
        <v>18</v>
      </c>
      <c r="T2" s="14" t="s">
        <v>19</v>
      </c>
      <c r="U2" s="11" t="s">
        <v>20</v>
      </c>
      <c r="V2" s="11" t="s">
        <v>21</v>
      </c>
      <c r="W2" s="14" t="s">
        <v>22</v>
      </c>
      <c r="X2" s="11" t="s">
        <v>23</v>
      </c>
      <c r="Y2" s="11" t="s">
        <v>24</v>
      </c>
      <c r="Z2" s="15" t="s">
        <v>25</v>
      </c>
      <c r="AA2" s="11"/>
    </row>
    <row r="3" spans="1:27" s="22" customFormat="1" x14ac:dyDescent="0.25">
      <c r="A3" s="16"/>
      <c r="B3" s="17" t="s">
        <v>26</v>
      </c>
      <c r="C3" s="18" t="s">
        <v>33</v>
      </c>
      <c r="D3" s="18" t="s">
        <v>33</v>
      </c>
      <c r="E3" s="19" t="s">
        <v>34</v>
      </c>
      <c r="F3" s="20">
        <f>42942*0.4536</f>
        <v>19478.4912</v>
      </c>
      <c r="G3" s="21">
        <v>19471.97</v>
      </c>
      <c r="H3" s="21">
        <f t="shared" ref="H3:H4" si="0">G3-F3</f>
        <v>-6.5211999999992258</v>
      </c>
      <c r="I3" s="22" t="s">
        <v>195</v>
      </c>
      <c r="J3" s="23" t="s">
        <v>30</v>
      </c>
      <c r="K3" s="24">
        <v>42825</v>
      </c>
      <c r="L3" s="24">
        <v>42826</v>
      </c>
      <c r="M3" s="18" t="s">
        <v>98</v>
      </c>
      <c r="N3" s="18" t="s">
        <v>196</v>
      </c>
      <c r="O3" s="3"/>
      <c r="P3" s="25">
        <f>0.5736+0.105</f>
        <v>0.67859999999999998</v>
      </c>
      <c r="Q3" s="26">
        <v>23000</v>
      </c>
      <c r="R3" s="3">
        <v>9400</v>
      </c>
      <c r="S3" s="27">
        <v>18.8</v>
      </c>
      <c r="T3" s="28">
        <f t="shared" ref="T3:T4" si="1">X3*F3*0.005</f>
        <v>2912.9607907915442</v>
      </c>
      <c r="V3" s="3">
        <v>0.12</v>
      </c>
      <c r="W3" s="3">
        <v>0.3</v>
      </c>
      <c r="X3" s="3">
        <f t="shared" ref="X3:X4" si="2">IF(O3&gt;0,O3,((P3*2.2046*S3)+(Q3+R3)/G3)+V3)</f>
        <v>29.909511582617281</v>
      </c>
      <c r="Y3" s="3">
        <f t="shared" ref="Y3:Y4" si="3">IF(O3&gt;0,O3,((P3*2.2046*S3)+(Q3+R3+T3)/G3)+V3+W3)</f>
        <v>30.359109224293576</v>
      </c>
      <c r="Z3" s="29">
        <f t="shared" ref="Z3:Z4" si="4">Y3*F3</f>
        <v>591349.64186524122</v>
      </c>
      <c r="AA3" s="30">
        <v>42821</v>
      </c>
    </row>
    <row r="4" spans="1:27" s="22" customFormat="1" x14ac:dyDescent="0.25">
      <c r="A4" s="16"/>
      <c r="B4" s="17" t="s">
        <v>26</v>
      </c>
      <c r="C4" s="18" t="s">
        <v>33</v>
      </c>
      <c r="D4" s="18" t="s">
        <v>33</v>
      </c>
      <c r="E4" s="19" t="s">
        <v>34</v>
      </c>
      <c r="F4" s="20">
        <f>42758*0.4536</f>
        <v>19395.0288</v>
      </c>
      <c r="G4" s="21">
        <v>19397.47</v>
      </c>
      <c r="H4" s="21">
        <f t="shared" si="0"/>
        <v>2.4412000000011176</v>
      </c>
      <c r="I4" s="22" t="s">
        <v>197</v>
      </c>
      <c r="J4" s="23" t="s">
        <v>30</v>
      </c>
      <c r="K4" s="24">
        <v>42825</v>
      </c>
      <c r="L4" s="24">
        <v>42826</v>
      </c>
      <c r="M4" s="18" t="s">
        <v>98</v>
      </c>
      <c r="N4" s="18" t="s">
        <v>196</v>
      </c>
      <c r="O4" s="3"/>
      <c r="P4" s="25">
        <f>0.5736+0.105</f>
        <v>0.67859999999999998</v>
      </c>
      <c r="Q4" s="26">
        <v>23000</v>
      </c>
      <c r="R4" s="3">
        <v>9400</v>
      </c>
      <c r="S4" s="27">
        <v>18.82</v>
      </c>
      <c r="T4" s="28">
        <f t="shared" si="1"/>
        <v>2904.0005056235418</v>
      </c>
      <c r="V4" s="3">
        <v>0.12</v>
      </c>
      <c r="W4" s="3">
        <v>0.3</v>
      </c>
      <c r="X4" s="3">
        <f t="shared" si="2"/>
        <v>29.945823082495668</v>
      </c>
      <c r="Y4" s="3">
        <f t="shared" si="3"/>
        <v>30.395533354279749</v>
      </c>
      <c r="Z4" s="29">
        <f t="shared" si="4"/>
        <v>589522.24479761638</v>
      </c>
      <c r="AA4" s="30">
        <v>42821</v>
      </c>
    </row>
    <row r="5" spans="1:27" ht="15.75" thickBot="1" x14ac:dyDescent="0.3">
      <c r="A5" s="66"/>
      <c r="B5" s="19"/>
      <c r="C5" s="19"/>
      <c r="D5" s="19"/>
      <c r="E5" s="19"/>
      <c r="F5" s="67"/>
      <c r="G5" s="67"/>
      <c r="H5" s="68"/>
      <c r="I5" s="69"/>
      <c r="J5" s="19"/>
      <c r="K5" s="24"/>
      <c r="L5" s="24"/>
      <c r="M5" s="19"/>
      <c r="N5" s="19"/>
      <c r="O5" s="3"/>
      <c r="P5" s="31"/>
      <c r="Q5" s="31"/>
      <c r="R5" s="12"/>
      <c r="S5" s="31"/>
      <c r="T5" s="3"/>
      <c r="U5" s="3"/>
      <c r="V5" s="3"/>
      <c r="W5" s="3"/>
      <c r="X5" s="3"/>
      <c r="Y5" s="11"/>
      <c r="Z5" s="29"/>
      <c r="AA5" s="70"/>
    </row>
    <row r="6" spans="1:27" s="22" customFormat="1" x14ac:dyDescent="0.25">
      <c r="A6" s="60"/>
      <c r="B6" s="38" t="s">
        <v>41</v>
      </c>
      <c r="C6" s="38" t="s">
        <v>42</v>
      </c>
      <c r="D6" s="39" t="s">
        <v>198</v>
      </c>
      <c r="E6" s="38">
        <f>230</f>
        <v>230</v>
      </c>
      <c r="F6" s="40">
        <f>28110</f>
        <v>28110</v>
      </c>
      <c r="G6" s="41">
        <f>19930</f>
        <v>19930</v>
      </c>
      <c r="H6" s="41">
        <f t="shared" ref="H6:H8" si="5">G6-F6</f>
        <v>-8180</v>
      </c>
      <c r="I6" s="39" t="s">
        <v>199</v>
      </c>
      <c r="J6" s="71">
        <v>200</v>
      </c>
      <c r="K6" s="42"/>
      <c r="L6" s="42">
        <v>42827</v>
      </c>
      <c r="M6" s="39" t="s">
        <v>57</v>
      </c>
      <c r="N6" s="38"/>
      <c r="O6" s="43">
        <v>23.5</v>
      </c>
      <c r="P6" s="44"/>
      <c r="Q6" s="45">
        <f>19800</f>
        <v>19800</v>
      </c>
      <c r="R6" s="3">
        <f t="shared" ref="R6:R8" si="6">65*E6</f>
        <v>14950</v>
      </c>
      <c r="S6" s="46">
        <f>-40*E6</f>
        <v>-9200</v>
      </c>
      <c r="T6" s="72">
        <f>X6*F6*0.0045</f>
        <v>4362.1734106874055</v>
      </c>
      <c r="U6" s="43">
        <f>E6*5</f>
        <v>1150</v>
      </c>
      <c r="V6" s="38"/>
      <c r="W6" s="43">
        <v>0.3</v>
      </c>
      <c r="X6" s="43">
        <f>((O6*F6)+Q6+R6+S6+U6)/G6</f>
        <v>34.484947315604614</v>
      </c>
      <c r="Y6" s="3">
        <f t="shared" ref="Y6:Y8" si="7">((O6*F6)+Q6+R6+S6+T6+U6)/G6+W6</f>
        <v>35.00382204770132</v>
      </c>
      <c r="Z6" s="47">
        <f>Y6*G6</f>
        <v>697626.17341068725</v>
      </c>
      <c r="AA6" s="48">
        <v>42842</v>
      </c>
    </row>
    <row r="7" spans="1:27" s="22" customFormat="1" x14ac:dyDescent="0.25">
      <c r="A7" s="62"/>
      <c r="B7" s="17" t="s">
        <v>41</v>
      </c>
      <c r="C7" s="19" t="s">
        <v>42</v>
      </c>
      <c r="D7" s="18" t="s">
        <v>43</v>
      </c>
      <c r="E7" s="19">
        <v>100</v>
      </c>
      <c r="F7" s="20">
        <v>10675</v>
      </c>
      <c r="G7" s="21">
        <v>11430</v>
      </c>
      <c r="H7" s="21">
        <f t="shared" si="5"/>
        <v>755</v>
      </c>
      <c r="I7" s="18" t="s">
        <v>200</v>
      </c>
      <c r="J7" s="65">
        <v>130</v>
      </c>
      <c r="K7" s="24"/>
      <c r="L7" s="24">
        <v>42827</v>
      </c>
      <c r="M7" s="18" t="s">
        <v>57</v>
      </c>
      <c r="N7" s="19"/>
      <c r="O7" s="3">
        <v>23.5</v>
      </c>
      <c r="P7" s="31"/>
      <c r="Q7" s="26">
        <v>15700</v>
      </c>
      <c r="R7" s="3">
        <f t="shared" si="6"/>
        <v>6500</v>
      </c>
      <c r="S7" s="27">
        <f t="shared" ref="S7:S8" si="8">-40*E7</f>
        <v>-4000</v>
      </c>
      <c r="T7" s="27">
        <f>X7*F7*0.0045</f>
        <v>1132.9053887795274</v>
      </c>
      <c r="U7" s="3">
        <f>E7*5</f>
        <v>500</v>
      </c>
      <c r="V7" s="19"/>
      <c r="W7" s="3">
        <v>0.3</v>
      </c>
      <c r="X7" s="3">
        <f>((O7*F7)+Q7+R7+S7+U7)/G7</f>
        <v>23.583770778652667</v>
      </c>
      <c r="Y7" s="3">
        <f t="shared" si="7"/>
        <v>23.982887610566888</v>
      </c>
      <c r="Z7" s="29">
        <f>Y7*G7</f>
        <v>274124.40538877953</v>
      </c>
      <c r="AA7" s="30">
        <v>42842</v>
      </c>
    </row>
    <row r="8" spans="1:27" s="22" customFormat="1" x14ac:dyDescent="0.25">
      <c r="A8" s="62"/>
      <c r="B8" s="17" t="s">
        <v>41</v>
      </c>
      <c r="C8" s="19" t="s">
        <v>42</v>
      </c>
      <c r="D8" s="18" t="s">
        <v>43</v>
      </c>
      <c r="E8" s="19">
        <v>200</v>
      </c>
      <c r="F8" s="20">
        <v>22515</v>
      </c>
      <c r="G8" s="21">
        <f>12570+5340</f>
        <v>17910</v>
      </c>
      <c r="H8" s="21">
        <f t="shared" si="5"/>
        <v>-4605</v>
      </c>
      <c r="I8" s="18" t="s">
        <v>201</v>
      </c>
      <c r="J8" s="19"/>
      <c r="K8" s="24"/>
      <c r="L8" s="24">
        <v>42828</v>
      </c>
      <c r="M8" s="18" t="s">
        <v>60</v>
      </c>
      <c r="N8" s="19"/>
      <c r="O8" s="3">
        <v>23.5</v>
      </c>
      <c r="P8" s="31"/>
      <c r="Q8" s="26">
        <v>19800</v>
      </c>
      <c r="R8" s="3">
        <f t="shared" si="6"/>
        <v>13000</v>
      </c>
      <c r="S8" s="27">
        <f t="shared" si="8"/>
        <v>-8000</v>
      </c>
      <c r="T8" s="28">
        <f>X8*F8*0.0045</f>
        <v>3139.1029616834167</v>
      </c>
      <c r="U8" s="3">
        <f>E8*5</f>
        <v>1000</v>
      </c>
      <c r="V8" s="19"/>
      <c r="W8" s="3">
        <v>0.3</v>
      </c>
      <c r="X8" s="3">
        <f>((O8*F8)+Q8+R8+S8+U8)/G8</f>
        <v>30.98283082077052</v>
      </c>
      <c r="Y8" s="3">
        <f t="shared" si="7"/>
        <v>31.458101784571937</v>
      </c>
      <c r="Z8" s="29">
        <f>Y8*G8</f>
        <v>563414.60296168341</v>
      </c>
      <c r="AA8" s="30">
        <v>42842</v>
      </c>
    </row>
    <row r="9" spans="1:27" s="22" customFormat="1" x14ac:dyDescent="0.25">
      <c r="A9" s="62"/>
      <c r="B9" s="17" t="s">
        <v>26</v>
      </c>
      <c r="C9" s="18" t="s">
        <v>27</v>
      </c>
      <c r="D9" s="18" t="s">
        <v>27</v>
      </c>
      <c r="E9" s="19" t="s">
        <v>34</v>
      </c>
      <c r="F9" s="20">
        <f>40864*0.4536</f>
        <v>18535.910400000001</v>
      </c>
      <c r="G9" s="21">
        <v>18520.240000000002</v>
      </c>
      <c r="H9" s="21">
        <f>G9-F9</f>
        <v>-15.670399999999063</v>
      </c>
      <c r="I9" s="22" t="s">
        <v>202</v>
      </c>
      <c r="J9" s="23" t="s">
        <v>30</v>
      </c>
      <c r="K9" s="24">
        <v>42828</v>
      </c>
      <c r="L9" s="24">
        <v>42829</v>
      </c>
      <c r="M9" s="18" t="s">
        <v>62</v>
      </c>
      <c r="N9" s="18" t="s">
        <v>203</v>
      </c>
      <c r="O9" s="3"/>
      <c r="P9" s="25">
        <f>0.5412+0.1</f>
        <v>0.64119999999999999</v>
      </c>
      <c r="Q9" s="26">
        <v>23000</v>
      </c>
      <c r="R9" s="3">
        <v>9400</v>
      </c>
      <c r="S9" s="51">
        <v>18.635000000000002</v>
      </c>
      <c r="T9" s="28">
        <f>X9*F9*0.005</f>
        <v>2614.6456853910954</v>
      </c>
      <c r="V9" s="3">
        <v>0.12</v>
      </c>
      <c r="W9" s="3">
        <v>0.3</v>
      </c>
      <c r="X9" s="3">
        <f>IF(O9&gt;0,O9,((P9*2.2046*S9)+(Q9+R9)/G9)+V9)</f>
        <v>28.211678077501876</v>
      </c>
      <c r="Y9" s="3">
        <f t="shared" ref="Y9:Y12" si="9">IF(O9&gt;0,O9,((P9*2.2046*S9)+(Q9+R9+T9)/G9)+V9+W9)</f>
        <v>28.652855820629995</v>
      </c>
      <c r="Z9" s="29">
        <f>Y9*F9</f>
        <v>531106.76819531608</v>
      </c>
      <c r="AA9" s="30">
        <v>42842</v>
      </c>
    </row>
    <row r="10" spans="1:27" s="22" customFormat="1" x14ac:dyDescent="0.25">
      <c r="A10" s="62"/>
      <c r="B10" s="17" t="s">
        <v>26</v>
      </c>
      <c r="C10" s="18" t="s">
        <v>37</v>
      </c>
      <c r="D10" s="18" t="s">
        <v>37</v>
      </c>
      <c r="E10" s="19" t="s">
        <v>28</v>
      </c>
      <c r="F10" s="20">
        <f>41893*0.4536</f>
        <v>19002.664799999999</v>
      </c>
      <c r="G10" s="21">
        <v>19012.38</v>
      </c>
      <c r="H10" s="21">
        <f>G10-F10</f>
        <v>9.7152000000023691</v>
      </c>
      <c r="I10" s="22" t="s">
        <v>204</v>
      </c>
      <c r="J10" s="23" t="s">
        <v>30</v>
      </c>
      <c r="K10" s="24">
        <v>42828</v>
      </c>
      <c r="L10" s="24">
        <v>42829</v>
      </c>
      <c r="M10" s="18" t="s">
        <v>62</v>
      </c>
      <c r="N10" s="18" t="s">
        <v>205</v>
      </c>
      <c r="O10" s="3"/>
      <c r="P10" s="25">
        <f>0.5522+0.095</f>
        <v>0.6472</v>
      </c>
      <c r="Q10" s="26">
        <v>23000</v>
      </c>
      <c r="R10" s="3">
        <v>9400</v>
      </c>
      <c r="S10" s="51">
        <v>18.803000000000001</v>
      </c>
      <c r="T10" s="28">
        <f>X10*F10*0.005</f>
        <v>2722.3782993196533</v>
      </c>
      <c r="V10" s="3">
        <v>0.12</v>
      </c>
      <c r="W10" s="3">
        <v>0.3</v>
      </c>
      <c r="X10" s="3">
        <f t="shared" ref="X10:X12" si="10">IF(O10&gt;0,O10,((P10*2.2046*S10)+(Q10+R10)/G10)+V10)</f>
        <v>28.652595075188124</v>
      </c>
      <c r="Y10" s="3">
        <f t="shared" si="9"/>
        <v>29.095784844134446</v>
      </c>
      <c r="Z10" s="29">
        <f t="shared" ref="Z10:Z12" si="11">Y10*F10</f>
        <v>552897.44648600707</v>
      </c>
      <c r="AA10" s="30">
        <v>42822</v>
      </c>
    </row>
    <row r="11" spans="1:27" s="22" customFormat="1" x14ac:dyDescent="0.25">
      <c r="A11" s="62"/>
      <c r="B11" s="17" t="s">
        <v>41</v>
      </c>
      <c r="C11" s="19" t="s">
        <v>42</v>
      </c>
      <c r="D11" s="18" t="s">
        <v>45</v>
      </c>
      <c r="E11" s="19">
        <v>200</v>
      </c>
      <c r="F11" s="20">
        <v>25775</v>
      </c>
      <c r="G11" s="21">
        <f>15720+5240</f>
        <v>20960</v>
      </c>
      <c r="H11" s="21">
        <f>G11-F11</f>
        <v>-4815</v>
      </c>
      <c r="I11" s="18" t="s">
        <v>206</v>
      </c>
      <c r="J11" s="19"/>
      <c r="K11" s="24"/>
      <c r="L11" s="24">
        <v>42829</v>
      </c>
      <c r="M11" s="18" t="s">
        <v>62</v>
      </c>
      <c r="N11" s="19"/>
      <c r="O11" s="3">
        <v>23.5</v>
      </c>
      <c r="P11" s="31"/>
      <c r="Q11" s="33">
        <v>19800</v>
      </c>
      <c r="R11" s="3">
        <f>65*E11</f>
        <v>13000</v>
      </c>
      <c r="S11" s="27">
        <f t="shared" ref="S11" si="12">-40*E11</f>
        <v>-8000</v>
      </c>
      <c r="T11" s="28">
        <f t="shared" ref="T11" si="13">X11*F11*0.005</f>
        <v>3882.9281220181297</v>
      </c>
      <c r="U11" s="3">
        <f>E11*5</f>
        <v>1000</v>
      </c>
      <c r="V11" s="19"/>
      <c r="W11" s="3">
        <v>0.3</v>
      </c>
      <c r="X11" s="3">
        <f>((O11*F11)+Q11+R11+S11+U11)/G11</f>
        <v>30.129413167938932</v>
      </c>
      <c r="Y11" s="3">
        <f>((O11*F11)+Q11+R11+S11+T11+U11)/G11+W11</f>
        <v>30.61466737223369</v>
      </c>
      <c r="Z11" s="29">
        <f>Y11*G11</f>
        <v>641683.42812201811</v>
      </c>
      <c r="AA11" s="30">
        <v>42842</v>
      </c>
    </row>
    <row r="12" spans="1:27" s="22" customFormat="1" x14ac:dyDescent="0.25">
      <c r="A12" s="62"/>
      <c r="B12" s="17" t="s">
        <v>26</v>
      </c>
      <c r="C12" s="18" t="s">
        <v>37</v>
      </c>
      <c r="D12" s="18" t="s">
        <v>37</v>
      </c>
      <c r="E12" s="19" t="s">
        <v>28</v>
      </c>
      <c r="F12" s="20">
        <f>41924*0.4536</f>
        <v>19016.7264</v>
      </c>
      <c r="G12" s="21">
        <v>18982.38</v>
      </c>
      <c r="H12" s="21">
        <f>G12-F12</f>
        <v>-34.346399999998539</v>
      </c>
      <c r="I12" s="22" t="s">
        <v>207</v>
      </c>
      <c r="J12" s="23" t="s">
        <v>39</v>
      </c>
      <c r="K12" s="24">
        <v>42829</v>
      </c>
      <c r="L12" s="24">
        <v>42830</v>
      </c>
      <c r="M12" s="18" t="s">
        <v>31</v>
      </c>
      <c r="N12" s="18" t="s">
        <v>208</v>
      </c>
      <c r="O12" s="3"/>
      <c r="P12" s="25">
        <f>0.5412+0.095</f>
        <v>0.63619999999999999</v>
      </c>
      <c r="Q12" s="26">
        <v>23000</v>
      </c>
      <c r="R12" s="3">
        <v>9400</v>
      </c>
      <c r="S12" s="27">
        <v>18.91</v>
      </c>
      <c r="T12" s="28">
        <f>X12*F12*0.005</f>
        <v>2695.5619132478646</v>
      </c>
      <c r="V12" s="3">
        <v>0.12</v>
      </c>
      <c r="W12" s="3">
        <v>0.3</v>
      </c>
      <c r="X12" s="3">
        <f t="shared" si="10"/>
        <v>28.34937892620535</v>
      </c>
      <c r="Y12" s="3">
        <f t="shared" si="9"/>
        <v>28.791382295290148</v>
      </c>
      <c r="Z12" s="29">
        <f t="shared" si="11"/>
        <v>547517.83978733676</v>
      </c>
      <c r="AA12" s="30">
        <v>42824</v>
      </c>
    </row>
    <row r="13" spans="1:27" s="22" customFormat="1" x14ac:dyDescent="0.25">
      <c r="A13" s="62"/>
      <c r="B13" s="17" t="s">
        <v>41</v>
      </c>
      <c r="C13" s="19" t="s">
        <v>42</v>
      </c>
      <c r="D13" s="18" t="s">
        <v>43</v>
      </c>
      <c r="E13" s="19">
        <v>130</v>
      </c>
      <c r="F13" s="20">
        <v>14325</v>
      </c>
      <c r="G13" s="21">
        <f>6920+4400</f>
        <v>11320</v>
      </c>
      <c r="H13" s="21">
        <f t="shared" ref="H13:H18" si="14">G13-F13</f>
        <v>-3005</v>
      </c>
      <c r="I13" s="22" t="s">
        <v>209</v>
      </c>
      <c r="J13" s="59">
        <v>128</v>
      </c>
      <c r="K13" s="24"/>
      <c r="L13" s="24">
        <v>42830</v>
      </c>
      <c r="M13" s="18" t="s">
        <v>31</v>
      </c>
      <c r="N13" s="19"/>
      <c r="O13" s="3">
        <v>23.5</v>
      </c>
      <c r="P13" s="31"/>
      <c r="Q13" s="26">
        <v>15700</v>
      </c>
      <c r="R13" s="3">
        <f>65*E13</f>
        <v>8450</v>
      </c>
      <c r="S13" s="27">
        <f t="shared" ref="S13" si="15">-40*E13</f>
        <v>-5200</v>
      </c>
      <c r="T13" s="28">
        <f>X13*F13*0.0045</f>
        <v>2028.6183607553003</v>
      </c>
      <c r="U13" s="3">
        <f>E13*5</f>
        <v>650</v>
      </c>
      <c r="V13" s="19"/>
      <c r="W13" s="3">
        <v>0.1</v>
      </c>
      <c r="X13" s="3">
        <f>((O13*F13)+Q13+R13+S13+U13)/G13</f>
        <v>31.469743816254418</v>
      </c>
      <c r="Y13" s="3">
        <f t="shared" ref="Y13" si="16">((O13*F13)+Q13+R13+S13+T13+U13)/G13+W13</f>
        <v>31.748950385225736</v>
      </c>
      <c r="Z13" s="29">
        <f>Y13*G13</f>
        <v>359398.11836075532</v>
      </c>
      <c r="AA13" s="30">
        <v>42843</v>
      </c>
    </row>
    <row r="14" spans="1:27" s="22" customFormat="1" x14ac:dyDescent="0.25">
      <c r="A14" s="62"/>
      <c r="B14" s="17" t="s">
        <v>210</v>
      </c>
      <c r="C14" s="18" t="s">
        <v>211</v>
      </c>
      <c r="D14" s="18" t="s">
        <v>94</v>
      </c>
      <c r="E14" s="19" t="s">
        <v>111</v>
      </c>
      <c r="F14" s="20">
        <v>22.7</v>
      </c>
      <c r="G14" s="21">
        <v>22.7</v>
      </c>
      <c r="H14" s="21">
        <f t="shared" si="14"/>
        <v>0</v>
      </c>
      <c r="I14" s="22" t="s">
        <v>212</v>
      </c>
      <c r="J14" s="19"/>
      <c r="K14" s="24"/>
      <c r="L14" s="24">
        <v>42830</v>
      </c>
      <c r="M14" s="18" t="s">
        <v>31</v>
      </c>
      <c r="N14" s="19"/>
      <c r="O14" s="3">
        <v>190</v>
      </c>
      <c r="P14" s="31"/>
      <c r="Q14" s="3"/>
      <c r="R14" s="3"/>
      <c r="S14" s="27"/>
      <c r="T14" s="27"/>
      <c r="U14" s="3"/>
      <c r="V14" s="3"/>
      <c r="W14" s="3"/>
      <c r="X14" s="3">
        <f t="shared" ref="X14:X19" si="17">IF(O14&gt;0,O14,((P14*2.2046*S14)+(Q14+R14)/G14)+V14)</f>
        <v>190</v>
      </c>
      <c r="Y14" s="3">
        <f t="shared" ref="Y14:Y19" si="18">IF(O14&gt;0,O14,((P14*2.2046*S14)+(Q14+R14+T14)/G14)+V14+W14)</f>
        <v>190</v>
      </c>
      <c r="Z14" s="29">
        <f t="shared" ref="Z14:Z19" si="19">Y14*F14</f>
        <v>4313</v>
      </c>
      <c r="AA14" s="30">
        <v>42830</v>
      </c>
    </row>
    <row r="15" spans="1:27" s="22" customFormat="1" x14ac:dyDescent="0.25">
      <c r="A15" s="62"/>
      <c r="B15" s="17" t="s">
        <v>213</v>
      </c>
      <c r="C15" s="19" t="s">
        <v>214</v>
      </c>
      <c r="D15" s="18" t="s">
        <v>94</v>
      </c>
      <c r="E15" s="19" t="s">
        <v>111</v>
      </c>
      <c r="F15" s="20">
        <v>50</v>
      </c>
      <c r="G15" s="21">
        <v>50</v>
      </c>
      <c r="H15" s="21">
        <f t="shared" si="14"/>
        <v>0</v>
      </c>
      <c r="I15" s="22" t="s">
        <v>212</v>
      </c>
      <c r="J15" s="19"/>
      <c r="K15" s="24"/>
      <c r="L15" s="24">
        <v>42830</v>
      </c>
      <c r="M15" s="18" t="s">
        <v>31</v>
      </c>
      <c r="N15" s="19"/>
      <c r="O15" s="3">
        <v>190</v>
      </c>
      <c r="P15" s="31"/>
      <c r="Q15" s="3"/>
      <c r="R15" s="3"/>
      <c r="S15" s="27"/>
      <c r="T15" s="27"/>
      <c r="U15" s="3"/>
      <c r="V15" s="3"/>
      <c r="W15" s="3"/>
      <c r="X15" s="3">
        <f t="shared" si="17"/>
        <v>190</v>
      </c>
      <c r="Y15" s="3">
        <f t="shared" si="18"/>
        <v>190</v>
      </c>
      <c r="Z15" s="29">
        <f t="shared" si="19"/>
        <v>9500</v>
      </c>
      <c r="AA15" s="30">
        <v>42830</v>
      </c>
    </row>
    <row r="16" spans="1:27" s="22" customFormat="1" x14ac:dyDescent="0.25">
      <c r="A16" s="62"/>
      <c r="B16" s="17" t="s">
        <v>215</v>
      </c>
      <c r="C16" s="18" t="s">
        <v>214</v>
      </c>
      <c r="D16" s="18" t="s">
        <v>94</v>
      </c>
      <c r="E16" s="19" t="s">
        <v>111</v>
      </c>
      <c r="F16" s="20">
        <v>22.7</v>
      </c>
      <c r="G16" s="21">
        <v>22.7</v>
      </c>
      <c r="H16" s="21">
        <f t="shared" si="14"/>
        <v>0</v>
      </c>
      <c r="I16" s="22" t="s">
        <v>212</v>
      </c>
      <c r="J16" s="19"/>
      <c r="K16" s="24"/>
      <c r="L16" s="24">
        <v>42830</v>
      </c>
      <c r="M16" s="18" t="s">
        <v>31</v>
      </c>
      <c r="N16" s="19"/>
      <c r="O16" s="3">
        <v>54</v>
      </c>
      <c r="P16" s="31"/>
      <c r="Q16" s="3"/>
      <c r="R16" s="3"/>
      <c r="S16" s="27"/>
      <c r="T16" s="27"/>
      <c r="U16" s="3"/>
      <c r="V16" s="3"/>
      <c r="W16" s="3"/>
      <c r="X16" s="3">
        <f t="shared" si="17"/>
        <v>54</v>
      </c>
      <c r="Y16" s="3">
        <f t="shared" si="18"/>
        <v>54</v>
      </c>
      <c r="Z16" s="29">
        <f t="shared" si="19"/>
        <v>1225.8</v>
      </c>
      <c r="AA16" s="30">
        <v>42830</v>
      </c>
    </row>
    <row r="17" spans="1:27" s="22" customFormat="1" x14ac:dyDescent="0.25">
      <c r="A17" s="62"/>
      <c r="B17" s="17" t="s">
        <v>216</v>
      </c>
      <c r="C17" s="19" t="s">
        <v>214</v>
      </c>
      <c r="D17" s="18" t="s">
        <v>94</v>
      </c>
      <c r="E17" s="19" t="s">
        <v>111</v>
      </c>
      <c r="F17" s="20">
        <v>100</v>
      </c>
      <c r="G17" s="21">
        <v>100</v>
      </c>
      <c r="H17" s="21">
        <f t="shared" si="14"/>
        <v>0</v>
      </c>
      <c r="I17" s="22" t="s">
        <v>212</v>
      </c>
      <c r="J17" s="19"/>
      <c r="K17" s="24"/>
      <c r="L17" s="24">
        <v>42830</v>
      </c>
      <c r="M17" s="18" t="s">
        <v>31</v>
      </c>
      <c r="N17" s="19"/>
      <c r="O17" s="3">
        <v>170</v>
      </c>
      <c r="P17" s="31"/>
      <c r="Q17" s="3"/>
      <c r="R17" s="3"/>
      <c r="S17" s="27"/>
      <c r="T17" s="27"/>
      <c r="U17" s="3"/>
      <c r="V17" s="3"/>
      <c r="W17" s="3"/>
      <c r="X17" s="3">
        <f t="shared" si="17"/>
        <v>170</v>
      </c>
      <c r="Y17" s="3">
        <f t="shared" si="18"/>
        <v>170</v>
      </c>
      <c r="Z17" s="29">
        <f t="shared" si="19"/>
        <v>17000</v>
      </c>
      <c r="AA17" s="30">
        <v>42830</v>
      </c>
    </row>
    <row r="18" spans="1:27" s="22" customFormat="1" x14ac:dyDescent="0.25">
      <c r="A18" s="62"/>
      <c r="B18" s="17" t="s">
        <v>217</v>
      </c>
      <c r="C18" s="18" t="s">
        <v>33</v>
      </c>
      <c r="D18" s="18" t="s">
        <v>77</v>
      </c>
      <c r="E18" s="19" t="s">
        <v>218</v>
      </c>
      <c r="F18" s="20">
        <v>2758.8</v>
      </c>
      <c r="G18" s="21">
        <v>2758.8</v>
      </c>
      <c r="H18" s="21">
        <f t="shared" si="14"/>
        <v>0</v>
      </c>
      <c r="I18" s="22" t="s">
        <v>219</v>
      </c>
      <c r="J18" s="19"/>
      <c r="K18" s="24"/>
      <c r="L18" s="24">
        <v>42831</v>
      </c>
      <c r="M18" s="18" t="s">
        <v>47</v>
      </c>
      <c r="N18" s="19"/>
      <c r="O18" s="3">
        <v>20.5</v>
      </c>
      <c r="P18" s="31"/>
      <c r="Q18" s="3"/>
      <c r="R18" s="3"/>
      <c r="S18" s="27"/>
      <c r="T18" s="27"/>
      <c r="U18" s="3"/>
      <c r="V18" s="3"/>
      <c r="W18" s="3">
        <v>-0.7</v>
      </c>
      <c r="X18" s="3">
        <f t="shared" si="17"/>
        <v>20.5</v>
      </c>
      <c r="Y18" s="3">
        <f t="shared" si="18"/>
        <v>20.5</v>
      </c>
      <c r="Z18" s="29">
        <f t="shared" si="19"/>
        <v>56555.4</v>
      </c>
      <c r="AA18" s="30">
        <v>42842</v>
      </c>
    </row>
    <row r="19" spans="1:27" s="22" customFormat="1" x14ac:dyDescent="0.25">
      <c r="A19" s="62"/>
      <c r="B19" s="17" t="s">
        <v>26</v>
      </c>
      <c r="C19" s="18" t="s">
        <v>33</v>
      </c>
      <c r="D19" s="18" t="s">
        <v>33</v>
      </c>
      <c r="E19" s="19" t="s">
        <v>34</v>
      </c>
      <c r="F19" s="20">
        <f>42566*0.4536</f>
        <v>19307.937600000001</v>
      </c>
      <c r="G19" s="21">
        <v>19249.23</v>
      </c>
      <c r="H19" s="21">
        <f>G19-F19</f>
        <v>-58.707600000001548</v>
      </c>
      <c r="I19" s="22" t="s">
        <v>220</v>
      </c>
      <c r="J19" s="23" t="s">
        <v>30</v>
      </c>
      <c r="K19" s="24">
        <v>42830</v>
      </c>
      <c r="L19" s="24">
        <v>42831</v>
      </c>
      <c r="M19" s="18" t="s">
        <v>47</v>
      </c>
      <c r="N19" s="18" t="s">
        <v>221</v>
      </c>
      <c r="O19" s="3"/>
      <c r="P19" s="25">
        <f>0.5529+0.105</f>
        <v>0.65789999999999993</v>
      </c>
      <c r="Q19" s="26">
        <v>23000</v>
      </c>
      <c r="R19" s="3">
        <v>9400</v>
      </c>
      <c r="S19" s="51">
        <v>18.786999999999999</v>
      </c>
      <c r="T19" s="28">
        <f>X19*F19*0.005</f>
        <v>2804.6679380970509</v>
      </c>
      <c r="V19" s="3">
        <v>0.12</v>
      </c>
      <c r="W19" s="3">
        <v>0.3</v>
      </c>
      <c r="X19" s="3">
        <f t="shared" si="17"/>
        <v>29.0519681200653</v>
      </c>
      <c r="Y19" s="3">
        <f t="shared" si="18"/>
        <v>29.497670983925158</v>
      </c>
      <c r="Z19" s="29">
        <f t="shared" si="19"/>
        <v>569539.19070295757</v>
      </c>
      <c r="AA19" s="30">
        <v>42828</v>
      </c>
    </row>
    <row r="20" spans="1:27" s="22" customFormat="1" x14ac:dyDescent="0.25">
      <c r="A20" s="62"/>
      <c r="B20" s="17" t="s">
        <v>41</v>
      </c>
      <c r="C20" s="19" t="s">
        <v>42</v>
      </c>
      <c r="D20" s="18" t="s">
        <v>45</v>
      </c>
      <c r="E20" s="19">
        <f>230</f>
        <v>230</v>
      </c>
      <c r="F20" s="20">
        <f>27535</f>
        <v>27535</v>
      </c>
      <c r="G20" s="21">
        <f>19090</f>
        <v>19090</v>
      </c>
      <c r="H20" s="21">
        <f t="shared" ref="H20:H21" si="20">G20-F20</f>
        <v>-8445</v>
      </c>
      <c r="I20" s="22" t="s">
        <v>222</v>
      </c>
      <c r="J20" s="19">
        <v>200</v>
      </c>
      <c r="K20" s="24"/>
      <c r="L20" s="24">
        <v>42831</v>
      </c>
      <c r="M20" s="18" t="s">
        <v>47</v>
      </c>
      <c r="N20" s="19"/>
      <c r="O20" s="3">
        <v>23.5</v>
      </c>
      <c r="P20" s="31"/>
      <c r="Q20" s="33">
        <f>19800</f>
        <v>19800</v>
      </c>
      <c r="R20" s="3">
        <f t="shared" ref="R20:R21" si="21">65*E20</f>
        <v>14950</v>
      </c>
      <c r="S20" s="27">
        <f t="shared" ref="S20:S21" si="22">-40*E20</f>
        <v>-9200</v>
      </c>
      <c r="T20" s="28">
        <f t="shared" ref="T20:T21" si="23">X20*F20*0.0045</f>
        <v>4373.256471647459</v>
      </c>
      <c r="U20" s="3">
        <f t="shared" ref="U20:U21" si="24">E20*5</f>
        <v>1150</v>
      </c>
      <c r="V20" s="19"/>
      <c r="W20" s="3">
        <v>0.3</v>
      </c>
      <c r="X20" s="3">
        <f t="shared" ref="X20:X21" si="25">((O20*F20)+Q20+R20+S20+U20)/G20</f>
        <v>35.294525929806184</v>
      </c>
      <c r="Y20" s="3">
        <f t="shared" ref="Y20:Y21" si="26">((O20*F20)+Q20+R20+S20+T20+U20)/G20+W20</f>
        <v>35.823612177666178</v>
      </c>
      <c r="Z20" s="29">
        <f t="shared" ref="Z20:Z21" si="27">Y20*G20</f>
        <v>683872.7564716473</v>
      </c>
      <c r="AA20" s="30">
        <v>42844</v>
      </c>
    </row>
    <row r="21" spans="1:27" s="22" customFormat="1" x14ac:dyDescent="0.25">
      <c r="A21" s="62"/>
      <c r="B21" s="17" t="s">
        <v>41</v>
      </c>
      <c r="C21" s="19" t="s">
        <v>42</v>
      </c>
      <c r="D21" s="18" t="s">
        <v>43</v>
      </c>
      <c r="E21" s="19">
        <v>100</v>
      </c>
      <c r="F21" s="20">
        <v>10855</v>
      </c>
      <c r="G21" s="21">
        <v>11250</v>
      </c>
      <c r="H21" s="21">
        <f t="shared" si="20"/>
        <v>395</v>
      </c>
      <c r="I21" s="22" t="s">
        <v>223</v>
      </c>
      <c r="J21" s="19">
        <v>130</v>
      </c>
      <c r="K21" s="24"/>
      <c r="L21" s="24">
        <v>42831</v>
      </c>
      <c r="M21" s="18" t="s">
        <v>47</v>
      </c>
      <c r="N21" s="19"/>
      <c r="O21" s="3">
        <v>23.5</v>
      </c>
      <c r="P21" s="31"/>
      <c r="Q21" s="26">
        <v>15700</v>
      </c>
      <c r="R21" s="3">
        <f t="shared" si="21"/>
        <v>6500</v>
      </c>
      <c r="S21" s="27">
        <f t="shared" si="22"/>
        <v>-4000</v>
      </c>
      <c r="T21" s="28">
        <f t="shared" si="23"/>
        <v>1188.8070349999998</v>
      </c>
      <c r="U21" s="3">
        <f t="shared" si="24"/>
        <v>500</v>
      </c>
      <c r="V21" s="19"/>
      <c r="W21" s="3">
        <v>0.3</v>
      </c>
      <c r="X21" s="3">
        <f t="shared" si="25"/>
        <v>24.33711111111111</v>
      </c>
      <c r="Y21" s="3">
        <f t="shared" si="26"/>
        <v>24.742782847555556</v>
      </c>
      <c r="Z21" s="29">
        <f t="shared" si="27"/>
        <v>278356.30703500001</v>
      </c>
      <c r="AA21" s="30">
        <v>42844</v>
      </c>
    </row>
    <row r="22" spans="1:27" s="22" customFormat="1" x14ac:dyDescent="0.25">
      <c r="A22" s="62"/>
      <c r="B22" s="17" t="s">
        <v>26</v>
      </c>
      <c r="C22" s="18" t="s">
        <v>27</v>
      </c>
      <c r="D22" s="18" t="s">
        <v>27</v>
      </c>
      <c r="E22" s="19" t="s">
        <v>34</v>
      </c>
      <c r="F22" s="20">
        <f>41467*0.4536</f>
        <v>18809.431199999999</v>
      </c>
      <c r="G22" s="21">
        <v>18765.66</v>
      </c>
      <c r="H22" s="21">
        <f>G22-F22</f>
        <v>-43.771199999999226</v>
      </c>
      <c r="I22" s="22" t="s">
        <v>224</v>
      </c>
      <c r="J22" s="23" t="s">
        <v>30</v>
      </c>
      <c r="K22" s="24">
        <v>42832</v>
      </c>
      <c r="L22" s="24">
        <v>42833</v>
      </c>
      <c r="M22" s="18" t="s">
        <v>98</v>
      </c>
      <c r="N22" s="18" t="s">
        <v>225</v>
      </c>
      <c r="O22" s="3"/>
      <c r="P22" s="25">
        <f>0.5529+0.1</f>
        <v>0.65289999999999992</v>
      </c>
      <c r="Q22" s="26">
        <v>23000</v>
      </c>
      <c r="R22" s="3">
        <v>9400</v>
      </c>
      <c r="S22" s="27">
        <v>18.579999999999998</v>
      </c>
      <c r="T22" s="28">
        <f>X22*F22*0.005</f>
        <v>2688.8364451891143</v>
      </c>
      <c r="V22" s="3">
        <v>0.12</v>
      </c>
      <c r="W22" s="3">
        <v>0.3</v>
      </c>
      <c r="X22" s="3">
        <f t="shared" ref="X22:X23" si="28">IF(O22&gt;0,O22,((P22*2.2046*S22)+(Q22+R22)/G22)+V22)</f>
        <v>28.590300435976122</v>
      </c>
      <c r="Y22" s="3">
        <f t="shared" ref="Y22:Y23" si="29">IF(O22&gt;0,O22,((P22*2.2046*S22)+(Q22+R22+T22)/G22)+V22+W22)</f>
        <v>29.033585374805302</v>
      </c>
      <c r="Z22" s="29">
        <f t="shared" ref="Z22:Z23" si="30">Y22*F22</f>
        <v>546105.22659672657</v>
      </c>
      <c r="AA22" s="30">
        <v>42842</v>
      </c>
    </row>
    <row r="23" spans="1:27" s="22" customFormat="1" x14ac:dyDescent="0.25">
      <c r="A23" s="62"/>
      <c r="B23" s="17" t="s">
        <v>26</v>
      </c>
      <c r="C23" s="18" t="s">
        <v>37</v>
      </c>
      <c r="D23" s="18" t="s">
        <v>37</v>
      </c>
      <c r="E23" s="19" t="s">
        <v>28</v>
      </c>
      <c r="F23" s="20">
        <f>41922*0.4536</f>
        <v>19015.819200000002</v>
      </c>
      <c r="G23" s="21">
        <v>18999.189999999999</v>
      </c>
      <c r="H23" s="21">
        <f>G23-F23</f>
        <v>-16.629200000003038</v>
      </c>
      <c r="I23" s="22" t="s">
        <v>226</v>
      </c>
      <c r="J23" s="23" t="s">
        <v>30</v>
      </c>
      <c r="K23" s="24">
        <v>42831</v>
      </c>
      <c r="L23" s="24">
        <v>42832</v>
      </c>
      <c r="M23" s="18" t="s">
        <v>49</v>
      </c>
      <c r="N23" s="18" t="s">
        <v>227</v>
      </c>
      <c r="O23" s="3"/>
      <c r="P23" s="25">
        <f>0.5502+0.095</f>
        <v>0.6452</v>
      </c>
      <c r="Q23" s="26">
        <v>23000</v>
      </c>
      <c r="R23" s="3">
        <v>9400</v>
      </c>
      <c r="S23" s="27">
        <v>18.87</v>
      </c>
      <c r="T23" s="28">
        <f>X23*F23*0.005</f>
        <v>2725.5538440423147</v>
      </c>
      <c r="V23" s="3">
        <v>0.12</v>
      </c>
      <c r="W23" s="3">
        <v>0.3</v>
      </c>
      <c r="X23" s="3">
        <f t="shared" si="28"/>
        <v>28.666173309455051</v>
      </c>
      <c r="Y23" s="3">
        <f t="shared" si="29"/>
        <v>29.109629627542418</v>
      </c>
      <c r="Z23" s="29">
        <f t="shared" si="30"/>
        <v>553543.45397630997</v>
      </c>
      <c r="AA23" s="30">
        <v>42825</v>
      </c>
    </row>
    <row r="24" spans="1:27" s="22" customFormat="1" x14ac:dyDescent="0.25">
      <c r="A24" s="62"/>
      <c r="B24" s="17" t="s">
        <v>41</v>
      </c>
      <c r="C24" s="19" t="s">
        <v>42</v>
      </c>
      <c r="D24" s="18" t="s">
        <v>228</v>
      </c>
      <c r="E24" s="19">
        <v>250</v>
      </c>
      <c r="F24" s="20">
        <v>28980</v>
      </c>
      <c r="G24" s="21">
        <v>23080</v>
      </c>
      <c r="H24" s="21">
        <f t="shared" ref="H24:H29" si="31">G24-F24</f>
        <v>-5900</v>
      </c>
      <c r="I24" s="22" t="s">
        <v>229</v>
      </c>
      <c r="J24" s="19"/>
      <c r="K24" s="24"/>
      <c r="L24" s="24">
        <v>42832</v>
      </c>
      <c r="M24" s="18" t="s">
        <v>49</v>
      </c>
      <c r="N24" s="19"/>
      <c r="O24" s="3">
        <v>23.5</v>
      </c>
      <c r="P24" s="31"/>
      <c r="Q24" s="26">
        <v>19800</v>
      </c>
      <c r="R24" s="3">
        <f t="shared" ref="R24:R25" si="32">65*E24</f>
        <v>16250</v>
      </c>
      <c r="S24" s="27">
        <f t="shared" ref="S24:S25" si="33">-40*E24</f>
        <v>-10000</v>
      </c>
      <c r="T24" s="28">
        <f>X24*F24*0.0045</f>
        <v>4002.3100216637777</v>
      </c>
      <c r="U24" s="3">
        <f>E24*5</f>
        <v>1250</v>
      </c>
      <c r="V24" s="19"/>
      <c r="W24" s="3">
        <v>0.3</v>
      </c>
      <c r="X24" s="3">
        <f>((O24*F24)+Q24+R24+S24+U24)/G24</f>
        <v>30.690207972270365</v>
      </c>
      <c r="Y24" s="3">
        <f t="shared" ref="Y24:Y26" si="34">((O24*F24)+Q24+R24+S24+T24+U24)/G24+W24</f>
        <v>31.163618285167409</v>
      </c>
      <c r="Z24" s="29">
        <f t="shared" ref="Z24:Z26" si="35">Y24*G24</f>
        <v>719256.31002166378</v>
      </c>
      <c r="AA24" s="30">
        <v>42845</v>
      </c>
    </row>
    <row r="25" spans="1:27" s="22" customFormat="1" x14ac:dyDescent="0.25">
      <c r="A25" s="62"/>
      <c r="B25" s="17" t="s">
        <v>41</v>
      </c>
      <c r="C25" s="19" t="s">
        <v>42</v>
      </c>
      <c r="D25" s="18" t="s">
        <v>53</v>
      </c>
      <c r="E25" s="19">
        <v>250</v>
      </c>
      <c r="F25" s="20">
        <v>28790</v>
      </c>
      <c r="G25" s="21">
        <v>22970</v>
      </c>
      <c r="H25" s="21">
        <f t="shared" si="31"/>
        <v>-5820</v>
      </c>
      <c r="I25" s="22" t="s">
        <v>230</v>
      </c>
      <c r="J25" s="23">
        <v>249</v>
      </c>
      <c r="K25" s="24"/>
      <c r="L25" s="24">
        <v>42832</v>
      </c>
      <c r="M25" s="18" t="s">
        <v>49</v>
      </c>
      <c r="N25" s="19"/>
      <c r="O25" s="3">
        <v>23.5</v>
      </c>
      <c r="P25" s="31"/>
      <c r="Q25" s="26">
        <v>19800</v>
      </c>
      <c r="R25" s="3">
        <f t="shared" si="32"/>
        <v>16250</v>
      </c>
      <c r="S25" s="27">
        <f t="shared" si="33"/>
        <v>-10000</v>
      </c>
      <c r="T25" s="28">
        <f>X25*F25*0.0045</f>
        <v>3969.9272997387893</v>
      </c>
      <c r="U25" s="3">
        <f>E25*5</f>
        <v>1250</v>
      </c>
      <c r="V25" s="19"/>
      <c r="W25" s="3">
        <v>0.3</v>
      </c>
      <c r="X25" s="3">
        <f>((O25*F25)+Q25+R25+S25+U25)/G25</f>
        <v>30.642794949934697</v>
      </c>
      <c r="Y25" s="3">
        <f t="shared" si="34"/>
        <v>31.115625916401338</v>
      </c>
      <c r="Z25" s="29">
        <f t="shared" si="35"/>
        <v>714725.92729973875</v>
      </c>
      <c r="AA25" s="30">
        <v>42845</v>
      </c>
    </row>
    <row r="26" spans="1:27" s="22" customFormat="1" x14ac:dyDescent="0.25">
      <c r="A26" s="62"/>
      <c r="B26" s="17" t="s">
        <v>41</v>
      </c>
      <c r="C26" s="19" t="s">
        <v>231</v>
      </c>
      <c r="D26" s="18" t="s">
        <v>231</v>
      </c>
      <c r="E26" s="19">
        <v>252</v>
      </c>
      <c r="F26" s="20">
        <v>24069.7</v>
      </c>
      <c r="G26" s="21">
        <v>23792</v>
      </c>
      <c r="H26" s="21">
        <f t="shared" si="31"/>
        <v>-277.70000000000073</v>
      </c>
      <c r="I26" s="22" t="s">
        <v>232</v>
      </c>
      <c r="J26" s="19"/>
      <c r="K26" s="24"/>
      <c r="L26" s="24">
        <v>42833</v>
      </c>
      <c r="M26" s="18" t="s">
        <v>98</v>
      </c>
      <c r="N26" s="19"/>
      <c r="O26" s="3">
        <v>30.4</v>
      </c>
      <c r="P26" s="31"/>
      <c r="Q26" s="55">
        <v>19800</v>
      </c>
      <c r="R26" s="3"/>
      <c r="S26" s="27"/>
      <c r="T26" s="27"/>
      <c r="U26" s="3">
        <f>E26*5</f>
        <v>1260</v>
      </c>
      <c r="V26" s="19"/>
      <c r="W26" s="3">
        <v>0.3</v>
      </c>
      <c r="X26" s="3">
        <f>((O26*F26)+Q26+R26+S26+U26)/G26</f>
        <v>31.64</v>
      </c>
      <c r="Y26" s="3">
        <f t="shared" si="34"/>
        <v>31.94</v>
      </c>
      <c r="Z26" s="29">
        <f t="shared" si="35"/>
        <v>759916.48</v>
      </c>
      <c r="AA26" s="30">
        <v>42837</v>
      </c>
    </row>
    <row r="27" spans="1:27" s="22" customFormat="1" x14ac:dyDescent="0.25">
      <c r="A27" s="62"/>
      <c r="B27" s="17" t="s">
        <v>26</v>
      </c>
      <c r="C27" s="18" t="s">
        <v>33</v>
      </c>
      <c r="D27" s="18" t="s">
        <v>33</v>
      </c>
      <c r="E27" s="19" t="s">
        <v>34</v>
      </c>
      <c r="F27" s="20">
        <f>42289*0.4536</f>
        <v>19182.290400000002</v>
      </c>
      <c r="G27" s="21">
        <v>19065.560000000001</v>
      </c>
      <c r="H27" s="21">
        <f t="shared" si="31"/>
        <v>-116.73040000000037</v>
      </c>
      <c r="I27" s="22" t="s">
        <v>233</v>
      </c>
      <c r="J27" s="23" t="s">
        <v>30</v>
      </c>
      <c r="K27" s="24">
        <v>42831</v>
      </c>
      <c r="L27" s="24">
        <v>42832</v>
      </c>
      <c r="M27" s="18" t="s">
        <v>49</v>
      </c>
      <c r="N27" s="18" t="s">
        <v>234</v>
      </c>
      <c r="O27" s="3"/>
      <c r="P27" s="25">
        <f>0.5548+0.105</f>
        <v>0.65979999999999994</v>
      </c>
      <c r="Q27" s="26">
        <v>23000</v>
      </c>
      <c r="R27" s="3">
        <v>9400</v>
      </c>
      <c r="S27" s="51">
        <v>18.797000000000001</v>
      </c>
      <c r="T27" s="28">
        <f t="shared" ref="T27" si="36">X27*F27*0.005</f>
        <v>2796.9144275458298</v>
      </c>
      <c r="V27" s="3">
        <v>0.12</v>
      </c>
      <c r="W27" s="3">
        <v>0.3</v>
      </c>
      <c r="X27" s="3">
        <f t="shared" ref="X27:X29" si="37">IF(O27&gt;0,O27,((P27*2.2046*S27)+(Q27+R27)/G27)+V27)</f>
        <v>29.161423054525642</v>
      </c>
      <c r="Y27" s="3">
        <f t="shared" ref="Y27:Y29" si="38">IF(O27&gt;0,O27,((P27*2.2046*S27)+(Q27+R27+T27)/G27)+V27+W27)</f>
        <v>29.608122885401098</v>
      </c>
      <c r="Z27" s="29">
        <f t="shared" ref="Z27:Z29" si="39">Y27*F27</f>
        <v>567951.61138664978</v>
      </c>
      <c r="AA27" s="30">
        <v>42828</v>
      </c>
    </row>
    <row r="28" spans="1:27" s="22" customFormat="1" x14ac:dyDescent="0.25">
      <c r="A28" s="62"/>
      <c r="B28" s="17" t="s">
        <v>216</v>
      </c>
      <c r="C28" s="19" t="s">
        <v>214</v>
      </c>
      <c r="D28" s="18" t="s">
        <v>94</v>
      </c>
      <c r="E28" s="19" t="s">
        <v>235</v>
      </c>
      <c r="F28" s="20">
        <v>400</v>
      </c>
      <c r="G28" s="21">
        <v>400</v>
      </c>
      <c r="H28" s="21">
        <f t="shared" si="31"/>
        <v>0</v>
      </c>
      <c r="I28" s="73" t="s">
        <v>236</v>
      </c>
      <c r="J28" s="19"/>
      <c r="K28" s="24"/>
      <c r="L28" s="24">
        <v>42833</v>
      </c>
      <c r="M28" s="18" t="s">
        <v>98</v>
      </c>
      <c r="N28" s="18"/>
      <c r="O28" s="3">
        <v>170</v>
      </c>
      <c r="P28" s="25"/>
      <c r="Q28" s="3"/>
      <c r="R28" s="3"/>
      <c r="S28" s="51"/>
      <c r="T28" s="27"/>
      <c r="V28" s="3"/>
      <c r="W28" s="3"/>
      <c r="X28" s="3">
        <f t="shared" si="37"/>
        <v>170</v>
      </c>
      <c r="Y28" s="3">
        <f t="shared" si="38"/>
        <v>170</v>
      </c>
      <c r="Z28" s="29">
        <f t="shared" si="39"/>
        <v>68000</v>
      </c>
      <c r="AA28" s="30">
        <v>42835</v>
      </c>
    </row>
    <row r="29" spans="1:27" s="22" customFormat="1" x14ac:dyDescent="0.25">
      <c r="A29" s="62"/>
      <c r="B29" s="17" t="s">
        <v>215</v>
      </c>
      <c r="C29" s="18" t="s">
        <v>214</v>
      </c>
      <c r="D29" s="18" t="s">
        <v>94</v>
      </c>
      <c r="E29" s="19" t="s">
        <v>235</v>
      </c>
      <c r="F29" s="20">
        <v>90.8</v>
      </c>
      <c r="G29" s="21">
        <v>90.8</v>
      </c>
      <c r="H29" s="21">
        <f t="shared" si="31"/>
        <v>0</v>
      </c>
      <c r="I29" s="73" t="s">
        <v>236</v>
      </c>
      <c r="J29" s="19"/>
      <c r="K29" s="24"/>
      <c r="L29" s="24">
        <v>42833</v>
      </c>
      <c r="M29" s="18" t="s">
        <v>98</v>
      </c>
      <c r="N29" s="18"/>
      <c r="O29" s="3">
        <v>52</v>
      </c>
      <c r="P29" s="25"/>
      <c r="Q29" s="3"/>
      <c r="R29" s="3"/>
      <c r="S29" s="51"/>
      <c r="T29" s="27"/>
      <c r="V29" s="3"/>
      <c r="W29" s="3"/>
      <c r="X29" s="3">
        <f t="shared" si="37"/>
        <v>52</v>
      </c>
      <c r="Y29" s="3">
        <f t="shared" si="38"/>
        <v>52</v>
      </c>
      <c r="Z29" s="29">
        <f t="shared" si="39"/>
        <v>4721.5999999999995</v>
      </c>
      <c r="AA29" s="30">
        <v>42835</v>
      </c>
    </row>
    <row r="30" spans="1:27" s="22" customFormat="1" ht="15.75" thickBot="1" x14ac:dyDescent="0.3">
      <c r="A30" s="74"/>
      <c r="B30" s="34"/>
      <c r="C30" s="6"/>
      <c r="D30" s="6"/>
      <c r="E30" s="6"/>
      <c r="F30" s="35"/>
      <c r="G30" s="35"/>
      <c r="H30" s="35"/>
      <c r="I30" s="9"/>
      <c r="J30" s="6"/>
      <c r="K30" s="10"/>
      <c r="L30" s="10"/>
      <c r="M30" s="6"/>
      <c r="N30" s="6"/>
      <c r="O30" s="11"/>
      <c r="P30" s="12"/>
      <c r="Q30" s="11"/>
      <c r="R30" s="11"/>
      <c r="S30" s="11"/>
      <c r="T30" s="11"/>
      <c r="U30" s="11"/>
      <c r="V30" s="11"/>
      <c r="W30" s="11"/>
      <c r="X30" s="11"/>
      <c r="Y30" s="11"/>
      <c r="Z30" s="15"/>
      <c r="AA30" s="36"/>
    </row>
    <row r="31" spans="1:27" s="22" customFormat="1" x14ac:dyDescent="0.25">
      <c r="A31" s="75"/>
      <c r="B31" s="38" t="s">
        <v>41</v>
      </c>
      <c r="C31" s="38" t="s">
        <v>237</v>
      </c>
      <c r="D31" s="39" t="s">
        <v>237</v>
      </c>
      <c r="E31" s="38">
        <v>239</v>
      </c>
      <c r="F31" s="40">
        <f>27850-1006.6</f>
        <v>26843.4</v>
      </c>
      <c r="G31" s="41">
        <f>10420+11350</f>
        <v>21770</v>
      </c>
      <c r="H31" s="41">
        <f t="shared" ref="H31:H32" si="40">G31-F31</f>
        <v>-5073.4000000000015</v>
      </c>
      <c r="I31" s="39" t="s">
        <v>238</v>
      </c>
      <c r="J31" s="38"/>
      <c r="K31" s="42"/>
      <c r="L31" s="42">
        <v>42835</v>
      </c>
      <c r="M31" s="39" t="s">
        <v>60</v>
      </c>
      <c r="N31" s="38"/>
      <c r="O31" s="43">
        <v>24.9</v>
      </c>
      <c r="P31" s="44"/>
      <c r="Q31" s="43"/>
      <c r="R31" s="3">
        <f>105*E31</f>
        <v>25095</v>
      </c>
      <c r="S31" s="46">
        <f>-40*E31</f>
        <v>-9560</v>
      </c>
      <c r="T31" s="46"/>
      <c r="U31" s="43">
        <f>E31*10</f>
        <v>2390</v>
      </c>
      <c r="V31" s="38"/>
      <c r="W31" s="3"/>
      <c r="X31" s="43">
        <f>((O31*F31)+Q31+R31+S31+U31)/G31</f>
        <v>31.526213137344971</v>
      </c>
      <c r="Y31" s="3">
        <f t="shared" ref="Y31:Y32" si="41">((O31*F31)+Q31+R31+S31+T31+U31)/G31+W31</f>
        <v>31.526213137344971</v>
      </c>
      <c r="Z31" s="47">
        <f>Y31*G31</f>
        <v>686325.66</v>
      </c>
      <c r="AA31" s="48">
        <v>42842</v>
      </c>
    </row>
    <row r="32" spans="1:27" s="22" customFormat="1" x14ac:dyDescent="0.25">
      <c r="A32" s="76"/>
      <c r="B32" s="17" t="s">
        <v>41</v>
      </c>
      <c r="C32" s="19" t="s">
        <v>231</v>
      </c>
      <c r="D32" s="18" t="s">
        <v>231</v>
      </c>
      <c r="E32" s="19">
        <v>272</v>
      </c>
      <c r="F32" s="20">
        <v>25442.5</v>
      </c>
      <c r="G32" s="21">
        <v>25410</v>
      </c>
      <c r="H32" s="21">
        <f t="shared" si="40"/>
        <v>-32.5</v>
      </c>
      <c r="I32" s="18" t="s">
        <v>239</v>
      </c>
      <c r="J32" s="19"/>
      <c r="K32" s="24"/>
      <c r="L32" s="24">
        <v>42836</v>
      </c>
      <c r="M32" s="18" t="s">
        <v>62</v>
      </c>
      <c r="N32" s="19"/>
      <c r="O32" s="3">
        <v>30.4</v>
      </c>
      <c r="P32" s="31"/>
      <c r="Q32" s="55">
        <v>19800</v>
      </c>
      <c r="R32" s="3"/>
      <c r="S32" s="27"/>
      <c r="T32" s="28">
        <f>X32*F32*0.005</f>
        <v>3978.1416391184571</v>
      </c>
      <c r="U32" s="3">
        <f>E32*5</f>
        <v>1360</v>
      </c>
      <c r="V32" s="19"/>
      <c r="W32" s="3">
        <v>0.2</v>
      </c>
      <c r="X32" s="3">
        <f>((O32*F32)+Q32+R32+S32+U32)/G32</f>
        <v>31.271625344352618</v>
      </c>
      <c r="Y32" s="3">
        <f t="shared" si="41"/>
        <v>31.628183456872033</v>
      </c>
      <c r="Z32" s="29">
        <f>Y32*G32</f>
        <v>803672.14163911832</v>
      </c>
      <c r="AA32" s="30">
        <v>42843</v>
      </c>
    </row>
    <row r="33" spans="1:27" s="22" customFormat="1" x14ac:dyDescent="0.25">
      <c r="A33" s="76"/>
      <c r="B33" s="17" t="s">
        <v>41</v>
      </c>
      <c r="C33" s="19" t="s">
        <v>231</v>
      </c>
      <c r="D33" s="18" t="s">
        <v>231</v>
      </c>
      <c r="E33" s="19">
        <v>228</v>
      </c>
      <c r="F33" s="20">
        <v>21400.3</v>
      </c>
      <c r="G33" s="21">
        <v>21250</v>
      </c>
      <c r="H33" s="21">
        <f>G33-F33</f>
        <v>-150.29999999999927</v>
      </c>
      <c r="I33" s="22" t="s">
        <v>240</v>
      </c>
      <c r="J33" s="19"/>
      <c r="K33" s="24"/>
      <c r="L33" s="24">
        <v>42836</v>
      </c>
      <c r="M33" s="18" t="s">
        <v>62</v>
      </c>
      <c r="N33" s="19"/>
      <c r="O33" s="3">
        <v>31.5</v>
      </c>
      <c r="P33" s="31"/>
      <c r="Q33" s="3"/>
      <c r="R33" s="3"/>
      <c r="S33" s="27"/>
      <c r="T33" s="27"/>
      <c r="U33" s="3"/>
      <c r="V33" s="19"/>
      <c r="W33" s="3">
        <v>0.2</v>
      </c>
      <c r="X33" s="3">
        <f>((O33*F33)+Q33+R33+S33+U33)/G33</f>
        <v>31.722797647058822</v>
      </c>
      <c r="Y33" s="3">
        <f>((O33*F33)+Q33+R33+S33+T33+U33)/G33+W33</f>
        <v>31.922797647058822</v>
      </c>
      <c r="Z33" s="29">
        <f>Y33*G33</f>
        <v>678359.45</v>
      </c>
      <c r="AA33" s="30">
        <v>42844</v>
      </c>
    </row>
    <row r="34" spans="1:27" s="22" customFormat="1" x14ac:dyDescent="0.25">
      <c r="A34" s="76"/>
      <c r="B34" s="17" t="s">
        <v>26</v>
      </c>
      <c r="C34" s="18" t="s">
        <v>27</v>
      </c>
      <c r="D34" s="18" t="s">
        <v>27</v>
      </c>
      <c r="E34" s="19" t="s">
        <v>28</v>
      </c>
      <c r="F34" s="20">
        <f>41320*0.4536</f>
        <v>18742.752</v>
      </c>
      <c r="G34" s="21">
        <v>18571.04</v>
      </c>
      <c r="H34" s="21">
        <f>G34-F34</f>
        <v>-171.71199999999953</v>
      </c>
      <c r="I34" s="22" t="s">
        <v>241</v>
      </c>
      <c r="J34" s="23" t="s">
        <v>30</v>
      </c>
      <c r="K34" s="24">
        <v>42835</v>
      </c>
      <c r="L34" s="24">
        <v>42836</v>
      </c>
      <c r="M34" s="18" t="s">
        <v>62</v>
      </c>
      <c r="N34" s="18" t="s">
        <v>242</v>
      </c>
      <c r="O34" s="3"/>
      <c r="P34" s="25">
        <f>0.5725+0.1</f>
        <v>0.67249999999999999</v>
      </c>
      <c r="Q34" s="26">
        <v>23000</v>
      </c>
      <c r="R34" s="3">
        <v>9400</v>
      </c>
      <c r="S34" s="27">
        <v>18.86</v>
      </c>
      <c r="T34" s="28">
        <f>X34*F34*0.005</f>
        <v>2795.1408392185699</v>
      </c>
      <c r="V34" s="3">
        <v>0.12</v>
      </c>
      <c r="W34" s="3">
        <v>0.3</v>
      </c>
      <c r="X34" s="3">
        <f>IF(O34&gt;0,O34,((P34*2.2046*S34)+(Q34+R34)/G34)+V34)</f>
        <v>29.826365298101045</v>
      </c>
      <c r="Y34" s="3">
        <f t="shared" ref="Y34:Y37" si="42">IF(O34&gt;0,O34,((P34*2.2046*S34)+(Q34+R34+T34)/G34)+V34+W34)</f>
        <v>30.276876030898919</v>
      </c>
      <c r="Z34" s="29">
        <f>Y34*F34</f>
        <v>567471.97878188279</v>
      </c>
      <c r="AA34" s="30">
        <v>42846</v>
      </c>
    </row>
    <row r="35" spans="1:27" s="22" customFormat="1" x14ac:dyDescent="0.25">
      <c r="A35" s="76"/>
      <c r="B35" s="17" t="s">
        <v>26</v>
      </c>
      <c r="C35" s="18" t="s">
        <v>37</v>
      </c>
      <c r="D35" s="18" t="s">
        <v>37</v>
      </c>
      <c r="E35" s="19" t="s">
        <v>28</v>
      </c>
      <c r="F35" s="20">
        <f>41151*0.4536</f>
        <v>18666.0936</v>
      </c>
      <c r="G35" s="21">
        <v>18625.52</v>
      </c>
      <c r="H35" s="21">
        <f>G35-F35</f>
        <v>-40.573599999999715</v>
      </c>
      <c r="I35" s="22" t="s">
        <v>243</v>
      </c>
      <c r="J35" s="23" t="s">
        <v>30</v>
      </c>
      <c r="K35" s="24">
        <v>42835</v>
      </c>
      <c r="L35" s="24">
        <v>42836</v>
      </c>
      <c r="M35" s="18" t="s">
        <v>62</v>
      </c>
      <c r="N35" s="18" t="s">
        <v>244</v>
      </c>
      <c r="O35" s="3"/>
      <c r="P35" s="25">
        <f>0.5645+0.095</f>
        <v>0.65949999999999998</v>
      </c>
      <c r="Q35" s="26">
        <v>23000</v>
      </c>
      <c r="R35" s="3">
        <v>9400</v>
      </c>
      <c r="S35" s="51">
        <v>18.925999999999998</v>
      </c>
      <c r="T35" s="28">
        <f>X35*F35*0.005</f>
        <v>2741.7409683759179</v>
      </c>
      <c r="V35" s="3">
        <v>0.12</v>
      </c>
      <c r="W35" s="3">
        <v>0.3</v>
      </c>
      <c r="X35" s="3">
        <f t="shared" ref="X35:X37" si="43">IF(O35&gt;0,O35,((P35*2.2046*S35)+(Q35+R35)/G35)+V35)</f>
        <v>29.376697954369178</v>
      </c>
      <c r="Y35" s="3">
        <f t="shared" si="42"/>
        <v>29.823901413299502</v>
      </c>
      <c r="Z35" s="29">
        <f t="shared" ref="Z35:Z37" si="44">Y35*F35</f>
        <v>556695.73529782076</v>
      </c>
      <c r="AA35" s="30">
        <v>42829</v>
      </c>
    </row>
    <row r="36" spans="1:27" s="22" customFormat="1" x14ac:dyDescent="0.25">
      <c r="A36" s="76"/>
      <c r="B36" s="17" t="s">
        <v>26</v>
      </c>
      <c r="C36" s="18" t="s">
        <v>37</v>
      </c>
      <c r="D36" s="18" t="s">
        <v>37</v>
      </c>
      <c r="E36" s="19" t="s">
        <v>28</v>
      </c>
      <c r="F36" s="20">
        <f>42081*0.4536</f>
        <v>19087.941600000002</v>
      </c>
      <c r="G36" s="21">
        <v>19052.38</v>
      </c>
      <c r="H36" s="21">
        <f>G36-F36</f>
        <v>-35.561600000000908</v>
      </c>
      <c r="I36" s="22" t="s">
        <v>245</v>
      </c>
      <c r="J36" s="23" t="s">
        <v>39</v>
      </c>
      <c r="K36" s="24">
        <v>42836</v>
      </c>
      <c r="L36" s="24">
        <v>42837</v>
      </c>
      <c r="M36" s="18" t="s">
        <v>31</v>
      </c>
      <c r="N36" s="18" t="s">
        <v>246</v>
      </c>
      <c r="O36" s="3"/>
      <c r="P36" s="25">
        <f>0.5725+0.095</f>
        <v>0.66749999999999998</v>
      </c>
      <c r="Q36" s="26">
        <v>23000</v>
      </c>
      <c r="R36" s="3">
        <v>9400</v>
      </c>
      <c r="S36" s="51">
        <v>18.782</v>
      </c>
      <c r="T36" s="28">
        <f>X36*F36*0.005</f>
        <v>2811.6167739729603</v>
      </c>
      <c r="V36" s="3">
        <v>0.12</v>
      </c>
      <c r="W36" s="3">
        <v>0.3</v>
      </c>
      <c r="X36" s="3">
        <f t="shared" si="43"/>
        <v>29.459612072293428</v>
      </c>
      <c r="Y36" s="3">
        <f t="shared" si="42"/>
        <v>29.907185067056968</v>
      </c>
      <c r="Z36" s="29">
        <f t="shared" si="44"/>
        <v>570866.60198037559</v>
      </c>
      <c r="AA36" s="30">
        <v>42830</v>
      </c>
    </row>
    <row r="37" spans="1:27" s="22" customFormat="1" x14ac:dyDescent="0.25">
      <c r="A37" s="76"/>
      <c r="B37" s="17" t="s">
        <v>26</v>
      </c>
      <c r="C37" s="18" t="s">
        <v>33</v>
      </c>
      <c r="D37" s="18" t="s">
        <v>33</v>
      </c>
      <c r="E37" s="19" t="s">
        <v>34</v>
      </c>
      <c r="F37" s="20">
        <f>42676*0.4536</f>
        <v>19357.833600000002</v>
      </c>
      <c r="G37" s="21">
        <v>19333.78</v>
      </c>
      <c r="H37" s="21">
        <f>G37-F37</f>
        <v>-24.053600000002916</v>
      </c>
      <c r="I37" s="22" t="s">
        <v>247</v>
      </c>
      <c r="J37" s="23" t="s">
        <v>30</v>
      </c>
      <c r="K37" s="24">
        <v>42836</v>
      </c>
      <c r="L37" s="24">
        <v>42837</v>
      </c>
      <c r="M37" s="18" t="s">
        <v>31</v>
      </c>
      <c r="N37" s="18" t="s">
        <v>248</v>
      </c>
      <c r="O37" s="3"/>
      <c r="P37" s="25">
        <f>0.5725+0.105</f>
        <v>0.67749999999999999</v>
      </c>
      <c r="Q37" s="26">
        <v>23000</v>
      </c>
      <c r="R37" s="3">
        <v>9400</v>
      </c>
      <c r="S37" s="51">
        <v>18.782</v>
      </c>
      <c r="T37" s="28">
        <f>X37*F37*0.005</f>
        <v>2889.0529508187833</v>
      </c>
      <c r="V37" s="3">
        <v>0.12</v>
      </c>
      <c r="W37" s="3">
        <v>0.3</v>
      </c>
      <c r="X37" s="3">
        <f t="shared" si="43"/>
        <v>29.848928454667398</v>
      </c>
      <c r="Y37" s="3">
        <f t="shared" si="42"/>
        <v>30.298358775629918</v>
      </c>
      <c r="Z37" s="29">
        <f t="shared" si="44"/>
        <v>586510.58753174369</v>
      </c>
      <c r="AA37" s="30">
        <v>42830</v>
      </c>
    </row>
    <row r="38" spans="1:27" s="22" customFormat="1" x14ac:dyDescent="0.25">
      <c r="A38" s="76"/>
      <c r="B38" s="17" t="s">
        <v>41</v>
      </c>
      <c r="C38" s="18" t="s">
        <v>237</v>
      </c>
      <c r="D38" s="18" t="s">
        <v>237</v>
      </c>
      <c r="E38" s="19">
        <f>234</f>
        <v>234</v>
      </c>
      <c r="F38" s="20">
        <f>25760</f>
        <v>25760</v>
      </c>
      <c r="G38" s="21">
        <v>22350</v>
      </c>
      <c r="H38" s="21">
        <f t="shared" ref="H38:H43" si="45">G38-F38</f>
        <v>-3410</v>
      </c>
      <c r="I38" s="22" t="s">
        <v>249</v>
      </c>
      <c r="J38" s="19">
        <v>248</v>
      </c>
      <c r="K38" s="24"/>
      <c r="L38" s="24">
        <v>42837</v>
      </c>
      <c r="M38" s="18" t="s">
        <v>31</v>
      </c>
      <c r="N38" s="19"/>
      <c r="O38" s="3">
        <v>24.9</v>
      </c>
      <c r="P38" s="31" t="s">
        <v>128</v>
      </c>
      <c r="Q38" s="3"/>
      <c r="R38" s="3">
        <f>99*E38</f>
        <v>23166</v>
      </c>
      <c r="S38" s="27">
        <f>-40*E38</f>
        <v>-9360</v>
      </c>
      <c r="T38" s="27"/>
      <c r="U38" s="3">
        <f>E38*10</f>
        <v>2340</v>
      </c>
      <c r="V38" s="19"/>
      <c r="W38" s="3">
        <v>0.2</v>
      </c>
      <c r="X38" s="3">
        <f>((O38*F38)+Q38+R38+S38+U38)/G38</f>
        <v>29.421476510067116</v>
      </c>
      <c r="Y38" s="3">
        <f t="shared" ref="Y38:Y39" si="46">((O38*F38)+Q38+R38+S38+T38+U38)/G38+W38</f>
        <v>29.621476510067115</v>
      </c>
      <c r="Z38" s="29">
        <f>Y38*G38</f>
        <v>662040</v>
      </c>
      <c r="AA38" s="30">
        <v>42845</v>
      </c>
    </row>
    <row r="39" spans="1:27" s="22" customFormat="1" x14ac:dyDescent="0.25">
      <c r="A39" s="76"/>
      <c r="B39" s="17" t="s">
        <v>41</v>
      </c>
      <c r="C39" s="18" t="s">
        <v>237</v>
      </c>
      <c r="D39" s="18" t="s">
        <v>237</v>
      </c>
      <c r="E39" s="19">
        <f>144</f>
        <v>144</v>
      </c>
      <c r="F39" s="20">
        <f>16190</f>
        <v>16190</v>
      </c>
      <c r="G39" s="21">
        <v>11690</v>
      </c>
      <c r="H39" s="21">
        <f t="shared" si="45"/>
        <v>-4500</v>
      </c>
      <c r="I39" s="22" t="s">
        <v>250</v>
      </c>
      <c r="J39" s="19">
        <v>129</v>
      </c>
      <c r="K39" s="24"/>
      <c r="L39" s="24">
        <v>42837</v>
      </c>
      <c r="M39" s="18" t="s">
        <v>31</v>
      </c>
      <c r="N39" s="19"/>
      <c r="O39" s="3">
        <v>25.2</v>
      </c>
      <c r="P39" s="31"/>
      <c r="Q39" s="3"/>
      <c r="R39" s="3">
        <f>99*E39</f>
        <v>14256</v>
      </c>
      <c r="S39" s="27">
        <f>-40*E39</f>
        <v>-5760</v>
      </c>
      <c r="T39" s="27"/>
      <c r="U39" s="3"/>
      <c r="V39" s="19"/>
      <c r="W39" s="3">
        <v>0.2</v>
      </c>
      <c r="X39" s="3">
        <f>((O39*F39)+Q39+R39+S39+U39)/G39</f>
        <v>35.627373823781006</v>
      </c>
      <c r="Y39" s="3">
        <f t="shared" si="46"/>
        <v>35.827373823781009</v>
      </c>
      <c r="Z39" s="29">
        <f>Y39*G39</f>
        <v>418822</v>
      </c>
      <c r="AA39" s="30">
        <v>42846</v>
      </c>
    </row>
    <row r="40" spans="1:27" s="22" customFormat="1" x14ac:dyDescent="0.25">
      <c r="A40" s="76"/>
      <c r="B40" s="17" t="s">
        <v>210</v>
      </c>
      <c r="C40" s="18" t="s">
        <v>214</v>
      </c>
      <c r="D40" s="18" t="s">
        <v>94</v>
      </c>
      <c r="E40" s="19" t="s">
        <v>251</v>
      </c>
      <c r="F40" s="20">
        <v>45.4</v>
      </c>
      <c r="G40" s="21">
        <v>45.4</v>
      </c>
      <c r="H40" s="21">
        <f t="shared" si="45"/>
        <v>0</v>
      </c>
      <c r="J40" s="19"/>
      <c r="K40" s="24"/>
      <c r="L40" s="24">
        <v>42837</v>
      </c>
      <c r="M40" s="18" t="s">
        <v>31</v>
      </c>
      <c r="N40" s="19"/>
      <c r="O40" s="3">
        <v>190</v>
      </c>
      <c r="P40" s="31"/>
      <c r="Q40" s="3"/>
      <c r="R40" s="3"/>
      <c r="S40" s="27"/>
      <c r="T40" s="27"/>
      <c r="U40" s="3"/>
      <c r="V40" s="3"/>
      <c r="W40" s="3"/>
      <c r="X40" s="3">
        <f t="shared" ref="X40:X44" si="47">IF(O40&gt;0,O40,((P40*2.2046*S40)+(Q40+R40)/G40)+V40)</f>
        <v>190</v>
      </c>
      <c r="Y40" s="3">
        <f t="shared" ref="Y40:Y44" si="48">IF(O40&gt;0,O40,((P40*2.2046*S40)+(Q40+R40+T40)/G40)+V40+W40)</f>
        <v>190</v>
      </c>
      <c r="Z40" s="29">
        <f t="shared" ref="Z40:Z44" si="49">Y40*F40</f>
        <v>8626</v>
      </c>
      <c r="AA40" s="30">
        <v>42837</v>
      </c>
    </row>
    <row r="41" spans="1:27" s="22" customFormat="1" x14ac:dyDescent="0.25">
      <c r="A41" s="76"/>
      <c r="B41" s="17" t="s">
        <v>213</v>
      </c>
      <c r="C41" s="19" t="s">
        <v>214</v>
      </c>
      <c r="D41" s="18" t="s">
        <v>94</v>
      </c>
      <c r="E41" s="19" t="s">
        <v>251</v>
      </c>
      <c r="F41" s="20">
        <v>100</v>
      </c>
      <c r="G41" s="21">
        <v>100</v>
      </c>
      <c r="H41" s="21">
        <f t="shared" si="45"/>
        <v>0</v>
      </c>
      <c r="J41" s="19"/>
      <c r="K41" s="24"/>
      <c r="L41" s="24">
        <v>42837</v>
      </c>
      <c r="M41" s="18" t="s">
        <v>31</v>
      </c>
      <c r="N41" s="19"/>
      <c r="O41" s="3">
        <v>190</v>
      </c>
      <c r="P41" s="31"/>
      <c r="Q41" s="3"/>
      <c r="R41" s="3"/>
      <c r="S41" s="27"/>
      <c r="T41" s="27"/>
      <c r="U41" s="3"/>
      <c r="V41" s="3"/>
      <c r="W41" s="3"/>
      <c r="X41" s="3">
        <f t="shared" si="47"/>
        <v>190</v>
      </c>
      <c r="Y41" s="3">
        <f t="shared" si="48"/>
        <v>190</v>
      </c>
      <c r="Z41" s="29">
        <f t="shared" si="49"/>
        <v>19000</v>
      </c>
      <c r="AA41" s="30">
        <v>42837</v>
      </c>
    </row>
    <row r="42" spans="1:27" s="22" customFormat="1" x14ac:dyDescent="0.25">
      <c r="A42" s="76"/>
      <c r="B42" s="17" t="s">
        <v>252</v>
      </c>
      <c r="C42" s="18" t="s">
        <v>214</v>
      </c>
      <c r="D42" s="18" t="s">
        <v>94</v>
      </c>
      <c r="E42" s="19" t="s">
        <v>235</v>
      </c>
      <c r="F42" s="20">
        <v>181.6</v>
      </c>
      <c r="G42" s="21">
        <v>181.6</v>
      </c>
      <c r="H42" s="21">
        <f t="shared" si="45"/>
        <v>0</v>
      </c>
      <c r="J42" s="19"/>
      <c r="K42" s="24"/>
      <c r="L42" s="24">
        <v>42837</v>
      </c>
      <c r="M42" s="18" t="s">
        <v>31</v>
      </c>
      <c r="N42" s="19"/>
      <c r="O42" s="3">
        <v>54</v>
      </c>
      <c r="P42" s="31"/>
      <c r="Q42" s="3"/>
      <c r="R42" s="3"/>
      <c r="S42" s="27"/>
      <c r="T42" s="27"/>
      <c r="U42" s="3"/>
      <c r="V42" s="3"/>
      <c r="W42" s="3"/>
      <c r="X42" s="3">
        <f t="shared" si="47"/>
        <v>54</v>
      </c>
      <c r="Y42" s="3">
        <f t="shared" si="48"/>
        <v>54</v>
      </c>
      <c r="Z42" s="29">
        <f t="shared" si="49"/>
        <v>9806.4</v>
      </c>
      <c r="AA42" s="30">
        <v>42837</v>
      </c>
    </row>
    <row r="43" spans="1:27" s="22" customFormat="1" x14ac:dyDescent="0.25">
      <c r="A43" s="76"/>
      <c r="B43" s="17" t="s">
        <v>217</v>
      </c>
      <c r="C43" s="18" t="s">
        <v>33</v>
      </c>
      <c r="D43" s="18" t="s">
        <v>77</v>
      </c>
      <c r="E43" s="19" t="s">
        <v>78</v>
      </c>
      <c r="F43" s="20">
        <v>3696.2</v>
      </c>
      <c r="G43" s="21">
        <v>3696.2</v>
      </c>
      <c r="H43" s="21">
        <f t="shared" si="45"/>
        <v>0</v>
      </c>
      <c r="I43" s="22" t="s">
        <v>253</v>
      </c>
      <c r="J43" s="19"/>
      <c r="K43" s="24"/>
      <c r="L43" s="24">
        <v>42837</v>
      </c>
      <c r="M43" s="18" t="s">
        <v>31</v>
      </c>
      <c r="N43" s="19"/>
      <c r="O43" s="3">
        <v>19.8</v>
      </c>
      <c r="P43" s="31"/>
      <c r="Q43" s="3"/>
      <c r="R43" s="3"/>
      <c r="S43" s="27"/>
      <c r="T43" s="27"/>
      <c r="U43" s="3"/>
      <c r="V43" s="3"/>
      <c r="W43" s="3"/>
      <c r="X43" s="3">
        <f t="shared" si="47"/>
        <v>19.8</v>
      </c>
      <c r="Y43" s="3">
        <f t="shared" si="48"/>
        <v>19.8</v>
      </c>
      <c r="Z43" s="29">
        <f t="shared" si="49"/>
        <v>73184.759999999995</v>
      </c>
      <c r="AA43" s="30">
        <v>42844</v>
      </c>
    </row>
    <row r="44" spans="1:27" s="22" customFormat="1" x14ac:dyDescent="0.25">
      <c r="A44" s="76"/>
      <c r="B44" s="17" t="s">
        <v>26</v>
      </c>
      <c r="C44" s="18" t="s">
        <v>33</v>
      </c>
      <c r="D44" s="18" t="s">
        <v>33</v>
      </c>
      <c r="E44" s="19" t="s">
        <v>34</v>
      </c>
      <c r="F44" s="20">
        <f>42460*0.4536</f>
        <v>19259.856</v>
      </c>
      <c r="G44" s="21">
        <v>19197.41</v>
      </c>
      <c r="H44" s="21">
        <f>G44-F44</f>
        <v>-62.445999999999913</v>
      </c>
      <c r="I44" s="22" t="s">
        <v>254</v>
      </c>
      <c r="J44" s="23" t="s">
        <v>30</v>
      </c>
      <c r="K44" s="24">
        <v>42837</v>
      </c>
      <c r="L44" s="24">
        <v>42838</v>
      </c>
      <c r="M44" s="18" t="s">
        <v>47</v>
      </c>
      <c r="N44" s="18" t="s">
        <v>255</v>
      </c>
      <c r="O44" s="3"/>
      <c r="P44" s="25">
        <f>0.567+0.105</f>
        <v>0.67199999999999993</v>
      </c>
      <c r="Q44" s="26">
        <v>23000</v>
      </c>
      <c r="R44" s="3">
        <v>9400</v>
      </c>
      <c r="S44" s="27">
        <v>18.829999999999998</v>
      </c>
      <c r="T44" s="28">
        <f>X44*F44*0.005</f>
        <v>2860.4937435493089</v>
      </c>
      <c r="V44" s="3">
        <v>0.12</v>
      </c>
      <c r="W44" s="3">
        <v>0.3</v>
      </c>
      <c r="X44" s="3">
        <f t="shared" si="47"/>
        <v>29.704206963430138</v>
      </c>
      <c r="Y44" s="3">
        <f t="shared" si="48"/>
        <v>30.153211112612205</v>
      </c>
      <c r="Z44" s="29">
        <f t="shared" si="49"/>
        <v>580746.50396651088</v>
      </c>
      <c r="AA44" s="30">
        <v>42831</v>
      </c>
    </row>
    <row r="45" spans="1:27" s="22" customFormat="1" ht="15.75" thickBot="1" x14ac:dyDescent="0.3">
      <c r="A45" s="77"/>
      <c r="B45" s="34"/>
      <c r="C45" s="6"/>
      <c r="D45" s="6"/>
      <c r="E45" s="6"/>
      <c r="F45" s="35"/>
      <c r="G45" s="35"/>
      <c r="H45" s="35"/>
      <c r="I45" s="9"/>
      <c r="J45" s="6"/>
      <c r="K45" s="10"/>
      <c r="L45" s="10"/>
      <c r="M45" s="6"/>
      <c r="N45" s="6"/>
      <c r="O45" s="11"/>
      <c r="P45" s="12"/>
      <c r="Q45" s="11"/>
      <c r="R45" s="11"/>
      <c r="S45" s="11"/>
      <c r="T45" s="11"/>
      <c r="U45" s="11"/>
      <c r="V45" s="11"/>
      <c r="W45" s="11"/>
      <c r="X45" s="11"/>
      <c r="Y45" s="11"/>
      <c r="Z45" s="15"/>
      <c r="AA45" s="36"/>
    </row>
    <row r="46" spans="1:27" s="22" customFormat="1" x14ac:dyDescent="0.25">
      <c r="A46" s="37"/>
      <c r="B46" s="38" t="s">
        <v>41</v>
      </c>
      <c r="C46" s="38" t="s">
        <v>42</v>
      </c>
      <c r="D46" s="39" t="s">
        <v>45</v>
      </c>
      <c r="E46" s="38">
        <f>230</f>
        <v>230</v>
      </c>
      <c r="F46" s="40">
        <f>26290</f>
        <v>26290</v>
      </c>
      <c r="G46" s="41">
        <f>18560</f>
        <v>18560</v>
      </c>
      <c r="H46" s="41">
        <f t="shared" ref="H46:H48" si="50">G46-F46</f>
        <v>-7730</v>
      </c>
      <c r="I46" s="39" t="s">
        <v>256</v>
      </c>
      <c r="J46" s="38">
        <v>200</v>
      </c>
      <c r="K46" s="42"/>
      <c r="L46" s="42">
        <v>42841</v>
      </c>
      <c r="M46" s="39" t="s">
        <v>57</v>
      </c>
      <c r="N46" s="38"/>
      <c r="O46" s="43">
        <v>23.5</v>
      </c>
      <c r="P46" s="44"/>
      <c r="Q46" s="45">
        <f>19800</f>
        <v>19800</v>
      </c>
      <c r="R46" s="3">
        <f t="shared" ref="R46:R48" si="51">65*E46</f>
        <v>14950</v>
      </c>
      <c r="S46" s="27">
        <f t="shared" ref="S46:S48" si="52">-40*E46</f>
        <v>-9200</v>
      </c>
      <c r="T46" s="46">
        <f>X46*F46*0.0045</f>
        <v>4108.2622346443968</v>
      </c>
      <c r="U46" s="43">
        <f>E46*5</f>
        <v>1150</v>
      </c>
      <c r="V46" s="38"/>
      <c r="W46" s="43">
        <v>0.3</v>
      </c>
      <c r="X46" s="43">
        <f>((O46*F46)+Q46+R46+S46+U46)/G46</f>
        <v>34.726023706896555</v>
      </c>
      <c r="Y46" s="3">
        <f t="shared" ref="Y46:Y48" si="53">((O46*F46)+Q46+R46+S46+T46+U46)/G46+W46</f>
        <v>35.24737404281489</v>
      </c>
      <c r="Z46" s="47">
        <f>Y46*G46</f>
        <v>654191.26223464438</v>
      </c>
      <c r="AA46" s="48">
        <v>42857</v>
      </c>
    </row>
    <row r="47" spans="1:27" s="22" customFormat="1" x14ac:dyDescent="0.25">
      <c r="A47" s="49"/>
      <c r="B47" s="17" t="s">
        <v>41</v>
      </c>
      <c r="C47" s="19" t="s">
        <v>42</v>
      </c>
      <c r="D47" s="18" t="s">
        <v>53</v>
      </c>
      <c r="E47" s="19">
        <v>100</v>
      </c>
      <c r="F47" s="20">
        <v>11530</v>
      </c>
      <c r="G47" s="21">
        <v>11230</v>
      </c>
      <c r="H47" s="21">
        <f t="shared" si="50"/>
        <v>-300</v>
      </c>
      <c r="I47" s="18" t="s">
        <v>257</v>
      </c>
      <c r="J47" s="19">
        <v>130</v>
      </c>
      <c r="K47" s="24"/>
      <c r="L47" s="24">
        <v>42841</v>
      </c>
      <c r="M47" s="18" t="s">
        <v>57</v>
      </c>
      <c r="N47" s="19"/>
      <c r="O47" s="3">
        <v>23.5</v>
      </c>
      <c r="P47" s="31"/>
      <c r="Q47" s="26">
        <v>15700</v>
      </c>
      <c r="R47" s="3">
        <f t="shared" si="51"/>
        <v>6500</v>
      </c>
      <c r="S47" s="27">
        <f t="shared" si="52"/>
        <v>-4000</v>
      </c>
      <c r="T47" s="27">
        <f>X47*F47*0.0045</f>
        <v>1338.2680031166517</v>
      </c>
      <c r="U47" s="3">
        <f>E47*5</f>
        <v>500</v>
      </c>
      <c r="V47" s="19"/>
      <c r="W47" s="3">
        <v>0.3</v>
      </c>
      <c r="X47" s="3">
        <f>((O47*F47)+Q47+R47+S47+U47)/G47</f>
        <v>25.792965271593946</v>
      </c>
      <c r="Y47" s="3">
        <f t="shared" si="53"/>
        <v>26.212134283447611</v>
      </c>
      <c r="Z47" s="29">
        <f>Y47*G47</f>
        <v>294362.26800311665</v>
      </c>
      <c r="AA47" s="30">
        <v>42857</v>
      </c>
    </row>
    <row r="48" spans="1:27" s="22" customFormat="1" x14ac:dyDescent="0.25">
      <c r="A48" s="49"/>
      <c r="B48" s="17" t="s">
        <v>41</v>
      </c>
      <c r="C48" s="19" t="s">
        <v>42</v>
      </c>
      <c r="D48" s="18" t="s">
        <v>228</v>
      </c>
      <c r="E48" s="19">
        <f>190+60</f>
        <v>250</v>
      </c>
      <c r="F48" s="20">
        <v>29520</v>
      </c>
      <c r="G48" s="21">
        <f>17860+5760</f>
        <v>23620</v>
      </c>
      <c r="H48" s="21">
        <f t="shared" si="50"/>
        <v>-5900</v>
      </c>
      <c r="I48" s="18" t="s">
        <v>258</v>
      </c>
      <c r="J48" s="19"/>
      <c r="K48" s="24"/>
      <c r="L48" s="24">
        <v>42842</v>
      </c>
      <c r="M48" s="18" t="s">
        <v>60</v>
      </c>
      <c r="N48" s="19"/>
      <c r="O48" s="3">
        <v>23.5</v>
      </c>
      <c r="P48" s="31"/>
      <c r="Q48" s="26">
        <v>19800</v>
      </c>
      <c r="R48" s="3">
        <f t="shared" si="51"/>
        <v>16250</v>
      </c>
      <c r="S48" s="27">
        <f t="shared" si="52"/>
        <v>-10000</v>
      </c>
      <c r="T48" s="27">
        <f>X48*F48*0.0045</f>
        <v>4055.0506689246399</v>
      </c>
      <c r="U48" s="3">
        <f>E48*5</f>
        <v>1250</v>
      </c>
      <c r="V48" s="19"/>
      <c r="W48" s="3">
        <v>0.3</v>
      </c>
      <c r="X48" s="3">
        <f>((O48*F48)+Q48+R48+S48+U48)/G48</f>
        <v>30.525825571549536</v>
      </c>
      <c r="Y48" s="3">
        <f t="shared" si="53"/>
        <v>30.99750426202052</v>
      </c>
      <c r="Z48" s="29">
        <f>Y48*G48</f>
        <v>732161.0506689247</v>
      </c>
      <c r="AA48" s="30">
        <v>42857</v>
      </c>
    </row>
    <row r="49" spans="1:27" s="22" customFormat="1" x14ac:dyDescent="0.25">
      <c r="A49" s="49"/>
      <c r="B49" s="17" t="s">
        <v>26</v>
      </c>
      <c r="C49" s="18" t="s">
        <v>27</v>
      </c>
      <c r="D49" s="18" t="s">
        <v>27</v>
      </c>
      <c r="E49" s="19" t="s">
        <v>34</v>
      </c>
      <c r="F49" s="20">
        <f>41142*0.4536</f>
        <v>18662.011200000001</v>
      </c>
      <c r="G49" s="21">
        <v>18638.919999999998</v>
      </c>
      <c r="H49" s="21">
        <f>G49-F49</f>
        <v>-23.091200000002573</v>
      </c>
      <c r="I49" s="22" t="s">
        <v>259</v>
      </c>
      <c r="J49" s="23" t="s">
        <v>30</v>
      </c>
      <c r="K49" s="24">
        <v>42842</v>
      </c>
      <c r="L49" s="24">
        <v>42843</v>
      </c>
      <c r="M49" s="18" t="s">
        <v>62</v>
      </c>
      <c r="N49" s="18" t="s">
        <v>260</v>
      </c>
      <c r="O49" s="3"/>
      <c r="P49" s="25">
        <f>0.5708+0.1</f>
        <v>0.67079999999999995</v>
      </c>
      <c r="Q49" s="26">
        <v>23000</v>
      </c>
      <c r="R49" s="3">
        <v>9400</v>
      </c>
      <c r="S49" s="27">
        <v>19.079999999999998</v>
      </c>
      <c r="T49" s="27">
        <f>X49*F49*0.005</f>
        <v>2806.2694886345485</v>
      </c>
      <c r="V49" s="3">
        <v>0.12</v>
      </c>
      <c r="W49" s="3">
        <v>0.3</v>
      </c>
      <c r="X49" s="3">
        <f>IF(O49&gt;0,O49,((P49*2.2046*S49)+(Q49+R49)/G49)+V49)</f>
        <v>30.074673716137823</v>
      </c>
      <c r="Y49" s="3">
        <f t="shared" ref="Y49:Y50" si="54">IF(O49&gt;0,O49,((P49*2.2046*S49)+(Q49+R49+T49)/G49)+V49+W49)</f>
        <v>30.525233377783163</v>
      </c>
      <c r="Z49" s="29">
        <f>Y49*F49</f>
        <v>569662.2471788032</v>
      </c>
      <c r="AA49" s="30">
        <v>42853</v>
      </c>
    </row>
    <row r="50" spans="1:27" s="22" customFormat="1" x14ac:dyDescent="0.25">
      <c r="A50" s="49"/>
      <c r="B50" s="17" t="s">
        <v>26</v>
      </c>
      <c r="C50" s="18" t="s">
        <v>37</v>
      </c>
      <c r="D50" s="18" t="s">
        <v>37</v>
      </c>
      <c r="E50" s="19" t="s">
        <v>28</v>
      </c>
      <c r="F50" s="20">
        <f>40995*0.4536</f>
        <v>18595.331999999999</v>
      </c>
      <c r="G50" s="21">
        <v>18562.34</v>
      </c>
      <c r="H50" s="21">
        <f>G50-F50</f>
        <v>-32.99199999999837</v>
      </c>
      <c r="I50" s="22" t="s">
        <v>261</v>
      </c>
      <c r="J50" s="23" t="s">
        <v>30</v>
      </c>
      <c r="K50" s="24">
        <v>42842</v>
      </c>
      <c r="L50" s="24">
        <v>42843</v>
      </c>
      <c r="M50" s="18" t="s">
        <v>62</v>
      </c>
      <c r="N50" s="18" t="s">
        <v>262</v>
      </c>
      <c r="O50" s="3"/>
      <c r="P50" s="25">
        <f>0.5874+0.095</f>
        <v>0.68240000000000001</v>
      </c>
      <c r="Q50" s="26">
        <v>23000</v>
      </c>
      <c r="R50" s="3">
        <v>9400</v>
      </c>
      <c r="S50" s="51">
        <v>18.742000000000001</v>
      </c>
      <c r="T50" s="27">
        <f>X50*F50*0.005</f>
        <v>2794.9984546206451</v>
      </c>
      <c r="V50" s="3">
        <v>0.12</v>
      </c>
      <c r="W50" s="3">
        <v>0.3</v>
      </c>
      <c r="X50" s="3">
        <f t="shared" ref="X50" si="55">IF(O50&gt;0,O50,((P50*2.2046*S50)+(Q50+R50)/G50)+V50)</f>
        <v>30.061291238259638</v>
      </c>
      <c r="Y50" s="3">
        <f t="shared" si="54"/>
        <v>30.51186484345277</v>
      </c>
      <c r="Z50" s="29">
        <f t="shared" ref="Z50" si="56">Y50*F50</f>
        <v>567378.25670313218</v>
      </c>
      <c r="AA50" s="30">
        <v>42836</v>
      </c>
    </row>
    <row r="51" spans="1:27" s="22" customFormat="1" x14ac:dyDescent="0.25">
      <c r="A51" s="49"/>
      <c r="B51" s="17" t="s">
        <v>41</v>
      </c>
      <c r="C51" s="19" t="s">
        <v>42</v>
      </c>
      <c r="D51" s="18" t="s">
        <v>45</v>
      </c>
      <c r="E51" s="19">
        <v>250</v>
      </c>
      <c r="F51" s="20">
        <v>28040</v>
      </c>
      <c r="G51" s="21">
        <f>9060+13580</f>
        <v>22640</v>
      </c>
      <c r="H51" s="21">
        <f>G51-F51</f>
        <v>-5400</v>
      </c>
      <c r="I51" s="22" t="s">
        <v>263</v>
      </c>
      <c r="J51" s="19"/>
      <c r="K51" s="24"/>
      <c r="L51" s="24">
        <v>42843</v>
      </c>
      <c r="M51" s="18" t="s">
        <v>62</v>
      </c>
      <c r="N51" s="19"/>
      <c r="O51" s="3">
        <v>23.5</v>
      </c>
      <c r="P51" s="31"/>
      <c r="Q51" s="33">
        <v>19800</v>
      </c>
      <c r="R51" s="3">
        <f>65*E51</f>
        <v>16250</v>
      </c>
      <c r="S51" s="27">
        <f t="shared" ref="S51" si="57">-40*E51</f>
        <v>-10000</v>
      </c>
      <c r="T51" s="27">
        <f t="shared" ref="T51" si="58">X51*F51*0.005</f>
        <v>4249.5957597173146</v>
      </c>
      <c r="U51" s="3">
        <f>E51*5</f>
        <v>1250</v>
      </c>
      <c r="V51" s="19"/>
      <c r="W51" s="3">
        <v>0.3</v>
      </c>
      <c r="X51" s="3">
        <f>((O51*F51)+Q51+R51+S51+U51)/G51</f>
        <v>30.310954063604239</v>
      </c>
      <c r="Y51" s="3">
        <f>((O51*F51)+Q51+R51+S51+T51+U51)/G51+W51</f>
        <v>30.798657056524615</v>
      </c>
      <c r="Z51" s="29">
        <f>Y51*G51</f>
        <v>697281.59575971728</v>
      </c>
      <c r="AA51" s="30">
        <v>42827</v>
      </c>
    </row>
    <row r="52" spans="1:27" s="22" customFormat="1" x14ac:dyDescent="0.25">
      <c r="A52" s="49"/>
      <c r="B52" s="17" t="s">
        <v>26</v>
      </c>
      <c r="C52" s="18" t="s">
        <v>37</v>
      </c>
      <c r="D52" s="18" t="s">
        <v>37</v>
      </c>
      <c r="E52" s="19" t="s">
        <v>28</v>
      </c>
      <c r="F52" s="20">
        <f>42076*0.4536</f>
        <v>19085.673600000002</v>
      </c>
      <c r="G52" s="21">
        <v>19043.189999999999</v>
      </c>
      <c r="H52" s="21">
        <f>G52-F52</f>
        <v>-42.483600000003207</v>
      </c>
      <c r="I52" s="22" t="s">
        <v>264</v>
      </c>
      <c r="J52" s="23" t="s">
        <v>39</v>
      </c>
      <c r="K52" s="24">
        <v>42843</v>
      </c>
      <c r="L52" s="24">
        <v>42844</v>
      </c>
      <c r="M52" s="18" t="s">
        <v>31</v>
      </c>
      <c r="N52" s="18" t="s">
        <v>265</v>
      </c>
      <c r="O52" s="3"/>
      <c r="P52" s="25">
        <f>0.5708+0.095</f>
        <v>0.66579999999999995</v>
      </c>
      <c r="Q52" s="26">
        <v>23000</v>
      </c>
      <c r="R52" s="3">
        <v>9400</v>
      </c>
      <c r="S52" s="51">
        <v>18.773</v>
      </c>
      <c r="T52" s="27">
        <f>X52*F52*0.005</f>
        <v>2803.3830191735806</v>
      </c>
      <c r="V52" s="3">
        <v>0.12</v>
      </c>
      <c r="W52" s="3">
        <v>0.3</v>
      </c>
      <c r="X52" s="3">
        <f t="shared" ref="X52:X53" si="59">IF(O52&gt;0,O52,((P52*2.2046*S52)+(Q52+R52)/G52)+V52)</f>
        <v>29.376830788655848</v>
      </c>
      <c r="Y52" s="3">
        <f t="shared" ref="Y52:Y53" si="60">IF(O52&gt;0,O52,((P52*2.2046*S52)+(Q52+R52+T52)/G52)+V52+W52)</f>
        <v>29.824042627595311</v>
      </c>
      <c r="Z52" s="29">
        <f t="shared" ref="Z52:Z53" si="61">Y52*F52</f>
        <v>569211.94302277057</v>
      </c>
      <c r="AA52" s="30">
        <v>42837</v>
      </c>
    </row>
    <row r="53" spans="1:27" s="22" customFormat="1" x14ac:dyDescent="0.25">
      <c r="A53" s="49"/>
      <c r="B53" s="17" t="s">
        <v>26</v>
      </c>
      <c r="C53" s="18" t="s">
        <v>33</v>
      </c>
      <c r="D53" s="18" t="s">
        <v>33</v>
      </c>
      <c r="E53" s="19" t="s">
        <v>34</v>
      </c>
      <c r="F53" s="20">
        <f>42677*0.4536</f>
        <v>19358.287199999999</v>
      </c>
      <c r="G53" s="21">
        <v>19264.169999999998</v>
      </c>
      <c r="H53" s="21">
        <f>G53-F53</f>
        <v>-94.117200000000594</v>
      </c>
      <c r="I53" s="22" t="s">
        <v>266</v>
      </c>
      <c r="J53" s="23" t="s">
        <v>30</v>
      </c>
      <c r="K53" s="24">
        <v>42844</v>
      </c>
      <c r="L53" s="24">
        <v>42845</v>
      </c>
      <c r="M53" s="18" t="s">
        <v>47</v>
      </c>
      <c r="N53" s="18" t="s">
        <v>187</v>
      </c>
      <c r="O53" s="3"/>
      <c r="P53" s="25">
        <f>0.5983+0.105</f>
        <v>0.70330000000000004</v>
      </c>
      <c r="Q53" s="26">
        <v>23000</v>
      </c>
      <c r="R53" s="3">
        <v>9400</v>
      </c>
      <c r="S53" s="51">
        <v>18.773</v>
      </c>
      <c r="T53" s="27">
        <f>X53*F53*0.005</f>
        <v>2991.7579389594971</v>
      </c>
      <c r="V53" s="3">
        <v>0.12</v>
      </c>
      <c r="W53" s="3">
        <v>0.3</v>
      </c>
      <c r="X53" s="3">
        <f t="shared" si="59"/>
        <v>30.909324859685906</v>
      </c>
      <c r="Y53" s="3">
        <f t="shared" si="60"/>
        <v>31.36462653834424</v>
      </c>
      <c r="Z53" s="29">
        <f t="shared" si="61"/>
        <v>607165.44845000957</v>
      </c>
      <c r="AA53" s="30">
        <v>42837</v>
      </c>
    </row>
    <row r="54" spans="1:27" s="22" customFormat="1" x14ac:dyDescent="0.25">
      <c r="A54" s="49"/>
      <c r="B54" s="17" t="s">
        <v>41</v>
      </c>
      <c r="C54" s="19" t="s">
        <v>42</v>
      </c>
      <c r="D54" s="18" t="s">
        <v>228</v>
      </c>
      <c r="E54" s="19">
        <v>250</v>
      </c>
      <c r="F54" s="20">
        <f>28810-805</f>
        <v>28005</v>
      </c>
      <c r="G54" s="21">
        <v>22340</v>
      </c>
      <c r="H54" s="21">
        <f t="shared" ref="H54" si="62">G54-F54</f>
        <v>-5665</v>
      </c>
      <c r="I54" s="22" t="s">
        <v>267</v>
      </c>
      <c r="J54" s="65">
        <v>243</v>
      </c>
      <c r="K54" s="24"/>
      <c r="L54" s="24">
        <v>42845</v>
      </c>
      <c r="M54" s="18" t="s">
        <v>47</v>
      </c>
      <c r="N54" s="19"/>
      <c r="O54" s="3">
        <v>23</v>
      </c>
      <c r="P54" s="31"/>
      <c r="Q54" s="33">
        <v>19800</v>
      </c>
      <c r="R54" s="3">
        <f t="shared" ref="R54" si="63">65*E54</f>
        <v>16250</v>
      </c>
      <c r="S54" s="27">
        <f t="shared" ref="S54" si="64">-40*E54</f>
        <v>-10000</v>
      </c>
      <c r="T54" s="27">
        <f t="shared" ref="T54" si="65">X54*F54*0.0045</f>
        <v>3787.5289542300802</v>
      </c>
      <c r="U54" s="3">
        <f t="shared" ref="U54" si="66">E54*5</f>
        <v>1250</v>
      </c>
      <c r="V54" s="19"/>
      <c r="W54" s="3">
        <v>0.3</v>
      </c>
      <c r="X54" s="3">
        <f t="shared" ref="X54" si="67">((O54*F54)+Q54+R54+S54+U54)/G54</f>
        <v>30.054386750223813</v>
      </c>
      <c r="Y54" s="3">
        <f t="shared" ref="Y54" si="68">((O54*F54)+Q54+R54+S54+T54+U54)/G54+W54</f>
        <v>30.523926989893919</v>
      </c>
      <c r="Z54" s="29">
        <f t="shared" ref="Z54" si="69">Y54*G54</f>
        <v>681904.52895423013</v>
      </c>
      <c r="AA54" s="30">
        <v>42858</v>
      </c>
    </row>
    <row r="55" spans="1:27" s="22" customFormat="1" x14ac:dyDescent="0.25">
      <c r="A55" s="49"/>
      <c r="B55" s="17" t="s">
        <v>26</v>
      </c>
      <c r="C55" s="18" t="s">
        <v>27</v>
      </c>
      <c r="D55" s="18" t="s">
        <v>27</v>
      </c>
      <c r="E55" s="19" t="s">
        <v>268</v>
      </c>
      <c r="F55" s="20">
        <f>41154*0.4536</f>
        <v>18667.454399999999</v>
      </c>
      <c r="G55" s="21">
        <v>18622.919999999998</v>
      </c>
      <c r="H55" s="21">
        <f>G55-F55</f>
        <v>-44.53440000000046</v>
      </c>
      <c r="I55" s="22" t="s">
        <v>269</v>
      </c>
      <c r="J55" s="23" t="s">
        <v>30</v>
      </c>
      <c r="K55" s="24">
        <v>42845</v>
      </c>
      <c r="L55" s="24">
        <v>42846</v>
      </c>
      <c r="M55" s="18" t="s">
        <v>49</v>
      </c>
      <c r="N55" s="18" t="s">
        <v>270</v>
      </c>
      <c r="O55" s="3"/>
      <c r="P55" s="25">
        <f>0.5983+0.1</f>
        <v>0.69830000000000003</v>
      </c>
      <c r="Q55" s="26">
        <v>23000</v>
      </c>
      <c r="R55" s="3">
        <v>10540</v>
      </c>
      <c r="S55" s="51">
        <v>19.015000000000001</v>
      </c>
      <c r="T55" s="27">
        <f>X55*F55*0.005</f>
        <v>2911.5693967845223</v>
      </c>
      <c r="V55" s="3">
        <v>0.12</v>
      </c>
      <c r="W55" s="3">
        <v>0.3</v>
      </c>
      <c r="X55" s="3">
        <f t="shared" ref="X55:X56" si="70">IF(O55&gt;0,O55,((P55*2.2046*S55)+(Q55+R55)/G55)+V55)</f>
        <v>31.194070004365695</v>
      </c>
      <c r="Y55" s="3">
        <f t="shared" ref="Y55:Y56" si="71">IF(O55&gt;0,O55,((P55*2.2046*S55)+(Q55+R55+T55)/G55)+V55+W55)</f>
        <v>31.650413338106297</v>
      </c>
      <c r="Z55" s="29">
        <f t="shared" ref="Z55:Z56" si="72">Y55*F55</f>
        <v>590832.64773025108</v>
      </c>
      <c r="AA55" s="30">
        <v>42857</v>
      </c>
    </row>
    <row r="56" spans="1:27" s="22" customFormat="1" x14ac:dyDescent="0.25">
      <c r="A56" s="49"/>
      <c r="B56" s="17" t="s">
        <v>26</v>
      </c>
      <c r="C56" s="18" t="s">
        <v>37</v>
      </c>
      <c r="D56" s="18" t="s">
        <v>37</v>
      </c>
      <c r="E56" s="19" t="s">
        <v>28</v>
      </c>
      <c r="F56" s="20">
        <f>41778*0.4536</f>
        <v>18950.500800000002</v>
      </c>
      <c r="G56" s="21">
        <v>18891.02</v>
      </c>
      <c r="H56" s="21">
        <f>G56-F56</f>
        <v>-59.480800000001182</v>
      </c>
      <c r="I56" s="22" t="s">
        <v>271</v>
      </c>
      <c r="J56" s="23" t="s">
        <v>30</v>
      </c>
      <c r="K56" s="24">
        <v>42845</v>
      </c>
      <c r="L56" s="24">
        <v>42846</v>
      </c>
      <c r="M56" s="18" t="s">
        <v>49</v>
      </c>
      <c r="N56" s="18" t="s">
        <v>272</v>
      </c>
      <c r="O56" s="3"/>
      <c r="P56" s="25">
        <f>0.582+0.095</f>
        <v>0.67699999999999994</v>
      </c>
      <c r="Q56" s="26">
        <v>23000</v>
      </c>
      <c r="R56" s="3">
        <v>9400</v>
      </c>
      <c r="S56" s="51">
        <v>18.773</v>
      </c>
      <c r="T56" s="27">
        <f>X56*F56*0.005</f>
        <v>2828.7478577694069</v>
      </c>
      <c r="V56" s="3">
        <v>0.12</v>
      </c>
      <c r="W56" s="3">
        <v>0.3</v>
      </c>
      <c r="X56" s="3">
        <f t="shared" si="70"/>
        <v>29.854069690542499</v>
      </c>
      <c r="Y56" s="3">
        <f t="shared" si="71"/>
        <v>30.303810035837216</v>
      </c>
      <c r="Z56" s="29">
        <f t="shared" si="72"/>
        <v>574272.37632718123</v>
      </c>
      <c r="AA56" s="30">
        <v>42837</v>
      </c>
    </row>
    <row r="57" spans="1:27" s="22" customFormat="1" x14ac:dyDescent="0.25">
      <c r="A57" s="49"/>
      <c r="B57" s="17" t="s">
        <v>41</v>
      </c>
      <c r="C57" s="19" t="s">
        <v>42</v>
      </c>
      <c r="D57" s="18" t="s">
        <v>43</v>
      </c>
      <c r="E57" s="19">
        <f>200</f>
        <v>200</v>
      </c>
      <c r="F57" s="20">
        <f>21840</f>
        <v>21840</v>
      </c>
      <c r="G57" s="21">
        <f>17480</f>
        <v>17480</v>
      </c>
      <c r="H57" s="21">
        <f t="shared" ref="H57:H62" si="73">G57-F57</f>
        <v>-4360</v>
      </c>
      <c r="I57" s="22" t="s">
        <v>273</v>
      </c>
      <c r="J57" s="19">
        <v>200</v>
      </c>
      <c r="K57" s="24"/>
      <c r="L57" s="24">
        <v>42846</v>
      </c>
      <c r="M57" s="18" t="s">
        <v>49</v>
      </c>
      <c r="N57" s="19"/>
      <c r="O57" s="3">
        <v>23</v>
      </c>
      <c r="P57" s="31"/>
      <c r="Q57" s="26">
        <f>19800</f>
        <v>19800</v>
      </c>
      <c r="R57" s="3">
        <f t="shared" ref="R57:R58" si="74">65*E57</f>
        <v>13000</v>
      </c>
      <c r="S57" s="27">
        <f t="shared" ref="S57:S58" si="75">-40*E57</f>
        <v>-8000</v>
      </c>
      <c r="T57" s="27">
        <f>X57*F57*0.0045</f>
        <v>2969.3154233409609</v>
      </c>
      <c r="U57" s="3">
        <f>E57*5</f>
        <v>1000</v>
      </c>
      <c r="V57" s="19"/>
      <c r="W57" s="3">
        <v>0.3</v>
      </c>
      <c r="X57" s="3">
        <f>((O57*F57)+Q57+R57+S57+U57)/G57</f>
        <v>30.212814645308924</v>
      </c>
      <c r="Y57" s="3">
        <f t="shared" ref="Y57:Y58" si="76">((O57*F57)+Q57+R57+S57+T57+U57)/G57+W57</f>
        <v>30.682683948703719</v>
      </c>
      <c r="Z57" s="29">
        <f t="shared" ref="Z57:Z58" si="77">Y57*G57</f>
        <v>536333.315423341</v>
      </c>
      <c r="AA57" s="30">
        <v>42859</v>
      </c>
    </row>
    <row r="58" spans="1:27" s="22" customFormat="1" x14ac:dyDescent="0.25">
      <c r="A58" s="49"/>
      <c r="B58" s="17" t="s">
        <v>41</v>
      </c>
      <c r="C58" s="19" t="s">
        <v>42</v>
      </c>
      <c r="D58" s="18" t="s">
        <v>43</v>
      </c>
      <c r="E58" s="19">
        <v>130</v>
      </c>
      <c r="F58" s="20">
        <f>15775-1000</f>
        <v>14775</v>
      </c>
      <c r="G58" s="21">
        <v>11670</v>
      </c>
      <c r="H58" s="21">
        <f>G58-F58</f>
        <v>-3105</v>
      </c>
      <c r="I58" s="18" t="s">
        <v>274</v>
      </c>
      <c r="J58" s="65">
        <v>129</v>
      </c>
      <c r="K58" s="24"/>
      <c r="L58" s="24">
        <v>42846</v>
      </c>
      <c r="M58" s="18" t="s">
        <v>49</v>
      </c>
      <c r="N58" s="19"/>
      <c r="O58" s="3">
        <v>23</v>
      </c>
      <c r="P58" s="31"/>
      <c r="Q58" s="26">
        <v>15700</v>
      </c>
      <c r="R58" s="3">
        <f t="shared" si="74"/>
        <v>8450</v>
      </c>
      <c r="S58" s="27">
        <f t="shared" si="75"/>
        <v>-5200</v>
      </c>
      <c r="T58" s="27">
        <f>X58*F58*0.0045</f>
        <v>2047.7523296915163</v>
      </c>
      <c r="U58" s="3">
        <f>E58*5</f>
        <v>650</v>
      </c>
      <c r="V58" s="19"/>
      <c r="W58" s="3">
        <v>0.2</v>
      </c>
      <c r="X58" s="3">
        <f>((O58*F58)+Q58+R58+S58+U58)/G58</f>
        <v>30.799057412167951</v>
      </c>
      <c r="Y58" s="3">
        <f t="shared" si="76"/>
        <v>31.17452890571478</v>
      </c>
      <c r="Z58" s="29">
        <f t="shared" si="77"/>
        <v>363806.75232969149</v>
      </c>
      <c r="AA58" s="30">
        <v>42859</v>
      </c>
    </row>
    <row r="59" spans="1:27" s="22" customFormat="1" x14ac:dyDescent="0.25">
      <c r="A59" s="49"/>
      <c r="B59" s="17" t="s">
        <v>92</v>
      </c>
      <c r="C59" s="19" t="s">
        <v>93</v>
      </c>
      <c r="D59" s="18" t="s">
        <v>94</v>
      </c>
      <c r="E59" s="19" t="s">
        <v>95</v>
      </c>
      <c r="F59" s="20">
        <v>1000</v>
      </c>
      <c r="G59" s="21">
        <v>1000</v>
      </c>
      <c r="H59" s="21">
        <f t="shared" ref="H59:H60" si="78">G59-F59</f>
        <v>0</v>
      </c>
      <c r="I59" s="18" t="s">
        <v>275</v>
      </c>
      <c r="J59" s="19"/>
      <c r="K59" s="24"/>
      <c r="L59" s="24">
        <v>42846</v>
      </c>
      <c r="M59" s="18" t="s">
        <v>49</v>
      </c>
      <c r="N59" s="19"/>
      <c r="O59" s="3">
        <v>39</v>
      </c>
      <c r="P59" s="31"/>
      <c r="Q59" s="3"/>
      <c r="R59" s="3"/>
      <c r="S59" s="27"/>
      <c r="T59" s="27"/>
      <c r="U59" s="3"/>
      <c r="V59" s="3"/>
      <c r="W59" s="3"/>
      <c r="X59" s="3">
        <f t="shared" ref="X59:X62" si="79">IF(O59&gt;0,O59,((P59*2.2046*S59)+(Q59+R59)/G59)+V59)</f>
        <v>39</v>
      </c>
      <c r="Y59" s="3">
        <f t="shared" ref="Y59:Y62" si="80">IF(O59&gt;0,O59,((P59*2.2046*S59)+(Q59+R59+T59)/G59)+V59+W59)</f>
        <v>39</v>
      </c>
      <c r="Z59" s="29">
        <f t="shared" ref="Z59:Z62" si="81">Y59*F59</f>
        <v>39000</v>
      </c>
      <c r="AA59" s="30">
        <v>42846</v>
      </c>
    </row>
    <row r="60" spans="1:27" s="22" customFormat="1" x14ac:dyDescent="0.25">
      <c r="A60" s="49"/>
      <c r="B60" s="17" t="s">
        <v>276</v>
      </c>
      <c r="C60" s="78" t="s">
        <v>277</v>
      </c>
      <c r="D60" s="18" t="s">
        <v>94</v>
      </c>
      <c r="E60" s="19" t="s">
        <v>278</v>
      </c>
      <c r="F60" s="20">
        <v>1003.34</v>
      </c>
      <c r="G60" s="21">
        <v>1003.34</v>
      </c>
      <c r="H60" s="21">
        <f t="shared" si="78"/>
        <v>0</v>
      </c>
      <c r="I60" s="18" t="s">
        <v>275</v>
      </c>
      <c r="J60" s="19"/>
      <c r="K60" s="24"/>
      <c r="L60" s="24">
        <v>42846</v>
      </c>
      <c r="M60" s="18" t="s">
        <v>49</v>
      </c>
      <c r="N60" s="19"/>
      <c r="O60" s="3">
        <v>52</v>
      </c>
      <c r="P60" s="31"/>
      <c r="Q60" s="3"/>
      <c r="R60" s="3"/>
      <c r="S60" s="27"/>
      <c r="T60" s="27"/>
      <c r="U60" s="3"/>
      <c r="V60" s="3"/>
      <c r="W60" s="3"/>
      <c r="X60" s="3">
        <f t="shared" si="79"/>
        <v>52</v>
      </c>
      <c r="Y60" s="3">
        <f t="shared" si="80"/>
        <v>52</v>
      </c>
      <c r="Z60" s="29">
        <f t="shared" si="81"/>
        <v>52173.68</v>
      </c>
      <c r="AA60" s="30">
        <v>42846</v>
      </c>
    </row>
    <row r="61" spans="1:27" s="22" customFormat="1" x14ac:dyDescent="0.25">
      <c r="A61" s="49"/>
      <c r="B61" s="17" t="s">
        <v>26</v>
      </c>
      <c r="C61" s="18" t="s">
        <v>33</v>
      </c>
      <c r="D61" s="18" t="s">
        <v>33</v>
      </c>
      <c r="E61" s="19" t="s">
        <v>34</v>
      </c>
      <c r="F61" s="20">
        <f>42852*0.4536</f>
        <v>19437.6672</v>
      </c>
      <c r="G61" s="21">
        <v>19408.38</v>
      </c>
      <c r="H61" s="21">
        <f t="shared" si="73"/>
        <v>-29.287199999998847</v>
      </c>
      <c r="I61" s="22" t="s">
        <v>279</v>
      </c>
      <c r="J61" s="23" t="s">
        <v>30</v>
      </c>
      <c r="K61" s="24">
        <v>42846</v>
      </c>
      <c r="L61" s="24">
        <v>42847</v>
      </c>
      <c r="M61" s="18" t="s">
        <v>98</v>
      </c>
      <c r="N61" s="18" t="s">
        <v>280</v>
      </c>
      <c r="O61" s="3"/>
      <c r="P61" s="25">
        <f>0.5957+0.105</f>
        <v>0.70069999999999999</v>
      </c>
      <c r="Q61" s="26">
        <v>23000</v>
      </c>
      <c r="R61" s="3">
        <v>9400</v>
      </c>
      <c r="S61" s="27">
        <v>18.579999999999998</v>
      </c>
      <c r="T61" s="27">
        <f t="shared" ref="T61" si="82">X61*F61*0.005</f>
        <v>2963.377582307483</v>
      </c>
      <c r="V61" s="3">
        <v>0.12</v>
      </c>
      <c r="W61" s="3">
        <v>0.3</v>
      </c>
      <c r="X61" s="3">
        <f t="shared" si="79"/>
        <v>30.49108261620492</v>
      </c>
      <c r="Y61" s="3">
        <f t="shared" si="80"/>
        <v>30.943768084147504</v>
      </c>
      <c r="Z61" s="29">
        <f t="shared" si="81"/>
        <v>601474.66593364079</v>
      </c>
      <c r="AA61" s="30">
        <v>42842</v>
      </c>
    </row>
    <row r="62" spans="1:27" s="73" customFormat="1" x14ac:dyDescent="0.25">
      <c r="A62" s="49"/>
      <c r="B62" s="17" t="s">
        <v>76</v>
      </c>
      <c r="C62" s="18" t="s">
        <v>33</v>
      </c>
      <c r="D62" s="18" t="s">
        <v>77</v>
      </c>
      <c r="E62" s="19" t="s">
        <v>218</v>
      </c>
      <c r="F62" s="20">
        <v>2756</v>
      </c>
      <c r="G62" s="21">
        <v>2756</v>
      </c>
      <c r="H62" s="21">
        <f t="shared" si="73"/>
        <v>0</v>
      </c>
      <c r="I62" s="18" t="s">
        <v>281</v>
      </c>
      <c r="J62" s="19"/>
      <c r="K62" s="24"/>
      <c r="L62" s="24">
        <v>42847</v>
      </c>
      <c r="M62" s="18" t="s">
        <v>98</v>
      </c>
      <c r="N62" s="18"/>
      <c r="O62" s="3">
        <v>19.8</v>
      </c>
      <c r="P62" s="25"/>
      <c r="Q62" s="3"/>
      <c r="R62" s="3"/>
      <c r="S62" s="27"/>
      <c r="T62" s="27"/>
      <c r="V62" s="3"/>
      <c r="W62" s="3"/>
      <c r="X62" s="3">
        <f t="shared" si="79"/>
        <v>19.8</v>
      </c>
      <c r="Y62" s="3">
        <f t="shared" si="80"/>
        <v>19.8</v>
      </c>
      <c r="Z62" s="29">
        <f t="shared" si="81"/>
        <v>54568.800000000003</v>
      </c>
      <c r="AA62" s="30">
        <v>42853</v>
      </c>
    </row>
    <row r="63" spans="1:27" s="22" customFormat="1" ht="15.75" thickBot="1" x14ac:dyDescent="0.3">
      <c r="A63" s="79"/>
      <c r="B63" s="34"/>
      <c r="C63" s="6"/>
      <c r="D63" s="6"/>
      <c r="E63" s="6"/>
      <c r="F63" s="35"/>
      <c r="G63" s="35"/>
      <c r="H63" s="35"/>
      <c r="I63" s="9"/>
      <c r="J63" s="6"/>
      <c r="K63" s="10"/>
      <c r="L63" s="10"/>
      <c r="M63" s="6"/>
      <c r="N63" s="6"/>
      <c r="O63" s="11"/>
      <c r="P63" s="12"/>
      <c r="Q63" s="11"/>
      <c r="R63" s="11"/>
      <c r="S63" s="11"/>
      <c r="T63" s="11"/>
      <c r="U63" s="11"/>
      <c r="V63" s="11"/>
      <c r="W63" s="11"/>
      <c r="X63" s="11"/>
      <c r="Y63" s="11"/>
      <c r="Z63" s="15"/>
      <c r="AA63" s="36"/>
    </row>
    <row r="64" spans="1:27" s="22" customFormat="1" x14ac:dyDescent="0.25">
      <c r="A64" s="80"/>
      <c r="B64" s="38" t="s">
        <v>41</v>
      </c>
      <c r="C64" s="38" t="s">
        <v>42</v>
      </c>
      <c r="D64" s="39" t="s">
        <v>43</v>
      </c>
      <c r="E64" s="38">
        <v>200</v>
      </c>
      <c r="F64" s="40">
        <v>23310</v>
      </c>
      <c r="G64" s="41">
        <v>18550</v>
      </c>
      <c r="H64" s="41">
        <f t="shared" ref="H64:H66" si="83">G64-F64</f>
        <v>-4760</v>
      </c>
      <c r="I64" s="39" t="s">
        <v>282</v>
      </c>
      <c r="J64" s="38"/>
      <c r="K64" s="42"/>
      <c r="L64" s="42">
        <v>42848</v>
      </c>
      <c r="M64" s="39" t="s">
        <v>57</v>
      </c>
      <c r="N64" s="38"/>
      <c r="O64" s="43">
        <v>23</v>
      </c>
      <c r="P64" s="44"/>
      <c r="Q64" s="45">
        <v>19800</v>
      </c>
      <c r="R64" s="3">
        <f t="shared" ref="R64:R66" si="84">65*E64</f>
        <v>13000</v>
      </c>
      <c r="S64" s="27">
        <f t="shared" ref="S64:S66" si="85">-40*E64</f>
        <v>-8000</v>
      </c>
      <c r="T64" s="46">
        <f>X64*F64*0.0045</f>
        <v>3177.555113207547</v>
      </c>
      <c r="U64" s="43">
        <f>E64*5</f>
        <v>1000</v>
      </c>
      <c r="V64" s="38"/>
      <c r="W64" s="43">
        <v>0.3</v>
      </c>
      <c r="X64" s="43">
        <f>((O64*F64)+Q64+R64+S64+U64)/G64</f>
        <v>30.292722371967656</v>
      </c>
      <c r="Y64" s="3">
        <f t="shared" ref="Y64:Y66" si="86">((O64*F64)+Q64+R64+S64+T64+U64)/G64+W64</f>
        <v>30.76401914356914</v>
      </c>
      <c r="Z64" s="47">
        <f>Y64*G64</f>
        <v>570672.55511320755</v>
      </c>
      <c r="AA64" s="48">
        <v>42863</v>
      </c>
    </row>
    <row r="65" spans="1:27" s="22" customFormat="1" x14ac:dyDescent="0.25">
      <c r="A65" s="81"/>
      <c r="B65" s="17" t="s">
        <v>41</v>
      </c>
      <c r="C65" s="19" t="s">
        <v>42</v>
      </c>
      <c r="D65" s="18" t="s">
        <v>51</v>
      </c>
      <c r="E65" s="19">
        <v>131</v>
      </c>
      <c r="F65" s="20">
        <v>14780</v>
      </c>
      <c r="G65" s="21">
        <v>12190</v>
      </c>
      <c r="H65" s="21">
        <f t="shared" si="83"/>
        <v>-2590</v>
      </c>
      <c r="I65" s="18" t="s">
        <v>283</v>
      </c>
      <c r="J65" s="19"/>
      <c r="K65" s="24"/>
      <c r="L65" s="24">
        <v>42848</v>
      </c>
      <c r="M65" s="18" t="s">
        <v>57</v>
      </c>
      <c r="N65" s="19"/>
      <c r="O65" s="3">
        <v>23</v>
      </c>
      <c r="P65" s="31"/>
      <c r="Q65" s="26">
        <v>15700</v>
      </c>
      <c r="R65" s="3">
        <f t="shared" si="84"/>
        <v>8515</v>
      </c>
      <c r="S65" s="27">
        <f t="shared" si="85"/>
        <v>-5240</v>
      </c>
      <c r="T65" s="27">
        <f>X65*F65*0.0045</f>
        <v>1961.8540360951597</v>
      </c>
      <c r="U65" s="3">
        <f>E65*5</f>
        <v>655</v>
      </c>
      <c r="V65" s="19"/>
      <c r="W65" s="3">
        <v>0.3</v>
      </c>
      <c r="X65" s="3">
        <f>((O65*F65)+Q65+R65+S65+U65)/G65</f>
        <v>29.49712879409352</v>
      </c>
      <c r="Y65" s="3">
        <f t="shared" si="86"/>
        <v>29.958068419696076</v>
      </c>
      <c r="Z65" s="29">
        <f>Y65*G65</f>
        <v>365188.85403609514</v>
      </c>
      <c r="AA65" s="30">
        <v>42863</v>
      </c>
    </row>
    <row r="66" spans="1:27" s="22" customFormat="1" x14ac:dyDescent="0.25">
      <c r="A66" s="81"/>
      <c r="B66" s="17" t="s">
        <v>41</v>
      </c>
      <c r="C66" s="19" t="s">
        <v>42</v>
      </c>
      <c r="D66" s="18" t="s">
        <v>58</v>
      </c>
      <c r="E66" s="19">
        <f>80+171</f>
        <v>251</v>
      </c>
      <c r="F66" s="20">
        <v>27655</v>
      </c>
      <c r="G66" s="21">
        <f>7010+14740</f>
        <v>21750</v>
      </c>
      <c r="H66" s="21">
        <f t="shared" si="83"/>
        <v>-5905</v>
      </c>
      <c r="I66" s="18" t="s">
        <v>284</v>
      </c>
      <c r="J66" s="19"/>
      <c r="K66" s="24"/>
      <c r="L66" s="24">
        <v>42849</v>
      </c>
      <c r="M66" s="18" t="s">
        <v>60</v>
      </c>
      <c r="N66" s="19"/>
      <c r="O66" s="3">
        <v>23</v>
      </c>
      <c r="P66" s="31"/>
      <c r="Q66" s="26">
        <v>19800</v>
      </c>
      <c r="R66" s="3">
        <f t="shared" si="84"/>
        <v>16315</v>
      </c>
      <c r="S66" s="27">
        <f t="shared" si="85"/>
        <v>-10040</v>
      </c>
      <c r="T66" s="27">
        <f>X66*F66*0.0045</f>
        <v>3795.7631844827579</v>
      </c>
      <c r="U66" s="3">
        <f>E66*5</f>
        <v>1255</v>
      </c>
      <c r="V66" s="19"/>
      <c r="W66" s="3">
        <v>0.3</v>
      </c>
      <c r="X66" s="3">
        <f>((O66*F66)+Q66+R66+S66+U66)/G66</f>
        <v>30.500919540229884</v>
      </c>
      <c r="Y66" s="3">
        <f t="shared" si="86"/>
        <v>30.975437387792315</v>
      </c>
      <c r="Z66" s="29">
        <f>Y66*G66</f>
        <v>673715.76318448281</v>
      </c>
      <c r="AA66" s="30">
        <v>42863</v>
      </c>
    </row>
    <row r="67" spans="1:27" s="22" customFormat="1" x14ac:dyDescent="0.25">
      <c r="A67" s="81"/>
      <c r="B67" s="17" t="s">
        <v>26</v>
      </c>
      <c r="C67" s="18" t="s">
        <v>27</v>
      </c>
      <c r="D67" s="18" t="s">
        <v>27</v>
      </c>
      <c r="E67" s="19" t="s">
        <v>34</v>
      </c>
      <c r="F67" s="20">
        <f>41252*0.4536</f>
        <v>18711.907200000001</v>
      </c>
      <c r="G67" s="21">
        <v>18733.37</v>
      </c>
      <c r="H67" s="21">
        <f>G67-F67</f>
        <v>21.462799999997515</v>
      </c>
      <c r="I67" s="22" t="s">
        <v>285</v>
      </c>
      <c r="J67" s="23" t="s">
        <v>30</v>
      </c>
      <c r="K67" s="24">
        <v>42849</v>
      </c>
      <c r="L67" s="24">
        <v>42850</v>
      </c>
      <c r="M67" s="18" t="s">
        <v>62</v>
      </c>
      <c r="N67" s="18" t="s">
        <v>286</v>
      </c>
      <c r="O67" s="3"/>
      <c r="P67" s="25">
        <f>0.6193+0.1</f>
        <v>0.71929999999999994</v>
      </c>
      <c r="Q67" s="26">
        <v>23000</v>
      </c>
      <c r="R67" s="3">
        <v>9400</v>
      </c>
      <c r="S67" s="27">
        <v>18.8</v>
      </c>
      <c r="T67" s="27">
        <f>X67*F67*0.005</f>
        <v>2962.2808167999456</v>
      </c>
      <c r="V67" s="3">
        <v>0.12</v>
      </c>
      <c r="W67" s="3">
        <v>0.3</v>
      </c>
      <c r="X67" s="3">
        <f>IF(O67&gt;0,O67,((P67*2.2046*S67)+(Q67+R67)/G67)+V67)</f>
        <v>31.661987045339185</v>
      </c>
      <c r="Y67" s="3">
        <f t="shared" ref="Y67:Y68" si="87">IF(O67&gt;0,O67,((P67*2.2046*S67)+(Q67+R67+T67)/G67)+V67+W67)</f>
        <v>32.120115605059077</v>
      </c>
      <c r="Z67" s="29">
        <f>Y67*F67</f>
        <v>601028.62245513732</v>
      </c>
      <c r="AA67" s="30">
        <v>42860</v>
      </c>
    </row>
    <row r="68" spans="1:27" s="22" customFormat="1" x14ac:dyDescent="0.25">
      <c r="A68" s="81"/>
      <c r="B68" s="17" t="s">
        <v>26</v>
      </c>
      <c r="C68" s="18" t="s">
        <v>37</v>
      </c>
      <c r="D68" s="18" t="s">
        <v>37</v>
      </c>
      <c r="E68" s="19" t="s">
        <v>28</v>
      </c>
      <c r="F68" s="20">
        <f>41529*0.4536</f>
        <v>18837.554400000001</v>
      </c>
      <c r="G68" s="21">
        <v>18845.54</v>
      </c>
      <c r="H68" s="21">
        <f>G68-F68</f>
        <v>7.9855999999999767</v>
      </c>
      <c r="I68" s="22" t="s">
        <v>287</v>
      </c>
      <c r="J68" s="23" t="s">
        <v>30</v>
      </c>
      <c r="K68" s="24">
        <v>42849</v>
      </c>
      <c r="L68" s="24">
        <v>42850</v>
      </c>
      <c r="M68" s="18" t="s">
        <v>62</v>
      </c>
      <c r="N68" s="18" t="s">
        <v>288</v>
      </c>
      <c r="O68" s="3"/>
      <c r="P68" s="25">
        <f>0.6109+0.095</f>
        <v>0.70589999999999997</v>
      </c>
      <c r="Q68" s="26">
        <v>23000</v>
      </c>
      <c r="R68" s="3">
        <v>9400</v>
      </c>
      <c r="S68" s="27">
        <v>18.52</v>
      </c>
      <c r="T68" s="27">
        <f>X68*F68*0.005</f>
        <v>2887.8504284660885</v>
      </c>
      <c r="V68" s="3">
        <v>0.12</v>
      </c>
      <c r="W68" s="3">
        <v>0.3</v>
      </c>
      <c r="X68" s="3">
        <f t="shared" ref="X68" si="88">IF(O68&gt;0,O68,((P68*2.2046*S68)+(Q68+R68)/G68)+V68)</f>
        <v>30.660566304361549</v>
      </c>
      <c r="Y68" s="3">
        <f t="shared" si="87"/>
        <v>31.113804175415716</v>
      </c>
      <c r="Z68" s="29">
        <f t="shared" ref="Z68" si="89">Y68*F68</f>
        <v>586107.97874534072</v>
      </c>
      <c r="AA68" s="30">
        <v>42843</v>
      </c>
    </row>
    <row r="69" spans="1:27" s="22" customFormat="1" x14ac:dyDescent="0.25">
      <c r="A69" s="81"/>
      <c r="B69" s="17" t="s">
        <v>41</v>
      </c>
      <c r="C69" s="19" t="s">
        <v>42</v>
      </c>
      <c r="D69" s="18" t="s">
        <v>43</v>
      </c>
      <c r="E69" s="19">
        <v>250</v>
      </c>
      <c r="F69" s="20">
        <v>29390</v>
      </c>
      <c r="G69" s="21">
        <f>10290+13160</f>
        <v>23450</v>
      </c>
      <c r="H69" s="21">
        <f>G69-F69</f>
        <v>-5940</v>
      </c>
      <c r="I69" s="18" t="s">
        <v>289</v>
      </c>
      <c r="J69" s="65">
        <v>248</v>
      </c>
      <c r="K69" s="24"/>
      <c r="L69" s="24">
        <v>42850</v>
      </c>
      <c r="M69" s="18" t="s">
        <v>62</v>
      </c>
      <c r="N69" s="19"/>
      <c r="O69" s="3">
        <v>23</v>
      </c>
      <c r="P69" s="31"/>
      <c r="Q69" s="33">
        <v>19800</v>
      </c>
      <c r="R69" s="3">
        <f>65*E69</f>
        <v>16250</v>
      </c>
      <c r="S69" s="27">
        <f t="shared" ref="S69" si="90">-40*E69</f>
        <v>-10000</v>
      </c>
      <c r="T69" s="27">
        <f t="shared" ref="T69" si="91">X69*F69*0.005</f>
        <v>4407.0586993603411</v>
      </c>
      <c r="U69" s="3">
        <f>E69*5</f>
        <v>1250</v>
      </c>
      <c r="V69" s="19"/>
      <c r="W69" s="3">
        <v>0.3</v>
      </c>
      <c r="X69" s="3">
        <f>((O69*F69)+Q69+R69+S69+U69)/G69</f>
        <v>29.990191897654583</v>
      </c>
      <c r="Y69" s="3">
        <f>((O69*F69)+Q69+R69+S69+T69+U69)/G69+W69</f>
        <v>30.478126170548418</v>
      </c>
      <c r="Z69" s="29">
        <f>Y69*G69</f>
        <v>714712.05869936035</v>
      </c>
      <c r="AA69" s="30">
        <v>42863</v>
      </c>
    </row>
    <row r="70" spans="1:27" s="22" customFormat="1" x14ac:dyDescent="0.25">
      <c r="A70" s="81"/>
      <c r="B70" s="17" t="s">
        <v>26</v>
      </c>
      <c r="C70" s="18" t="s">
        <v>37</v>
      </c>
      <c r="D70" s="18" t="s">
        <v>37</v>
      </c>
      <c r="E70" s="19" t="s">
        <v>28</v>
      </c>
      <c r="F70" s="20">
        <f>41640*0.4536</f>
        <v>18887.903999999999</v>
      </c>
      <c r="G70" s="21">
        <v>18836.419999999998</v>
      </c>
      <c r="H70" s="21">
        <f>G70-F70</f>
        <v>-51.484000000000378</v>
      </c>
      <c r="I70" s="22" t="s">
        <v>290</v>
      </c>
      <c r="J70" s="23" t="s">
        <v>39</v>
      </c>
      <c r="K70" s="24">
        <v>42850</v>
      </c>
      <c r="L70" s="24">
        <v>42851</v>
      </c>
      <c r="M70" s="18" t="s">
        <v>31</v>
      </c>
      <c r="N70" s="18" t="s">
        <v>291</v>
      </c>
      <c r="O70" s="3"/>
      <c r="P70" s="25">
        <f>0.6193+0.095</f>
        <v>0.71429999999999993</v>
      </c>
      <c r="Q70" s="26">
        <v>23000</v>
      </c>
      <c r="R70" s="3">
        <v>9400</v>
      </c>
      <c r="S70" s="51">
        <v>18.523</v>
      </c>
      <c r="T70" s="27">
        <f>X70*F70*0.005</f>
        <v>2928.4834010982026</v>
      </c>
      <c r="V70" s="3">
        <v>0.12</v>
      </c>
      <c r="W70" s="3">
        <v>0.3</v>
      </c>
      <c r="X70" s="3">
        <f t="shared" ref="X70:X71" si="92">IF(O70&gt;0,O70,((P70*2.2046*S70)+(Q70+R70)/G70)+V70)</f>
        <v>31.009088156083411</v>
      </c>
      <c r="Y70" s="3">
        <f t="shared" ref="Y70:Y71" si="93">IF(O70&gt;0,O70,((P70*2.2046*S70)+(Q70+R70+T70)/G70)+V70+W70)</f>
        <v>31.464557369506039</v>
      </c>
      <c r="Z70" s="29">
        <f t="shared" ref="Z70:Z71" si="94">Y70*F70</f>
        <v>594299.53899772256</v>
      </c>
      <c r="AA70" s="30">
        <v>42844</v>
      </c>
    </row>
    <row r="71" spans="1:27" s="22" customFormat="1" x14ac:dyDescent="0.25">
      <c r="A71" s="81"/>
      <c r="B71" s="17" t="s">
        <v>26</v>
      </c>
      <c r="C71" s="18" t="s">
        <v>33</v>
      </c>
      <c r="D71" s="18" t="s">
        <v>33</v>
      </c>
      <c r="E71" s="19" t="s">
        <v>34</v>
      </c>
      <c r="F71" s="20">
        <f>42282*0.4536</f>
        <v>19179.1152</v>
      </c>
      <c r="G71" s="21">
        <v>19060.98</v>
      </c>
      <c r="H71" s="21">
        <f>G71-F71</f>
        <v>-118.13520000000062</v>
      </c>
      <c r="I71" s="22" t="s">
        <v>292</v>
      </c>
      <c r="J71" s="23" t="s">
        <v>30</v>
      </c>
      <c r="K71" s="24">
        <v>42851</v>
      </c>
      <c r="L71" s="24">
        <v>42852</v>
      </c>
      <c r="M71" s="18" t="s">
        <v>47</v>
      </c>
      <c r="N71" s="18" t="s">
        <v>293</v>
      </c>
      <c r="O71" s="3"/>
      <c r="P71" s="25">
        <v>0.72499999999999998</v>
      </c>
      <c r="Q71" s="26">
        <v>23000</v>
      </c>
      <c r="R71" s="3">
        <v>9400</v>
      </c>
      <c r="S71" s="51">
        <v>18.824999999999999</v>
      </c>
      <c r="T71" s="27">
        <f>X71*F71*0.005</f>
        <v>3059.8805388619285</v>
      </c>
      <c r="V71" s="3">
        <v>0.12</v>
      </c>
      <c r="W71" s="3">
        <v>0.3</v>
      </c>
      <c r="X71" s="3">
        <f t="shared" si="92"/>
        <v>31.908464044909941</v>
      </c>
      <c r="Y71" s="3">
        <f t="shared" si="93"/>
        <v>32.368995168643444</v>
      </c>
      <c r="Z71" s="29">
        <f t="shared" si="94"/>
        <v>620808.68724765605</v>
      </c>
      <c r="AA71" s="30">
        <v>42845</v>
      </c>
    </row>
    <row r="72" spans="1:27" s="22" customFormat="1" x14ac:dyDescent="0.25">
      <c r="A72" s="81"/>
      <c r="B72" s="17" t="s">
        <v>41</v>
      </c>
      <c r="C72" s="19" t="s">
        <v>42</v>
      </c>
      <c r="D72" s="18" t="s">
        <v>228</v>
      </c>
      <c r="E72" s="19">
        <v>250</v>
      </c>
      <c r="F72" s="20">
        <v>27250</v>
      </c>
      <c r="G72" s="21">
        <v>21790</v>
      </c>
      <c r="H72" s="21">
        <f t="shared" ref="H72:H73" si="95">G72-F72</f>
        <v>-5460</v>
      </c>
      <c r="I72" s="22" t="s">
        <v>294</v>
      </c>
      <c r="J72" s="19"/>
      <c r="K72" s="24"/>
      <c r="L72" s="24">
        <v>42852</v>
      </c>
      <c r="M72" s="18" t="s">
        <v>47</v>
      </c>
      <c r="N72" s="19"/>
      <c r="O72" s="3">
        <v>23</v>
      </c>
      <c r="P72" s="31"/>
      <c r="Q72" s="33">
        <v>19800</v>
      </c>
      <c r="R72" s="3">
        <f t="shared" ref="R72:R73" si="96">65*E72</f>
        <v>16250</v>
      </c>
      <c r="S72" s="27">
        <f t="shared" ref="S72:S73" si="97">-40*E72</f>
        <v>-10000</v>
      </c>
      <c r="T72" s="27">
        <f t="shared" ref="T72:T73" si="98">X72*F72*0.0045</f>
        <v>3680.7196535107842</v>
      </c>
      <c r="U72" s="3">
        <f t="shared" ref="U72:U73" si="99">E72*5</f>
        <v>1250</v>
      </c>
      <c r="V72" s="19"/>
      <c r="W72" s="3">
        <v>0.3</v>
      </c>
      <c r="X72" s="3">
        <f t="shared" ref="X72:X73" si="100">((O72*F72)+Q72+R72+S72+U72)/G72</f>
        <v>30.016062413951353</v>
      </c>
      <c r="Y72" s="3">
        <f t="shared" ref="Y72:Y73" si="101">((O72*F72)+Q72+R72+S72+T72+U72)/G72+W72</f>
        <v>30.484980250275854</v>
      </c>
      <c r="Z72" s="29">
        <f t="shared" ref="Z72:Z73" si="102">Y72*G72</f>
        <v>664267.71965351084</v>
      </c>
      <c r="AA72" s="30">
        <v>42865</v>
      </c>
    </row>
    <row r="73" spans="1:27" s="22" customFormat="1" x14ac:dyDescent="0.25">
      <c r="A73" s="81"/>
      <c r="B73" s="17" t="s">
        <v>41</v>
      </c>
      <c r="C73" s="19" t="s">
        <v>42</v>
      </c>
      <c r="D73" s="18" t="s">
        <v>295</v>
      </c>
      <c r="E73" s="19">
        <v>130</v>
      </c>
      <c r="F73" s="20">
        <v>15970</v>
      </c>
      <c r="G73" s="21">
        <v>11900</v>
      </c>
      <c r="H73" s="21">
        <f t="shared" si="95"/>
        <v>-4070</v>
      </c>
      <c r="I73" s="22" t="s">
        <v>296</v>
      </c>
      <c r="J73" s="19"/>
      <c r="K73" s="24"/>
      <c r="L73" s="24">
        <v>42852</v>
      </c>
      <c r="M73" s="18" t="s">
        <v>47</v>
      </c>
      <c r="N73" s="19"/>
      <c r="O73" s="3">
        <v>23</v>
      </c>
      <c r="P73" s="31"/>
      <c r="Q73" s="26">
        <v>15700</v>
      </c>
      <c r="R73" s="3">
        <f t="shared" si="96"/>
        <v>8450</v>
      </c>
      <c r="S73" s="27">
        <f t="shared" si="97"/>
        <v>-5200</v>
      </c>
      <c r="T73" s="27">
        <f t="shared" si="98"/>
        <v>2336.5787521008401</v>
      </c>
      <c r="U73" s="3">
        <f t="shared" si="99"/>
        <v>650</v>
      </c>
      <c r="V73" s="19"/>
      <c r="W73" s="3">
        <v>0.3</v>
      </c>
      <c r="X73" s="3">
        <f t="shared" si="100"/>
        <v>32.51344537815126</v>
      </c>
      <c r="Y73" s="3">
        <f t="shared" si="101"/>
        <v>33.009796533789981</v>
      </c>
      <c r="Z73" s="29">
        <f t="shared" si="102"/>
        <v>392816.57875210076</v>
      </c>
      <c r="AA73" s="30">
        <v>42865</v>
      </c>
    </row>
    <row r="74" spans="1:27" s="22" customFormat="1" x14ac:dyDescent="0.25">
      <c r="A74" s="81"/>
      <c r="B74" s="17" t="s">
        <v>26</v>
      </c>
      <c r="C74" s="18" t="s">
        <v>27</v>
      </c>
      <c r="D74" s="18" t="s">
        <v>27</v>
      </c>
      <c r="E74" s="19" t="s">
        <v>34</v>
      </c>
      <c r="F74" s="20">
        <f>41441*0.4536</f>
        <v>18797.637600000002</v>
      </c>
      <c r="G74" s="21">
        <v>18764.75</v>
      </c>
      <c r="H74" s="21">
        <f>G74-F74</f>
        <v>-32.887600000001839</v>
      </c>
      <c r="I74" s="22" t="s">
        <v>297</v>
      </c>
      <c r="J74" s="23" t="s">
        <v>30</v>
      </c>
      <c r="K74" s="24">
        <v>42852</v>
      </c>
      <c r="L74" s="24">
        <v>42853</v>
      </c>
      <c r="M74" s="18" t="s">
        <v>49</v>
      </c>
      <c r="N74" s="18" t="s">
        <v>298</v>
      </c>
      <c r="O74" s="3"/>
      <c r="P74" s="25">
        <f>0.6199+0.1</f>
        <v>0.71989999999999998</v>
      </c>
      <c r="Q74" s="26">
        <v>23000</v>
      </c>
      <c r="R74" s="3">
        <v>9400</v>
      </c>
      <c r="S74" s="27">
        <v>19.170000000000002</v>
      </c>
      <c r="T74" s="27">
        <f>X74*F74*0.005</f>
        <v>3033.1103465950314</v>
      </c>
      <c r="V74" s="3">
        <v>0.12</v>
      </c>
      <c r="W74" s="3">
        <v>0.3</v>
      </c>
      <c r="X74" s="3">
        <f t="shared" ref="X74:X75" si="103">IF(O74&gt;0,O74,((P74*2.2046*S74)+(Q74+R74)/G74)+V74)</f>
        <v>32.27118653032263</v>
      </c>
      <c r="Y74" s="3">
        <f t="shared" ref="Y74:Y75" si="104">IF(O74&gt;0,O74,((P74*2.2046*S74)+(Q74+R74+T74)/G74)+V74+W74)</f>
        <v>32.732825259673938</v>
      </c>
      <c r="Z74" s="29">
        <f t="shared" ref="Z74:Z75" si="105">Y74*F74</f>
        <v>615299.78685547668</v>
      </c>
      <c r="AA74" s="30">
        <v>42864</v>
      </c>
    </row>
    <row r="75" spans="1:27" s="22" customFormat="1" x14ac:dyDescent="0.25">
      <c r="A75" s="81"/>
      <c r="B75" s="17" t="s">
        <v>26</v>
      </c>
      <c r="C75" s="18" t="s">
        <v>37</v>
      </c>
      <c r="D75" s="18" t="s">
        <v>37</v>
      </c>
      <c r="E75" s="19" t="s">
        <v>28</v>
      </c>
      <c r="F75" s="20">
        <f>42079*0.4536</f>
        <v>19087.0344</v>
      </c>
      <c r="G75" s="21">
        <v>19072.86</v>
      </c>
      <c r="H75" s="21">
        <f>G75-F75</f>
        <v>-14.174399999999878</v>
      </c>
      <c r="I75" s="22" t="s">
        <v>299</v>
      </c>
      <c r="J75" s="23" t="s">
        <v>30</v>
      </c>
      <c r="K75" s="24">
        <v>42852</v>
      </c>
      <c r="L75" s="24">
        <v>42853</v>
      </c>
      <c r="M75" s="18" t="s">
        <v>49</v>
      </c>
      <c r="N75" s="18" t="s">
        <v>300</v>
      </c>
      <c r="O75" s="3"/>
      <c r="P75" s="25">
        <f>0.6281+0.095</f>
        <v>0.72309999999999997</v>
      </c>
      <c r="Q75" s="26">
        <v>23000</v>
      </c>
      <c r="R75" s="3">
        <v>9400</v>
      </c>
      <c r="S75" s="51">
        <v>18.824999999999999</v>
      </c>
      <c r="T75" s="27">
        <f>X75*F75*0.005</f>
        <v>3037.5633582407786</v>
      </c>
      <c r="V75" s="3">
        <v>0.12</v>
      </c>
      <c r="W75" s="3">
        <v>0.3</v>
      </c>
      <c r="X75" s="3">
        <f t="shared" si="103"/>
        <v>31.828552247391332</v>
      </c>
      <c r="Y75" s="3">
        <f t="shared" si="104"/>
        <v>32.287813278943013</v>
      </c>
      <c r="Z75" s="29">
        <f t="shared" si="105"/>
        <v>616278.60275596206</v>
      </c>
      <c r="AA75" s="30">
        <v>42846</v>
      </c>
    </row>
    <row r="76" spans="1:27" s="22" customFormat="1" x14ac:dyDescent="0.25">
      <c r="A76" s="81"/>
      <c r="B76" s="17" t="s">
        <v>41</v>
      </c>
      <c r="C76" s="19" t="s">
        <v>42</v>
      </c>
      <c r="D76" s="18" t="s">
        <v>43</v>
      </c>
      <c r="E76" s="19">
        <f>230</f>
        <v>230</v>
      </c>
      <c r="F76" s="20">
        <f>28630</f>
        <v>28630</v>
      </c>
      <c r="G76" s="21">
        <f>19970</f>
        <v>19970</v>
      </c>
      <c r="H76" s="21">
        <f t="shared" ref="H76:H81" si="106">G76-F76</f>
        <v>-8660</v>
      </c>
      <c r="I76" s="22" t="s">
        <v>301</v>
      </c>
      <c r="J76" s="19">
        <v>200</v>
      </c>
      <c r="K76" s="24"/>
      <c r="L76" s="24">
        <v>42853</v>
      </c>
      <c r="M76" s="18" t="s">
        <v>49</v>
      </c>
      <c r="N76" s="19"/>
      <c r="O76" s="3">
        <v>23</v>
      </c>
      <c r="P76" s="31"/>
      <c r="Q76" s="26">
        <f>19800</f>
        <v>19800</v>
      </c>
      <c r="R76" s="3">
        <f t="shared" ref="R76:R77" si="107">65*E76</f>
        <v>14950</v>
      </c>
      <c r="S76" s="27">
        <f t="shared" ref="S76:S77" si="108">-40*E76</f>
        <v>-9200</v>
      </c>
      <c r="T76" s="27">
        <f>X76*F76*0.0045</f>
        <v>4420.4533625438153</v>
      </c>
      <c r="U76" s="3">
        <f>E76*5</f>
        <v>1150</v>
      </c>
      <c r="V76" s="19"/>
      <c r="W76" s="3">
        <v>0.3</v>
      </c>
      <c r="X76" s="3">
        <f>((O76*F76)+Q76+R76+S76+U76)/G76</f>
        <v>34.31096644967451</v>
      </c>
      <c r="Y76" s="3">
        <f t="shared" ref="Y76:Y77" si="109">((O76*F76)+Q76+R76+S76+T76+U76)/G76+W76</f>
        <v>34.832321149851964</v>
      </c>
      <c r="Z76" s="29">
        <f t="shared" ref="Z76:Z77" si="110">Y76*G76</f>
        <v>695601.45336254372</v>
      </c>
      <c r="AA76" s="30">
        <v>42866</v>
      </c>
    </row>
    <row r="77" spans="1:27" s="22" customFormat="1" x14ac:dyDescent="0.25">
      <c r="A77" s="81"/>
      <c r="B77" s="17" t="s">
        <v>41</v>
      </c>
      <c r="C77" s="19" t="s">
        <v>42</v>
      </c>
      <c r="D77" s="18" t="s">
        <v>228</v>
      </c>
      <c r="E77" s="19">
        <v>100</v>
      </c>
      <c r="F77" s="20">
        <v>10975</v>
      </c>
      <c r="G77" s="21">
        <v>12000</v>
      </c>
      <c r="H77" s="21">
        <f t="shared" si="106"/>
        <v>1025</v>
      </c>
      <c r="I77" s="18" t="s">
        <v>302</v>
      </c>
      <c r="J77" s="19">
        <v>130</v>
      </c>
      <c r="K77" s="24"/>
      <c r="L77" s="24">
        <v>42853</v>
      </c>
      <c r="M77" s="18" t="s">
        <v>49</v>
      </c>
      <c r="N77" s="19"/>
      <c r="O77" s="3">
        <v>23</v>
      </c>
      <c r="P77" s="31"/>
      <c r="Q77" s="26">
        <v>15700</v>
      </c>
      <c r="R77" s="3">
        <f t="shared" si="107"/>
        <v>6500</v>
      </c>
      <c r="S77" s="27">
        <f t="shared" si="108"/>
        <v>-4000</v>
      </c>
      <c r="T77" s="27">
        <f>X77*F77*0.0045</f>
        <v>1115.848828125</v>
      </c>
      <c r="U77" s="3">
        <f>E77*5</f>
        <v>500</v>
      </c>
      <c r="V77" s="19"/>
      <c r="W77" s="3">
        <v>0.3</v>
      </c>
      <c r="X77" s="3">
        <f>((O77*F77)+Q77+R77+S77+U77)/G77</f>
        <v>22.59375</v>
      </c>
      <c r="Y77" s="3">
        <f t="shared" si="109"/>
        <v>22.986737402343749</v>
      </c>
      <c r="Z77" s="29">
        <f t="shared" si="110"/>
        <v>275840.84882812499</v>
      </c>
      <c r="AA77" s="30">
        <v>42866</v>
      </c>
    </row>
    <row r="78" spans="1:27" s="22" customFormat="1" x14ac:dyDescent="0.25">
      <c r="A78" s="81"/>
      <c r="B78" s="17" t="s">
        <v>26</v>
      </c>
      <c r="C78" s="18" t="s">
        <v>33</v>
      </c>
      <c r="D78" s="18" t="s">
        <v>33</v>
      </c>
      <c r="E78" s="19" t="s">
        <v>34</v>
      </c>
      <c r="F78" s="20">
        <f>40622*0.4536</f>
        <v>18426.139200000001</v>
      </c>
      <c r="G78" s="21">
        <v>18426.439999999999</v>
      </c>
      <c r="H78" s="21">
        <f t="shared" si="106"/>
        <v>0.3007999999972526</v>
      </c>
      <c r="I78" s="22" t="s">
        <v>303</v>
      </c>
      <c r="J78" s="23" t="s">
        <v>30</v>
      </c>
      <c r="K78" s="24">
        <v>42854</v>
      </c>
      <c r="L78" s="24">
        <v>42854</v>
      </c>
      <c r="M78" s="18" t="s">
        <v>98</v>
      </c>
      <c r="N78" s="18" t="s">
        <v>304</v>
      </c>
      <c r="O78" s="3"/>
      <c r="P78" s="25">
        <f>0.6324+0.105</f>
        <v>0.73739999999999994</v>
      </c>
      <c r="Q78" s="26">
        <v>23000</v>
      </c>
      <c r="R78" s="3">
        <v>9400</v>
      </c>
      <c r="S78" s="27">
        <v>18.66</v>
      </c>
      <c r="T78" s="27">
        <f t="shared" ref="T78" si="111">X78*F78*0.005</f>
        <v>2967.8414119037316</v>
      </c>
      <c r="V78" s="3">
        <v>0.12</v>
      </c>
      <c r="W78" s="3">
        <v>0.3</v>
      </c>
      <c r="X78" s="3">
        <f t="shared" ref="X78:X81" si="112">IF(O78&gt;0,O78,((P78*2.2046*S78)+(Q78+R78)/G78)+V78)</f>
        <v>32.213383169315591</v>
      </c>
      <c r="Y78" s="3">
        <f t="shared" ref="Y78:Y81" si="113">IF(O78&gt;0,O78,((P78*2.2046*S78)+(Q78+R78+T78)/G78)+V78+W78)</f>
        <v>32.674447455846447</v>
      </c>
      <c r="Z78" s="29">
        <f t="shared" ref="Z78:Z81" si="114">Y78*F78</f>
        <v>602063.91710451257</v>
      </c>
      <c r="AA78" s="30">
        <v>42849</v>
      </c>
    </row>
    <row r="79" spans="1:27" s="22" customFormat="1" x14ac:dyDescent="0.25">
      <c r="A79" s="81"/>
      <c r="B79" s="17" t="s">
        <v>76</v>
      </c>
      <c r="C79" s="18" t="s">
        <v>33</v>
      </c>
      <c r="D79" s="18" t="s">
        <v>77</v>
      </c>
      <c r="E79" s="19" t="s">
        <v>218</v>
      </c>
      <c r="F79" s="20">
        <v>2653.6</v>
      </c>
      <c r="G79" s="21">
        <v>2635.6</v>
      </c>
      <c r="H79" s="21">
        <f t="shared" si="106"/>
        <v>-18</v>
      </c>
      <c r="I79" s="22" t="s">
        <v>305</v>
      </c>
      <c r="J79" s="19"/>
      <c r="K79" s="24"/>
      <c r="L79" s="24">
        <v>42854</v>
      </c>
      <c r="M79" s="18" t="s">
        <v>98</v>
      </c>
      <c r="N79" s="18"/>
      <c r="O79" s="3">
        <v>19.8</v>
      </c>
      <c r="P79" s="25"/>
      <c r="Q79" s="3"/>
      <c r="R79" s="3"/>
      <c r="S79" s="27"/>
      <c r="T79" s="27"/>
      <c r="V79" s="3"/>
      <c r="W79" s="3"/>
      <c r="X79" s="3">
        <f t="shared" si="112"/>
        <v>19.8</v>
      </c>
      <c r="Y79" s="3">
        <f t="shared" si="113"/>
        <v>19.8</v>
      </c>
      <c r="Z79" s="29">
        <f t="shared" si="114"/>
        <v>52541.279999999999</v>
      </c>
      <c r="AA79" s="30">
        <v>42860</v>
      </c>
    </row>
    <row r="80" spans="1:27" s="22" customFormat="1" x14ac:dyDescent="0.25">
      <c r="A80" s="81"/>
      <c r="B80" s="17" t="s">
        <v>306</v>
      </c>
      <c r="C80" s="18" t="s">
        <v>159</v>
      </c>
      <c r="D80" s="18" t="s">
        <v>89</v>
      </c>
      <c r="E80" s="19" t="s">
        <v>160</v>
      </c>
      <c r="F80" s="20">
        <v>18506.554</v>
      </c>
      <c r="G80" s="21">
        <v>18506.554</v>
      </c>
      <c r="H80" s="21">
        <f t="shared" si="106"/>
        <v>0</v>
      </c>
      <c r="I80" s="22" t="s">
        <v>307</v>
      </c>
      <c r="J80" s="19"/>
      <c r="K80" s="24"/>
      <c r="L80" s="24">
        <v>42854</v>
      </c>
      <c r="M80" s="18" t="s">
        <v>98</v>
      </c>
      <c r="N80" s="18"/>
      <c r="O80" s="3">
        <v>32.200000000000003</v>
      </c>
      <c r="P80" s="25"/>
      <c r="Q80" s="3"/>
      <c r="R80" s="3"/>
      <c r="S80" s="27"/>
      <c r="T80" s="27"/>
      <c r="V80" s="3"/>
      <c r="W80" s="3"/>
      <c r="X80" s="3">
        <f t="shared" si="112"/>
        <v>32.200000000000003</v>
      </c>
      <c r="Y80" s="3">
        <f t="shared" si="113"/>
        <v>32.200000000000003</v>
      </c>
      <c r="Z80" s="29">
        <f t="shared" si="114"/>
        <v>595911.0388000001</v>
      </c>
      <c r="AA80" s="30">
        <v>42872</v>
      </c>
    </row>
    <row r="81" spans="1:27" s="22" customFormat="1" x14ac:dyDescent="0.25">
      <c r="A81" s="81"/>
      <c r="B81" s="17" t="s">
        <v>308</v>
      </c>
      <c r="C81" s="18" t="s">
        <v>309</v>
      </c>
      <c r="D81" s="18" t="s">
        <v>89</v>
      </c>
      <c r="E81" s="19" t="s">
        <v>310</v>
      </c>
      <c r="F81" s="20">
        <v>16639.569</v>
      </c>
      <c r="G81" s="21">
        <v>16639.66</v>
      </c>
      <c r="H81" s="21">
        <f t="shared" si="106"/>
        <v>9.1000000000349246E-2</v>
      </c>
      <c r="I81" s="22" t="s">
        <v>311</v>
      </c>
      <c r="J81" s="19"/>
      <c r="K81" s="24"/>
      <c r="L81" s="24">
        <v>42854</v>
      </c>
      <c r="M81" s="18" t="s">
        <v>98</v>
      </c>
      <c r="N81" s="18"/>
      <c r="O81" s="3">
        <v>85</v>
      </c>
      <c r="P81" s="25"/>
      <c r="Q81" s="3"/>
      <c r="R81" s="3"/>
      <c r="S81" s="27"/>
      <c r="T81" s="27"/>
      <c r="V81" s="3"/>
      <c r="W81" s="3"/>
      <c r="X81" s="3">
        <f t="shared" si="112"/>
        <v>85</v>
      </c>
      <c r="Y81" s="3">
        <f t="shared" si="113"/>
        <v>85</v>
      </c>
      <c r="Z81" s="29">
        <f t="shared" si="114"/>
        <v>1414363.365</v>
      </c>
      <c r="AA81" s="30">
        <v>42872</v>
      </c>
    </row>
    <row r="82" spans="1:27" s="22" customFormat="1" ht="15.75" thickBot="1" x14ac:dyDescent="0.3">
      <c r="A82" s="82"/>
      <c r="B82" s="34"/>
      <c r="C82" s="6"/>
      <c r="D82" s="6"/>
      <c r="E82" s="6"/>
      <c r="F82" s="35"/>
      <c r="G82" s="35"/>
      <c r="H82" s="35"/>
      <c r="I82" s="9"/>
      <c r="J82" s="6"/>
      <c r="K82" s="10"/>
      <c r="L82" s="10"/>
      <c r="M82" s="6"/>
      <c r="N82" s="6"/>
      <c r="O82" s="11"/>
      <c r="P82" s="12"/>
      <c r="Q82" s="11"/>
      <c r="R82" s="11"/>
      <c r="S82" s="11"/>
      <c r="T82" s="11"/>
      <c r="U82" s="11"/>
      <c r="V82" s="11"/>
      <c r="W82" s="11"/>
      <c r="X82" s="11"/>
      <c r="Y82" s="11"/>
      <c r="Z82" s="15"/>
      <c r="AA82" s="36"/>
    </row>
    <row r="83" spans="1:27" s="22" customFormat="1" x14ac:dyDescent="0.25">
      <c r="A83" s="56"/>
      <c r="B83" s="38" t="s">
        <v>41</v>
      </c>
      <c r="C83" s="38" t="s">
        <v>42</v>
      </c>
      <c r="D83" s="39" t="s">
        <v>45</v>
      </c>
      <c r="E83" s="38">
        <f>200+130</f>
        <v>330</v>
      </c>
      <c r="F83" s="40">
        <f>24155+16595</f>
        <v>40750</v>
      </c>
      <c r="G83" s="41">
        <f>19390+12900</f>
        <v>32290</v>
      </c>
      <c r="H83" s="41">
        <f t="shared" ref="H83" si="115">G83-F83</f>
        <v>-8460</v>
      </c>
      <c r="I83" s="39" t="s">
        <v>312</v>
      </c>
      <c r="J83" s="38"/>
      <c r="K83" s="83" t="s">
        <v>313</v>
      </c>
      <c r="L83" s="42">
        <v>42855</v>
      </c>
      <c r="M83" s="39" t="s">
        <v>57</v>
      </c>
      <c r="N83" s="38"/>
      <c r="O83" s="43">
        <v>23.5</v>
      </c>
      <c r="P83" s="44"/>
      <c r="Q83" s="45">
        <f>19800+15700</f>
        <v>35500</v>
      </c>
      <c r="R83" s="3">
        <f t="shared" ref="R83" si="116">65*E83</f>
        <v>21450</v>
      </c>
      <c r="S83" s="27">
        <f t="shared" ref="S83" si="117">-40*E83</f>
        <v>-13200</v>
      </c>
      <c r="T83" s="46">
        <f>X83*F83*0.0045</f>
        <v>5696.181770672034</v>
      </c>
      <c r="U83" s="43">
        <f>E83*5</f>
        <v>1650</v>
      </c>
      <c r="V83" s="38"/>
      <c r="W83" s="43">
        <v>0.3</v>
      </c>
      <c r="X83" s="43">
        <f>((O83*F83)+Q83+R83+S83+U83)/G83</f>
        <v>31.063022607618457</v>
      </c>
      <c r="Y83" s="3">
        <f t="shared" ref="Y83" si="118">((O83*F83)+Q83+R83+S83+T83+U83)/G83+W83</f>
        <v>31.539429599587244</v>
      </c>
      <c r="Z83" s="47">
        <f>Y83*G83</f>
        <v>1018408.1817706721</v>
      </c>
      <c r="AA83" s="48">
        <v>42870</v>
      </c>
    </row>
    <row r="84" spans="1:27" s="22" customFormat="1" ht="15.75" thickBot="1" x14ac:dyDescent="0.3">
      <c r="A84" s="84"/>
      <c r="B84" s="34"/>
      <c r="C84" s="6"/>
      <c r="D84" s="6"/>
      <c r="E84" s="6"/>
      <c r="F84" s="35"/>
      <c r="G84" s="35"/>
      <c r="H84" s="35"/>
      <c r="I84" s="9"/>
      <c r="J84" s="6"/>
      <c r="K84" s="10"/>
      <c r="L84" s="10"/>
      <c r="M84" s="6"/>
      <c r="N84" s="6"/>
      <c r="O84" s="11"/>
      <c r="P84" s="12"/>
      <c r="Q84" s="11"/>
      <c r="R84" s="11"/>
      <c r="S84" s="11"/>
      <c r="T84" s="11"/>
      <c r="U84" s="11"/>
      <c r="V84" s="11"/>
      <c r="W84" s="11"/>
      <c r="X84" s="11"/>
      <c r="Y84" s="11"/>
      <c r="Z84" s="15"/>
      <c r="AA84" s="3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87"/>
  <sheetViews>
    <sheetView zoomScale="80" zoomScaleNormal="80" workbookViewId="0">
      <selection activeCell="AF12" sqref="AF12"/>
    </sheetView>
  </sheetViews>
  <sheetFormatPr baseColWidth="10" defaultRowHeight="15" x14ac:dyDescent="0.25"/>
  <cols>
    <col min="1" max="1" width="4.7109375" customWidth="1"/>
    <col min="2" max="2" width="17.42578125" bestFit="1" customWidth="1"/>
    <col min="4" max="4" width="19.42578125" bestFit="1" customWidth="1"/>
    <col min="5" max="5" width="10.7109375" bestFit="1" customWidth="1"/>
    <col min="10" max="11" width="0" hidden="1" customWidth="1"/>
    <col min="13" max="13" width="4.7109375" customWidth="1"/>
    <col min="14" max="17" width="0" hidden="1" customWidth="1"/>
    <col min="18" max="18" width="11.85546875" hidden="1" customWidth="1"/>
    <col min="19" max="21" width="0" hidden="1" customWidth="1"/>
    <col min="22" max="22" width="7" hidden="1" customWidth="1"/>
    <col min="23" max="23" width="8.42578125" hidden="1" customWidth="1"/>
    <col min="24" max="24" width="0" hidden="1" customWidth="1"/>
    <col min="26" max="26" width="14.85546875" customWidth="1"/>
  </cols>
  <sheetData>
    <row r="2" spans="1:27" x14ac:dyDescent="0.25">
      <c r="A2" s="1" t="s">
        <v>314</v>
      </c>
      <c r="S2" s="2"/>
      <c r="W2" s="3"/>
      <c r="Z2" s="4"/>
    </row>
    <row r="3" spans="1:27" ht="30.75" thickBot="1" x14ac:dyDescent="0.3">
      <c r="A3" s="5"/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 t="s">
        <v>7</v>
      </c>
      <c r="I3" s="9" t="s">
        <v>8</v>
      </c>
      <c r="J3" s="6" t="s">
        <v>9</v>
      </c>
      <c r="K3" s="10" t="s">
        <v>10</v>
      </c>
      <c r="L3" s="10" t="s">
        <v>11</v>
      </c>
      <c r="M3" s="6" t="s">
        <v>12</v>
      </c>
      <c r="N3" s="6" t="s">
        <v>13</v>
      </c>
      <c r="O3" s="11" t="s">
        <v>14</v>
      </c>
      <c r="P3" s="12" t="s">
        <v>15</v>
      </c>
      <c r="Q3" s="11" t="s">
        <v>16</v>
      </c>
      <c r="R3" s="13" t="s">
        <v>17</v>
      </c>
      <c r="S3" s="13" t="s">
        <v>18</v>
      </c>
      <c r="T3" s="14" t="s">
        <v>19</v>
      </c>
      <c r="U3" s="11" t="s">
        <v>20</v>
      </c>
      <c r="V3" s="11" t="s">
        <v>21</v>
      </c>
      <c r="W3" s="14" t="s">
        <v>22</v>
      </c>
      <c r="X3" s="11" t="s">
        <v>23</v>
      </c>
      <c r="Y3" s="11" t="s">
        <v>24</v>
      </c>
      <c r="Z3" s="15" t="s">
        <v>25</v>
      </c>
      <c r="AA3" s="11"/>
    </row>
    <row r="4" spans="1:27" s="22" customFormat="1" x14ac:dyDescent="0.25">
      <c r="A4" s="58"/>
      <c r="B4" s="17" t="s">
        <v>41</v>
      </c>
      <c r="C4" s="19" t="s">
        <v>42</v>
      </c>
      <c r="D4" s="18" t="s">
        <v>45</v>
      </c>
      <c r="E4" s="19">
        <f>250</f>
        <v>250</v>
      </c>
      <c r="F4" s="20">
        <f>28320</f>
        <v>28320</v>
      </c>
      <c r="G4" s="21">
        <f>22820</f>
        <v>22820</v>
      </c>
      <c r="H4" s="21">
        <f t="shared" ref="H4:H12" si="0">G4-F4</f>
        <v>-5500</v>
      </c>
      <c r="I4" s="22" t="s">
        <v>315</v>
      </c>
      <c r="J4" s="19"/>
      <c r="K4" s="24"/>
      <c r="L4" s="24">
        <v>42887</v>
      </c>
      <c r="M4" s="18" t="s">
        <v>47</v>
      </c>
      <c r="N4" s="19"/>
      <c r="O4" s="3">
        <v>28</v>
      </c>
      <c r="P4" s="31"/>
      <c r="Q4" s="33">
        <f>19800</f>
        <v>19800</v>
      </c>
      <c r="R4" s="3">
        <f>65*E4</f>
        <v>16250</v>
      </c>
      <c r="S4" s="32">
        <f>-38*E4</f>
        <v>-9500</v>
      </c>
      <c r="T4" s="27">
        <f>X4*F4*0.0045</f>
        <v>4583.5957230499562</v>
      </c>
      <c r="U4" s="3">
        <f>E4*5</f>
        <v>1250</v>
      </c>
      <c r="V4" s="19"/>
      <c r="W4" s="3">
        <v>0.3</v>
      </c>
      <c r="X4" s="3">
        <f>((O4*F4)+Q4+R4+S4+U4)/G4</f>
        <v>35.966695880806313</v>
      </c>
      <c r="Y4" s="3">
        <f>((O4*F4)+Q4+R4+S4+T4+U4)/G4+W4</f>
        <v>36.467554589090703</v>
      </c>
      <c r="Z4" s="29">
        <f>Y4*G4</f>
        <v>832189.59572304983</v>
      </c>
      <c r="AA4" s="30">
        <v>42900</v>
      </c>
    </row>
    <row r="5" spans="1:27" s="22" customFormat="1" x14ac:dyDescent="0.25">
      <c r="A5" s="58"/>
      <c r="B5" s="17" t="s">
        <v>41</v>
      </c>
      <c r="C5" s="19" t="s">
        <v>42</v>
      </c>
      <c r="D5" s="18" t="s">
        <v>45</v>
      </c>
      <c r="E5" s="19">
        <v>130</v>
      </c>
      <c r="F5" s="20">
        <v>15045</v>
      </c>
      <c r="G5" s="21">
        <v>11420</v>
      </c>
      <c r="H5" s="21">
        <f t="shared" si="0"/>
        <v>-3625</v>
      </c>
      <c r="I5" s="22" t="s">
        <v>316</v>
      </c>
      <c r="J5" s="19"/>
      <c r="K5" s="24"/>
      <c r="L5" s="24">
        <v>42887</v>
      </c>
      <c r="M5" s="18" t="s">
        <v>47</v>
      </c>
      <c r="N5" s="19"/>
      <c r="O5" s="3">
        <v>28</v>
      </c>
      <c r="P5" s="31"/>
      <c r="Q5" s="26">
        <v>15700</v>
      </c>
      <c r="R5" s="3">
        <f>65*E5</f>
        <v>8450</v>
      </c>
      <c r="S5" s="32">
        <f>-38*E5</f>
        <v>-4940</v>
      </c>
      <c r="T5" s="27">
        <f>X5*F5*0.0045</f>
        <v>2615.142451838879</v>
      </c>
      <c r="U5" s="3">
        <f>E5*5</f>
        <v>650</v>
      </c>
      <c r="V5" s="19"/>
      <c r="W5" s="3">
        <v>0.3</v>
      </c>
      <c r="X5" s="3">
        <f>((O5*F5)+Q5+R5+S5+U5)/G5</f>
        <v>38.626970227670753</v>
      </c>
      <c r="Y5" s="3">
        <f>((O5*F5)+Q5+R5+S5+T5+U5)/G5+W5</f>
        <v>39.155966939740708</v>
      </c>
      <c r="Z5" s="29">
        <f>Y5*G5</f>
        <v>447161.14245183888</v>
      </c>
      <c r="AA5" s="30">
        <v>42900</v>
      </c>
    </row>
    <row r="6" spans="1:27" s="22" customFormat="1" x14ac:dyDescent="0.25">
      <c r="A6" s="58"/>
      <c r="B6" s="17" t="s">
        <v>26</v>
      </c>
      <c r="C6" s="18" t="s">
        <v>33</v>
      </c>
      <c r="D6" s="18" t="s">
        <v>33</v>
      </c>
      <c r="E6" s="19" t="s">
        <v>34</v>
      </c>
      <c r="F6" s="20">
        <f>42058*0.4536</f>
        <v>19077.5088</v>
      </c>
      <c r="G6" s="21">
        <v>18915.14</v>
      </c>
      <c r="H6" s="21">
        <f t="shared" si="0"/>
        <v>-162.36880000000019</v>
      </c>
      <c r="I6" s="22" t="s">
        <v>317</v>
      </c>
      <c r="J6" s="23" t="s">
        <v>30</v>
      </c>
      <c r="K6" s="24">
        <v>42887</v>
      </c>
      <c r="L6" s="24">
        <v>42888</v>
      </c>
      <c r="M6" s="18" t="s">
        <v>49</v>
      </c>
      <c r="N6" s="18" t="s">
        <v>318</v>
      </c>
      <c r="O6" s="3"/>
      <c r="P6" s="25">
        <f>0.661+0.105</f>
        <v>0.76600000000000001</v>
      </c>
      <c r="Q6" s="26">
        <v>23000</v>
      </c>
      <c r="R6" s="3">
        <v>9400</v>
      </c>
      <c r="S6" s="51">
        <v>18.664999999999999</v>
      </c>
      <c r="T6" s="27">
        <f>X6*F6*0.005</f>
        <v>3181.4549902688091</v>
      </c>
      <c r="V6" s="3">
        <v>0.12</v>
      </c>
      <c r="W6" s="3">
        <v>0.3</v>
      </c>
      <c r="X6" s="3">
        <f>IF(O6&gt;0,O6,((P6*2.2046*S6)+(Q6+R6)/G6)+V6)</f>
        <v>33.352939564822101</v>
      </c>
      <c r="Y6" s="3">
        <f>IF(O6&gt;0,O6,((P6*2.2046*S6)+(Q6+R6+T6)/G6)+V6+W6)</f>
        <v>33.821135781729232</v>
      </c>
      <c r="Z6" s="29">
        <f>Y6*F6</f>
        <v>645223.01550193434</v>
      </c>
      <c r="AA6" s="30">
        <v>42880</v>
      </c>
    </row>
    <row r="7" spans="1:27" s="22" customFormat="1" x14ac:dyDescent="0.25">
      <c r="A7" s="58"/>
      <c r="B7" s="17" t="s">
        <v>26</v>
      </c>
      <c r="C7" s="18" t="s">
        <v>33</v>
      </c>
      <c r="D7" s="18" t="s">
        <v>33</v>
      </c>
      <c r="E7" s="19" t="s">
        <v>34</v>
      </c>
      <c r="F7" s="20">
        <f>42043*0.4536</f>
        <v>19070.7048</v>
      </c>
      <c r="G7" s="21">
        <v>18883.330000000002</v>
      </c>
      <c r="H7" s="21">
        <f t="shared" si="0"/>
        <v>-187.37479999999778</v>
      </c>
      <c r="I7" s="22" t="s">
        <v>319</v>
      </c>
      <c r="J7" s="23" t="s">
        <v>30</v>
      </c>
      <c r="K7" s="24">
        <v>42887</v>
      </c>
      <c r="L7" s="24">
        <v>42888</v>
      </c>
      <c r="M7" s="18" t="s">
        <v>49</v>
      </c>
      <c r="N7" s="18" t="s">
        <v>318</v>
      </c>
      <c r="O7" s="3"/>
      <c r="P7" s="25">
        <v>0.76600000000000001</v>
      </c>
      <c r="Q7" s="26">
        <v>23000</v>
      </c>
      <c r="R7" s="3">
        <v>9400</v>
      </c>
      <c r="S7" s="27">
        <v>18.62</v>
      </c>
      <c r="T7" s="27">
        <f>X7*F7*0.005</f>
        <v>3173.3493069303172</v>
      </c>
      <c r="V7" s="3">
        <v>0.12</v>
      </c>
      <c r="W7" s="3">
        <v>0.3</v>
      </c>
      <c r="X7" s="3">
        <f>IF(O7&gt;0,O7,((P7*2.2046*S7)+(Q7+R7)/G7)+V7)</f>
        <v>33.279832499219609</v>
      </c>
      <c r="Y7" s="3">
        <f>IF(O7&gt;0,O7,((P7*2.2046*S7)+(Q7+R7+T7)/G7)+V7+W7)</f>
        <v>33.747882801095933</v>
      </c>
      <c r="Z7" s="29">
        <f>Y7*F7</f>
        <v>643595.91052469763</v>
      </c>
      <c r="AA7" s="30">
        <v>42881</v>
      </c>
    </row>
    <row r="8" spans="1:27" s="22" customFormat="1" x14ac:dyDescent="0.25">
      <c r="A8" s="58"/>
      <c r="B8" s="17" t="s">
        <v>41</v>
      </c>
      <c r="C8" s="19" t="s">
        <v>42</v>
      </c>
      <c r="D8" s="18" t="s">
        <v>53</v>
      </c>
      <c r="E8" s="19">
        <f>221</f>
        <v>221</v>
      </c>
      <c r="F8" s="20">
        <f>26750</f>
        <v>26750</v>
      </c>
      <c r="G8" s="21">
        <f>19810</f>
        <v>19810</v>
      </c>
      <c r="H8" s="21">
        <f t="shared" si="0"/>
        <v>-6940</v>
      </c>
      <c r="I8" s="22" t="s">
        <v>320</v>
      </c>
      <c r="J8" s="19">
        <v>200</v>
      </c>
      <c r="K8" s="24"/>
      <c r="L8" s="24">
        <v>42888</v>
      </c>
      <c r="M8" s="18" t="s">
        <v>49</v>
      </c>
      <c r="N8" s="19"/>
      <c r="O8" s="3">
        <v>28</v>
      </c>
      <c r="P8" s="31"/>
      <c r="Q8" s="26">
        <f>19800</f>
        <v>19800</v>
      </c>
      <c r="R8" s="3">
        <f>65*E8</f>
        <v>14365</v>
      </c>
      <c r="S8" s="27">
        <f>-38*E8</f>
        <v>-8398</v>
      </c>
      <c r="T8" s="27">
        <f>X8*F8*0.0045</f>
        <v>4714.5679959616355</v>
      </c>
      <c r="U8" s="3">
        <f>E8*5</f>
        <v>1105</v>
      </c>
      <c r="V8" s="19"/>
      <c r="W8" s="3">
        <v>0.3</v>
      </c>
      <c r="X8" s="3">
        <f>((O8*F8)+Q8+R8+S8+U8)/G8</f>
        <v>39.165673902069663</v>
      </c>
      <c r="Y8" s="3">
        <f>((O8*F8)+Q8+R8+S8+T8+U8)/G8+W8</f>
        <v>39.703663200199976</v>
      </c>
      <c r="Z8" s="29">
        <f>Y8*G8</f>
        <v>786529.56799596152</v>
      </c>
      <c r="AA8" s="30">
        <v>42901</v>
      </c>
    </row>
    <row r="9" spans="1:27" s="22" customFormat="1" x14ac:dyDescent="0.25">
      <c r="A9" s="58"/>
      <c r="B9" s="17" t="s">
        <v>41</v>
      </c>
      <c r="C9" s="19" t="s">
        <v>42</v>
      </c>
      <c r="D9" s="18" t="s">
        <v>321</v>
      </c>
      <c r="E9" s="19">
        <f>100+10</f>
        <v>110</v>
      </c>
      <c r="F9" s="20">
        <f>11325+1260</f>
        <v>12585</v>
      </c>
      <c r="G9" s="21">
        <v>11940</v>
      </c>
      <c r="H9" s="21">
        <f t="shared" si="0"/>
        <v>-645</v>
      </c>
      <c r="I9" s="18" t="s">
        <v>322</v>
      </c>
      <c r="J9" s="19">
        <v>131</v>
      </c>
      <c r="K9" s="24"/>
      <c r="L9" s="24">
        <v>42888</v>
      </c>
      <c r="M9" s="18" t="s">
        <v>49</v>
      </c>
      <c r="N9" s="19"/>
      <c r="O9" s="3">
        <v>28</v>
      </c>
      <c r="P9" s="31"/>
      <c r="Q9" s="26">
        <v>15700</v>
      </c>
      <c r="R9" s="3">
        <f>65*E9</f>
        <v>7150</v>
      </c>
      <c r="S9" s="27">
        <f>-38*E9</f>
        <v>-4180</v>
      </c>
      <c r="T9" s="27">
        <f>X9*F9*0.0045</f>
        <v>1762.5324120603013</v>
      </c>
      <c r="U9" s="3">
        <f>E9*5</f>
        <v>550</v>
      </c>
      <c r="V9" s="19"/>
      <c r="W9" s="3">
        <v>0.3</v>
      </c>
      <c r="X9" s="3">
        <f>((O9*F9)+Q9+R9+S9+U9)/G9</f>
        <v>31.122278056951423</v>
      </c>
      <c r="Y9" s="3">
        <f>((O9*F9)+Q9+R9+S9+T9+U9)/G9+W9</f>
        <v>31.569893836855972</v>
      </c>
      <c r="Z9" s="29">
        <f>Y9*G9</f>
        <v>376944.5324120603</v>
      </c>
      <c r="AA9" s="30">
        <v>42901</v>
      </c>
    </row>
    <row r="10" spans="1:27" s="22" customFormat="1" x14ac:dyDescent="0.25">
      <c r="A10" s="58"/>
      <c r="B10" s="17" t="s">
        <v>323</v>
      </c>
      <c r="C10" s="19" t="s">
        <v>163</v>
      </c>
      <c r="D10" s="18" t="s">
        <v>324</v>
      </c>
      <c r="E10" s="19" t="s">
        <v>325</v>
      </c>
      <c r="F10" s="20">
        <v>1010.25</v>
      </c>
      <c r="G10" s="21">
        <v>1010.3</v>
      </c>
      <c r="H10" s="21">
        <f t="shared" si="0"/>
        <v>4.9999999999954525E-2</v>
      </c>
      <c r="I10" s="18" t="s">
        <v>326</v>
      </c>
      <c r="J10" s="19"/>
      <c r="K10" s="24"/>
      <c r="L10" s="24">
        <v>42888</v>
      </c>
      <c r="M10" s="18" t="s">
        <v>49</v>
      </c>
      <c r="N10" s="19"/>
      <c r="O10" s="3">
        <v>89</v>
      </c>
      <c r="P10" s="31"/>
      <c r="Q10" s="3"/>
      <c r="R10" s="3"/>
      <c r="S10" s="27"/>
      <c r="T10" s="27"/>
      <c r="U10" s="3"/>
      <c r="V10" s="3"/>
      <c r="W10" s="3"/>
      <c r="X10" s="3">
        <f>IF(O10&gt;0,O10,((P10*2.2046*S10)+(Q10+R10)/G10)+V10)</f>
        <v>89</v>
      </c>
      <c r="Y10" s="3">
        <f>IF(O10&gt;0,O10,((P10*2.2046*S10)+(Q10+R10+T10)/G10)+V10+W10)</f>
        <v>89</v>
      </c>
      <c r="Z10" s="29">
        <f>Y10*F10</f>
        <v>89912.25</v>
      </c>
      <c r="AA10" s="30">
        <v>42902</v>
      </c>
    </row>
    <row r="11" spans="1:27" s="22" customFormat="1" x14ac:dyDescent="0.25">
      <c r="A11" s="58"/>
      <c r="B11" s="17" t="s">
        <v>26</v>
      </c>
      <c r="C11" s="18" t="s">
        <v>33</v>
      </c>
      <c r="D11" s="18" t="s">
        <v>33</v>
      </c>
      <c r="E11" s="19" t="s">
        <v>34</v>
      </c>
      <c r="F11" s="20">
        <f>42411*0.4536</f>
        <v>19237.6296</v>
      </c>
      <c r="G11" s="21">
        <v>19116.439999999999</v>
      </c>
      <c r="H11" s="21">
        <f t="shared" si="0"/>
        <v>-121.18960000000152</v>
      </c>
      <c r="I11" s="22" t="s">
        <v>327</v>
      </c>
      <c r="J11" s="23" t="s">
        <v>30</v>
      </c>
      <c r="K11" s="24">
        <v>42888</v>
      </c>
      <c r="L11" s="24">
        <v>42889</v>
      </c>
      <c r="M11" s="18" t="s">
        <v>98</v>
      </c>
      <c r="N11" s="18" t="s">
        <v>328</v>
      </c>
      <c r="O11" s="3"/>
      <c r="P11" s="25">
        <f>0.6606+0.105</f>
        <v>0.76559999999999995</v>
      </c>
      <c r="Q11" s="26">
        <v>23000</v>
      </c>
      <c r="R11" s="3">
        <v>0</v>
      </c>
      <c r="S11" s="51">
        <v>18.498999999999999</v>
      </c>
      <c r="T11" s="27">
        <f>X11*F11*0.005</f>
        <v>3130.5911761853663</v>
      </c>
      <c r="V11" s="3">
        <v>0.12</v>
      </c>
      <c r="W11" s="3">
        <v>0.3</v>
      </c>
      <c r="X11" s="3">
        <f>IF(O11&gt;0,O11,((P11*2.2046*S11)+(Q11+R11)/G11)+V11)</f>
        <v>32.546537606539282</v>
      </c>
      <c r="Y11" s="3">
        <f>IF(O11&gt;0,O11,((P11*2.2046*S11)+(Q11+R11+T11)/G11)+V11+W11)</f>
        <v>33.010301946352833</v>
      </c>
      <c r="Z11" s="29">
        <f>Y11*F11</f>
        <v>635039.96182809491</v>
      </c>
      <c r="AA11" s="30">
        <v>42885</v>
      </c>
    </row>
    <row r="12" spans="1:27" s="22" customFormat="1" x14ac:dyDescent="0.25">
      <c r="A12" s="58"/>
      <c r="B12" s="17" t="s">
        <v>158</v>
      </c>
      <c r="C12" s="18" t="s">
        <v>329</v>
      </c>
      <c r="D12" s="18" t="s">
        <v>89</v>
      </c>
      <c r="E12" s="19" t="s">
        <v>160</v>
      </c>
      <c r="F12" s="20">
        <v>18506.554</v>
      </c>
      <c r="G12" s="21">
        <v>18506.55</v>
      </c>
      <c r="H12" s="21">
        <f t="shared" si="0"/>
        <v>-4.0000000008149073E-3</v>
      </c>
      <c r="I12" s="22" t="s">
        <v>330</v>
      </c>
      <c r="J12" s="19"/>
      <c r="K12" s="24"/>
      <c r="L12" s="24">
        <v>42889</v>
      </c>
      <c r="M12" s="18" t="s">
        <v>98</v>
      </c>
      <c r="N12" s="18"/>
      <c r="O12" s="3">
        <v>33.25</v>
      </c>
      <c r="P12" s="25"/>
      <c r="Q12" s="3"/>
      <c r="R12" s="3"/>
      <c r="S12" s="51"/>
      <c r="T12" s="27"/>
      <c r="V12" s="3"/>
      <c r="W12" s="3"/>
      <c r="X12" s="3">
        <f>IF(O12&gt;0,O12,((P12*2.2046*S12)+(Q12+R12)/G12)+V12)</f>
        <v>33.25</v>
      </c>
      <c r="Y12" s="3">
        <f>IF(O12&gt;0,O12,((P12*2.2046*S12)+(Q12+R12+T12)/G12)+V12+W12)</f>
        <v>33.25</v>
      </c>
      <c r="Z12" s="29">
        <f>Y12*F12</f>
        <v>615342.92050000001</v>
      </c>
      <c r="AA12" s="30">
        <v>42909</v>
      </c>
    </row>
    <row r="13" spans="1:27" s="22" customFormat="1" ht="15.75" thickBot="1" x14ac:dyDescent="0.3">
      <c r="A13" s="84"/>
      <c r="B13" s="34"/>
      <c r="C13" s="6"/>
      <c r="D13" s="6"/>
      <c r="E13" s="6"/>
      <c r="F13" s="35"/>
      <c r="G13" s="35"/>
      <c r="H13" s="35"/>
      <c r="I13" s="9"/>
      <c r="J13" s="6"/>
      <c r="K13" s="10"/>
      <c r="L13" s="10"/>
      <c r="M13" s="6"/>
      <c r="N13" s="6"/>
      <c r="O13" s="11"/>
      <c r="P13" s="12"/>
      <c r="Q13" s="11"/>
      <c r="R13" s="11"/>
      <c r="S13" s="11"/>
      <c r="T13" s="11"/>
      <c r="U13" s="11"/>
      <c r="V13" s="11"/>
      <c r="W13" s="11"/>
      <c r="X13" s="11"/>
      <c r="Y13" s="11"/>
      <c r="Z13" s="15"/>
      <c r="AA13" s="36"/>
    </row>
    <row r="14" spans="1:27" s="22" customFormat="1" x14ac:dyDescent="0.25">
      <c r="A14" s="85"/>
      <c r="B14" s="38" t="s">
        <v>41</v>
      </c>
      <c r="C14" s="38" t="s">
        <v>42</v>
      </c>
      <c r="D14" s="39" t="s">
        <v>51</v>
      </c>
      <c r="E14" s="38">
        <v>200</v>
      </c>
      <c r="F14" s="40">
        <v>21340</v>
      </c>
      <c r="G14" s="41">
        <f>12700+4310</f>
        <v>17010</v>
      </c>
      <c r="H14" s="41">
        <f t="shared" ref="H14:H31" si="1">G14-F14</f>
        <v>-4330</v>
      </c>
      <c r="I14" s="39" t="s">
        <v>331</v>
      </c>
      <c r="J14" s="38"/>
      <c r="K14" s="42"/>
      <c r="L14" s="42">
        <v>42890</v>
      </c>
      <c r="M14" s="39" t="s">
        <v>57</v>
      </c>
      <c r="N14" s="38"/>
      <c r="O14" s="43">
        <v>28.5</v>
      </c>
      <c r="P14" s="44"/>
      <c r="Q14" s="45">
        <v>19800</v>
      </c>
      <c r="R14" s="3">
        <f>65*E14</f>
        <v>13000</v>
      </c>
      <c r="S14" s="27">
        <f>-38*E14</f>
        <v>-7600</v>
      </c>
      <c r="T14" s="46">
        <f>X14*F14*0.0045</f>
        <v>3581.4504232804225</v>
      </c>
      <c r="U14" s="43">
        <f>E14*5</f>
        <v>1000</v>
      </c>
      <c r="V14" s="38"/>
      <c r="W14" s="43">
        <v>0.3</v>
      </c>
      <c r="X14" s="43">
        <f>((O14*F14)+Q14+R14+S14+U14)/G14</f>
        <v>37.295120517342738</v>
      </c>
      <c r="Y14" s="3">
        <f>((O14*F14)+Q14+R14+S14+T14+U14)/G14+W14</f>
        <v>37.805670218887741</v>
      </c>
      <c r="Z14" s="47">
        <f>Y14*G14</f>
        <v>643074.45042328048</v>
      </c>
      <c r="AA14" s="48">
        <v>42905</v>
      </c>
    </row>
    <row r="15" spans="1:27" s="22" customFormat="1" x14ac:dyDescent="0.25">
      <c r="A15" s="86"/>
      <c r="B15" s="17" t="s">
        <v>41</v>
      </c>
      <c r="C15" s="19" t="s">
        <v>42</v>
      </c>
      <c r="D15" s="18" t="s">
        <v>58</v>
      </c>
      <c r="E15" s="19">
        <v>200</v>
      </c>
      <c r="F15" s="20">
        <v>22310</v>
      </c>
      <c r="G15" s="21">
        <f>10480+7070</f>
        <v>17550</v>
      </c>
      <c r="H15" s="21">
        <f t="shared" si="1"/>
        <v>-4760</v>
      </c>
      <c r="I15" s="18" t="s">
        <v>332</v>
      </c>
      <c r="J15" s="65">
        <v>199</v>
      </c>
      <c r="K15" s="24"/>
      <c r="L15" s="24">
        <v>42891</v>
      </c>
      <c r="M15" s="18" t="s">
        <v>60</v>
      </c>
      <c r="N15" s="19"/>
      <c r="O15" s="3">
        <v>28.5</v>
      </c>
      <c r="P15" s="31"/>
      <c r="Q15" s="26">
        <v>19800</v>
      </c>
      <c r="R15" s="3">
        <f>65*E15</f>
        <v>13000</v>
      </c>
      <c r="S15" s="27">
        <f>-38*E15</f>
        <v>-7600</v>
      </c>
      <c r="T15" s="27">
        <f>X15*F15*0.0045</f>
        <v>3787.1797051282047</v>
      </c>
      <c r="U15" s="3">
        <f>E15*5</f>
        <v>1000</v>
      </c>
      <c r="V15" s="19"/>
      <c r="W15" s="3">
        <v>0.3</v>
      </c>
      <c r="X15" s="3">
        <f>((O15*F15)+Q15+R15+S15+U15)/G15</f>
        <v>37.722792022792021</v>
      </c>
      <c r="Y15" s="3">
        <f>((O15*F15)+Q15+R15+S15+T15+U15)/G15+W15</f>
        <v>38.238585738183943</v>
      </c>
      <c r="Z15" s="29">
        <f>Y15*G15</f>
        <v>671087.17970512819</v>
      </c>
      <c r="AA15" s="30">
        <v>42905</v>
      </c>
    </row>
    <row r="16" spans="1:27" s="22" customFormat="1" x14ac:dyDescent="0.25">
      <c r="A16" s="86"/>
      <c r="B16" s="17" t="s">
        <v>26</v>
      </c>
      <c r="C16" s="18" t="s">
        <v>27</v>
      </c>
      <c r="D16" s="18" t="s">
        <v>27</v>
      </c>
      <c r="E16" s="19" t="s">
        <v>28</v>
      </c>
      <c r="F16" s="20">
        <f>40026*0.4536</f>
        <v>18155.793600000001</v>
      </c>
      <c r="G16" s="21">
        <v>18073.29</v>
      </c>
      <c r="H16" s="21">
        <f t="shared" si="1"/>
        <v>-82.503600000000006</v>
      </c>
      <c r="I16" s="22" t="s">
        <v>333</v>
      </c>
      <c r="J16" s="23" t="s">
        <v>30</v>
      </c>
      <c r="K16" s="24">
        <v>42891</v>
      </c>
      <c r="L16" s="24">
        <v>42892</v>
      </c>
      <c r="M16" s="18" t="s">
        <v>62</v>
      </c>
      <c r="N16" s="18" t="s">
        <v>334</v>
      </c>
      <c r="O16" s="3"/>
      <c r="P16" s="25">
        <f>0.6582+0.1</f>
        <v>0.75819999999999999</v>
      </c>
      <c r="Q16" s="26">
        <v>23000</v>
      </c>
      <c r="R16" s="3">
        <v>9400</v>
      </c>
      <c r="S16" s="51">
        <v>18.177</v>
      </c>
      <c r="T16" s="27">
        <f>X16*F16*0.005</f>
        <v>2931.8030051342666</v>
      </c>
      <c r="V16" s="3">
        <v>0.12</v>
      </c>
      <c r="W16" s="3">
        <v>0.3</v>
      </c>
      <c r="X16" s="3">
        <f>IF(O16&gt;0,O16,((P16*2.2046*S16)+(Q16+R16)/G16)+V16)</f>
        <v>32.29606008667411</v>
      </c>
      <c r="Y16" s="3">
        <f>IF(O16&gt;0,O16,((P16*2.2046*S16)+(Q16+R16+T16)/G16)+V16+W16)</f>
        <v>32.758277536022526</v>
      </c>
      <c r="Z16" s="29">
        <f>Y16*F16</f>
        <v>594752.52563554153</v>
      </c>
      <c r="AA16" s="30">
        <v>42901</v>
      </c>
    </row>
    <row r="17" spans="1:27" s="22" customFormat="1" x14ac:dyDescent="0.25">
      <c r="A17" s="86"/>
      <c r="B17" s="17" t="s">
        <v>26</v>
      </c>
      <c r="C17" s="18" t="s">
        <v>37</v>
      </c>
      <c r="D17" s="18" t="s">
        <v>37</v>
      </c>
      <c r="E17" s="19" t="s">
        <v>28</v>
      </c>
      <c r="F17" s="20">
        <f>41832*0.4536</f>
        <v>18974.995200000001</v>
      </c>
      <c r="G17" s="21">
        <v>18889.169999999998</v>
      </c>
      <c r="H17" s="21">
        <f t="shared" si="1"/>
        <v>-85.825200000002951</v>
      </c>
      <c r="I17" s="22">
        <v>90287</v>
      </c>
      <c r="J17" s="23" t="s">
        <v>30</v>
      </c>
      <c r="K17" s="24">
        <v>42891</v>
      </c>
      <c r="L17" s="24">
        <v>42892</v>
      </c>
      <c r="M17" s="18" t="s">
        <v>62</v>
      </c>
      <c r="N17" s="18" t="s">
        <v>335</v>
      </c>
      <c r="O17" s="3"/>
      <c r="P17" s="25">
        <f>0.6811+0.095</f>
        <v>0.77610000000000001</v>
      </c>
      <c r="Q17" s="26">
        <v>23000</v>
      </c>
      <c r="R17" s="3">
        <v>9400</v>
      </c>
      <c r="S17" s="51">
        <v>18.542999999999999</v>
      </c>
      <c r="T17" s="27">
        <f>X17*F17*0.005</f>
        <v>3184.2088657835798</v>
      </c>
      <c r="V17" s="3">
        <v>0.12</v>
      </c>
      <c r="W17" s="3">
        <v>0.3</v>
      </c>
      <c r="X17" s="3">
        <f>IF(O17&gt;0,O17,((P17*2.2046*S17)+(Q17+R17)/G17)+V17)</f>
        <v>33.562157272994504</v>
      </c>
      <c r="Y17" s="3">
        <f>IF(O17&gt;0,O17,((P17*2.2046*S17)+(Q17+R17+T17)/G17)+V17+W17)</f>
        <v>34.030730527710489</v>
      </c>
      <c r="Z17" s="29">
        <f>Y17*F17</f>
        <v>645732.9484158</v>
      </c>
      <c r="AA17" s="30">
        <v>42885</v>
      </c>
    </row>
    <row r="18" spans="1:27" s="22" customFormat="1" x14ac:dyDescent="0.25">
      <c r="A18" s="86"/>
      <c r="B18" s="17" t="s">
        <v>41</v>
      </c>
      <c r="C18" s="19" t="s">
        <v>42</v>
      </c>
      <c r="D18" s="18" t="s">
        <v>336</v>
      </c>
      <c r="E18" s="19">
        <v>200</v>
      </c>
      <c r="F18" s="20">
        <v>23510</v>
      </c>
      <c r="G18" s="21">
        <f>12000+6730</f>
        <v>18730</v>
      </c>
      <c r="H18" s="21">
        <f t="shared" si="1"/>
        <v>-4780</v>
      </c>
      <c r="I18" s="22" t="s">
        <v>337</v>
      </c>
      <c r="J18" s="19"/>
      <c r="K18" s="24"/>
      <c r="L18" s="24">
        <v>42892</v>
      </c>
      <c r="M18" s="18" t="s">
        <v>62</v>
      </c>
      <c r="N18" s="19"/>
      <c r="O18" s="3">
        <v>28.5</v>
      </c>
      <c r="P18" s="31"/>
      <c r="Q18" s="33">
        <v>19800</v>
      </c>
      <c r="R18" s="3">
        <f>65*E18</f>
        <v>13000</v>
      </c>
      <c r="S18" s="27">
        <f>-38*E18</f>
        <v>-7600</v>
      </c>
      <c r="T18" s="27">
        <f>X18*F18*0.005</f>
        <v>4369.5901895355046</v>
      </c>
      <c r="U18" s="3">
        <f>E18*5</f>
        <v>1000</v>
      </c>
      <c r="V18" s="19"/>
      <c r="W18" s="3">
        <v>0.3</v>
      </c>
      <c r="X18" s="3">
        <f>((O18*F18)+Q18+R18+S18+U18)/G18</f>
        <v>37.17218366257341</v>
      </c>
      <c r="Y18" s="3">
        <f>((O18*F18)+Q18+R18+S18+T18+U18)/G18+W18</f>
        <v>37.705477319249091</v>
      </c>
      <c r="Z18" s="29">
        <f>Y18*G18</f>
        <v>706223.59018953552</v>
      </c>
      <c r="AA18" s="30">
        <v>42905</v>
      </c>
    </row>
    <row r="19" spans="1:27" s="22" customFormat="1" x14ac:dyDescent="0.25">
      <c r="A19" s="86"/>
      <c r="B19" s="17" t="s">
        <v>26</v>
      </c>
      <c r="C19" s="18" t="s">
        <v>37</v>
      </c>
      <c r="D19" s="18" t="s">
        <v>37</v>
      </c>
      <c r="E19" s="19" t="s">
        <v>28</v>
      </c>
      <c r="F19" s="20">
        <f>41253*0.4536</f>
        <v>18712.360799999999</v>
      </c>
      <c r="G19" s="21">
        <v>18636.86</v>
      </c>
      <c r="H19" s="21">
        <f t="shared" si="1"/>
        <v>-75.50079999999798</v>
      </c>
      <c r="I19" s="22">
        <v>90328</v>
      </c>
      <c r="J19" s="23" t="s">
        <v>39</v>
      </c>
      <c r="K19" s="24">
        <v>42892</v>
      </c>
      <c r="L19" s="24">
        <v>42893</v>
      </c>
      <c r="M19" s="18" t="s">
        <v>31</v>
      </c>
      <c r="N19" s="18" t="s">
        <v>338</v>
      </c>
      <c r="O19" s="3"/>
      <c r="P19" s="25">
        <f>0.6582+0.095</f>
        <v>0.75319999999999998</v>
      </c>
      <c r="Q19" s="26">
        <v>23000</v>
      </c>
      <c r="R19" s="3">
        <v>9400</v>
      </c>
      <c r="S19" s="51">
        <v>18.692</v>
      </c>
      <c r="T19" s="27">
        <f>X19*F19*0.005</f>
        <v>3077.869405752715</v>
      </c>
      <c r="V19" s="3">
        <v>0.12</v>
      </c>
      <c r="W19" s="3">
        <v>0.3</v>
      </c>
      <c r="X19" s="3">
        <f>IF(O19&gt;0,O19,((P19*2.2046*S19)+(Q19+R19)/G19)+V19)</f>
        <v>32.896644508401259</v>
      </c>
      <c r="Y19" s="3">
        <f>IF(O19&gt;0,O19,((P19*2.2046*S19)+(Q19+R19+T19)/G19)+V19+W19)</f>
        <v>33.361794077897017</v>
      </c>
      <c r="Z19" s="29">
        <f>Y19*F19</f>
        <v>624277.92772091227</v>
      </c>
      <c r="AA19" s="30">
        <v>42886</v>
      </c>
    </row>
    <row r="20" spans="1:27" s="22" customFormat="1" x14ac:dyDescent="0.25">
      <c r="A20" s="86"/>
      <c r="B20" s="17" t="s">
        <v>41</v>
      </c>
      <c r="C20" s="19" t="s">
        <v>42</v>
      </c>
      <c r="D20" s="18" t="s">
        <v>51</v>
      </c>
      <c r="E20" s="19">
        <v>200</v>
      </c>
      <c r="F20" s="20">
        <v>23270</v>
      </c>
      <c r="G20" s="21">
        <f>12040+6490</f>
        <v>18530</v>
      </c>
      <c r="H20" s="21">
        <f t="shared" si="1"/>
        <v>-4740</v>
      </c>
      <c r="I20" s="22" t="s">
        <v>339</v>
      </c>
      <c r="J20" s="19"/>
      <c r="K20" s="24"/>
      <c r="L20" s="24">
        <v>42893</v>
      </c>
      <c r="M20" s="18" t="s">
        <v>31</v>
      </c>
      <c r="N20" s="19"/>
      <c r="O20" s="3">
        <v>28.5</v>
      </c>
      <c r="P20" s="31"/>
      <c r="Q20" s="26">
        <v>19800</v>
      </c>
      <c r="R20" s="3">
        <f>65*E20</f>
        <v>13000</v>
      </c>
      <c r="S20" s="27">
        <f>-38*E20</f>
        <v>-7600</v>
      </c>
      <c r="T20" s="27">
        <f>X20*F20*0.0045</f>
        <v>3895.8444373988127</v>
      </c>
      <c r="U20" s="3">
        <f>E20*5</f>
        <v>1000</v>
      </c>
      <c r="V20" s="19"/>
      <c r="W20" s="3">
        <v>0.3</v>
      </c>
      <c r="X20" s="3">
        <f>((O20*F20)+Q20+R20+S20+U20)/G20</f>
        <v>37.204263356718833</v>
      </c>
      <c r="Y20" s="3">
        <f>((O20*F20)+Q20+R20+S20+T20+U20)/G20+W20</f>
        <v>37.71450860428488</v>
      </c>
      <c r="Z20" s="29">
        <f>Y20*G20</f>
        <v>698849.84443739883</v>
      </c>
      <c r="AA20" s="30">
        <v>42906</v>
      </c>
    </row>
    <row r="21" spans="1:27" s="22" customFormat="1" x14ac:dyDescent="0.25">
      <c r="A21" s="86"/>
      <c r="B21" s="17" t="s">
        <v>26</v>
      </c>
      <c r="C21" s="18" t="s">
        <v>33</v>
      </c>
      <c r="D21" s="18" t="s">
        <v>33</v>
      </c>
      <c r="E21" s="19" t="s">
        <v>34</v>
      </c>
      <c r="F21" s="20">
        <f>41680*0.4536</f>
        <v>18906.047999999999</v>
      </c>
      <c r="G21" s="21">
        <v>18759.23</v>
      </c>
      <c r="H21" s="21">
        <f t="shared" si="1"/>
        <v>-146.8179999999993</v>
      </c>
      <c r="I21" s="22" t="s">
        <v>340</v>
      </c>
      <c r="J21" s="23" t="s">
        <v>30</v>
      </c>
      <c r="K21" s="24">
        <v>42893</v>
      </c>
      <c r="L21" s="24">
        <v>42894</v>
      </c>
      <c r="M21" s="18" t="s">
        <v>47</v>
      </c>
      <c r="N21" s="18" t="s">
        <v>341</v>
      </c>
      <c r="O21" s="3"/>
      <c r="P21" s="25">
        <f>0.6444+0.105</f>
        <v>0.74939999999999996</v>
      </c>
      <c r="Q21" s="26">
        <v>23000</v>
      </c>
      <c r="R21" s="3">
        <v>9400</v>
      </c>
      <c r="S21" s="51">
        <v>18.638999999999999</v>
      </c>
      <c r="T21" s="27">
        <f>X21*F21*0.005</f>
        <v>3085.5756874229942</v>
      </c>
      <c r="V21" s="3">
        <v>0.12</v>
      </c>
      <c r="W21" s="3">
        <v>0.3</v>
      </c>
      <c r="X21" s="3">
        <f>IF(O21&gt;0,O21,((P21*2.2046*S21)+(Q21+R21)/G21)+V21)</f>
        <v>32.641149408094108</v>
      </c>
      <c r="Y21" s="3">
        <f>IF(O21&gt;0,O21,((P21*2.2046*S21)+(Q21+R21+T21)/G21)+V21+W21)</f>
        <v>33.105632475225484</v>
      </c>
      <c r="Z21" s="29">
        <f>Y21*F21</f>
        <v>625896.67664697173</v>
      </c>
      <c r="AA21" s="30">
        <v>42887</v>
      </c>
    </row>
    <row r="22" spans="1:27" s="22" customFormat="1" x14ac:dyDescent="0.25">
      <c r="A22" s="86"/>
      <c r="B22" s="17" t="s">
        <v>41</v>
      </c>
      <c r="C22" s="19" t="s">
        <v>42</v>
      </c>
      <c r="D22" s="18" t="s">
        <v>45</v>
      </c>
      <c r="E22" s="19">
        <f>250</f>
        <v>250</v>
      </c>
      <c r="F22" s="20">
        <f>27885</f>
        <v>27885</v>
      </c>
      <c r="G22" s="21">
        <f>22310</f>
        <v>22310</v>
      </c>
      <c r="H22" s="21">
        <f t="shared" si="1"/>
        <v>-5575</v>
      </c>
      <c r="I22" s="22" t="s">
        <v>342</v>
      </c>
      <c r="J22" s="19"/>
      <c r="K22" s="24"/>
      <c r="L22" s="24">
        <v>42894</v>
      </c>
      <c r="M22" s="18" t="s">
        <v>47</v>
      </c>
      <c r="N22" s="19"/>
      <c r="O22" s="3">
        <v>28.5</v>
      </c>
      <c r="P22" s="31"/>
      <c r="Q22" s="33">
        <f>19800</f>
        <v>19800</v>
      </c>
      <c r="R22" s="3">
        <f>65*E22</f>
        <v>16250</v>
      </c>
      <c r="S22" s="27">
        <f>-38*E22</f>
        <v>-9500</v>
      </c>
      <c r="T22" s="27">
        <f>X22*F22*0.0045</f>
        <v>4626.2742988009859</v>
      </c>
      <c r="U22" s="3">
        <f>E22*5</f>
        <v>1250</v>
      </c>
      <c r="V22" s="19"/>
      <c r="W22" s="3">
        <v>0.3</v>
      </c>
      <c r="X22" s="3">
        <f>((O22*F22)+Q22+R22+S22+U22)/G22</f>
        <v>36.867884356790675</v>
      </c>
      <c r="Y22" s="3">
        <f>((O22*F22)+Q22+R22+S22+T22+U22)/G22+W22</f>
        <v>37.375247615365346</v>
      </c>
      <c r="Z22" s="29">
        <f>Y22*G22</f>
        <v>833841.77429880085</v>
      </c>
      <c r="AA22" s="30">
        <v>42907</v>
      </c>
    </row>
    <row r="23" spans="1:27" s="22" customFormat="1" x14ac:dyDescent="0.25">
      <c r="A23" s="86"/>
      <c r="B23" s="17" t="s">
        <v>41</v>
      </c>
      <c r="C23" s="19" t="s">
        <v>42</v>
      </c>
      <c r="D23" s="18" t="s">
        <v>51</v>
      </c>
      <c r="E23" s="19">
        <v>130</v>
      </c>
      <c r="F23" s="20">
        <v>14490</v>
      </c>
      <c r="G23" s="21">
        <v>11140</v>
      </c>
      <c r="H23" s="21">
        <f t="shared" si="1"/>
        <v>-3350</v>
      </c>
      <c r="I23" s="22" t="s">
        <v>343</v>
      </c>
      <c r="J23" s="19"/>
      <c r="K23" s="24"/>
      <c r="L23" s="24">
        <v>42894</v>
      </c>
      <c r="M23" s="18" t="s">
        <v>47</v>
      </c>
      <c r="N23" s="19"/>
      <c r="O23" s="3">
        <v>28.5</v>
      </c>
      <c r="P23" s="31"/>
      <c r="Q23" s="26">
        <v>15700</v>
      </c>
      <c r="R23" s="3">
        <f>65*E23</f>
        <v>8450</v>
      </c>
      <c r="S23" s="27">
        <f>-38*E23</f>
        <v>-4940</v>
      </c>
      <c r="T23" s="27">
        <f>X23*F23*0.0045</f>
        <v>2533.4249663375222</v>
      </c>
      <c r="U23" s="3">
        <f>E23*5</f>
        <v>650</v>
      </c>
      <c r="V23" s="19"/>
      <c r="W23" s="3">
        <v>0.3</v>
      </c>
      <c r="X23" s="3">
        <f>((O23*F23)+Q23+R23+S23+U23)/G23</f>
        <v>38.8532315978456</v>
      </c>
      <c r="Y23" s="3">
        <f>((O23*F23)+Q23+R23+S23+T23+U23)/G23+W23</f>
        <v>39.380648560712523</v>
      </c>
      <c r="Z23" s="29">
        <f>Y23*G23</f>
        <v>438700.42496633751</v>
      </c>
      <c r="AA23" s="30">
        <v>42907</v>
      </c>
    </row>
    <row r="24" spans="1:27" s="22" customFormat="1" x14ac:dyDescent="0.25">
      <c r="A24" s="86"/>
      <c r="B24" s="17" t="s">
        <v>217</v>
      </c>
      <c r="C24" s="19" t="s">
        <v>127</v>
      </c>
      <c r="D24" s="18" t="s">
        <v>77</v>
      </c>
      <c r="E24" s="19" t="s">
        <v>218</v>
      </c>
      <c r="F24" s="20">
        <v>2721.2</v>
      </c>
      <c r="G24" s="21">
        <v>2721.2</v>
      </c>
      <c r="H24" s="21">
        <f t="shared" si="1"/>
        <v>0</v>
      </c>
      <c r="I24" s="22" t="s">
        <v>344</v>
      </c>
      <c r="J24" s="19"/>
      <c r="K24" s="24"/>
      <c r="L24" s="24">
        <v>42894</v>
      </c>
      <c r="M24" s="18" t="s">
        <v>47</v>
      </c>
      <c r="N24" s="19"/>
      <c r="O24" s="3">
        <v>19.5</v>
      </c>
      <c r="P24" s="31"/>
      <c r="Q24" s="3"/>
      <c r="R24" s="3"/>
      <c r="S24" s="27"/>
      <c r="T24" s="27"/>
      <c r="U24" s="3"/>
      <c r="V24" s="3"/>
      <c r="W24" s="3"/>
      <c r="X24" s="3">
        <f>IF(O24&gt;0,O24,((P24*2.2046*S24)+(Q24+R24)/G24)+V24)</f>
        <v>19.5</v>
      </c>
      <c r="Y24" s="3">
        <f>IF(O24&gt;0,O24,((P24*2.2046*S24)+(Q24+R24+T24)/G24)+V24+W24)</f>
        <v>19.5</v>
      </c>
      <c r="Z24" s="29">
        <f>Y24*F24</f>
        <v>53063.399999999994</v>
      </c>
      <c r="AA24" s="30">
        <v>42901</v>
      </c>
    </row>
    <row r="25" spans="1:27" s="22" customFormat="1" x14ac:dyDescent="0.25">
      <c r="A25" s="86"/>
      <c r="B25" s="17" t="s">
        <v>26</v>
      </c>
      <c r="C25" s="18" t="s">
        <v>27</v>
      </c>
      <c r="D25" s="18" t="s">
        <v>27</v>
      </c>
      <c r="E25" s="19" t="s">
        <v>28</v>
      </c>
      <c r="F25" s="20">
        <f>40235*0.4536</f>
        <v>18250.596000000001</v>
      </c>
      <c r="G25" s="21">
        <v>18226.55</v>
      </c>
      <c r="H25" s="21">
        <f t="shared" si="1"/>
        <v>-24.046000000002095</v>
      </c>
      <c r="I25" s="22" t="s">
        <v>345</v>
      </c>
      <c r="J25" s="23" t="s">
        <v>30</v>
      </c>
      <c r="K25" s="24">
        <v>42894</v>
      </c>
      <c r="L25" s="24">
        <v>42895</v>
      </c>
      <c r="M25" s="18" t="s">
        <v>49</v>
      </c>
      <c r="N25" s="18" t="s">
        <v>346</v>
      </c>
      <c r="O25" s="3"/>
      <c r="P25" s="25">
        <f>0.6444+0.1</f>
        <v>0.74439999999999995</v>
      </c>
      <c r="Q25" s="26">
        <v>23000</v>
      </c>
      <c r="R25" s="3">
        <v>9400</v>
      </c>
      <c r="S25" s="51">
        <v>18.077999999999999</v>
      </c>
      <c r="T25" s="27">
        <f>X25*F25*0.005</f>
        <v>2880.4467655633212</v>
      </c>
      <c r="V25" s="3">
        <v>0.12</v>
      </c>
      <c r="W25" s="3">
        <v>0.3</v>
      </c>
      <c r="X25" s="3">
        <f>IF(O25&gt;0,O25,((P25*2.2046*S25)+(Q25+R25)/G25)+V25)</f>
        <v>31.565509044891691</v>
      </c>
      <c r="Y25" s="3">
        <f>IF(O25&gt;0,O25,((P25*2.2046*S25)+(Q25+R25+T25)/G25)+V25+W25)</f>
        <v>32.023544809507776</v>
      </c>
      <c r="Z25" s="29">
        <f>Y25*F25</f>
        <v>584448.77880622342</v>
      </c>
      <c r="AA25" s="30">
        <v>42906</v>
      </c>
    </row>
    <row r="26" spans="1:27" s="22" customFormat="1" x14ac:dyDescent="0.25">
      <c r="A26" s="86"/>
      <c r="B26" s="17" t="s">
        <v>26</v>
      </c>
      <c r="C26" s="18" t="s">
        <v>33</v>
      </c>
      <c r="D26" s="18" t="s">
        <v>33</v>
      </c>
      <c r="E26" s="19" t="s">
        <v>34</v>
      </c>
      <c r="F26" s="20">
        <f>42444*0.4536</f>
        <v>19252.598399999999</v>
      </c>
      <c r="G26" s="21">
        <v>19115.599999999999</v>
      </c>
      <c r="H26" s="21">
        <f t="shared" si="1"/>
        <v>-136.9984000000004</v>
      </c>
      <c r="I26" s="22" t="s">
        <v>347</v>
      </c>
      <c r="J26" s="23" t="s">
        <v>30</v>
      </c>
      <c r="K26" s="24">
        <v>42894</v>
      </c>
      <c r="L26" s="24">
        <v>42895</v>
      </c>
      <c r="M26" s="18" t="s">
        <v>49</v>
      </c>
      <c r="N26" s="18" t="s">
        <v>348</v>
      </c>
      <c r="O26" s="3"/>
      <c r="P26" s="25">
        <f>0.6523+0.105</f>
        <v>0.75729999999999997</v>
      </c>
      <c r="Q26" s="26">
        <v>23000</v>
      </c>
      <c r="R26" s="3">
        <v>9400</v>
      </c>
      <c r="S26" s="27">
        <v>18.61</v>
      </c>
      <c r="T26" s="27">
        <f>X26*F26*0.005</f>
        <v>3165.6235806316063</v>
      </c>
      <c r="V26" s="3">
        <v>0.12</v>
      </c>
      <c r="W26" s="3">
        <v>0.3</v>
      </c>
      <c r="X26" s="3">
        <f>IF(O26&gt;0,O26,((P26*2.2046*S26)+(Q26+R26)/G26)+V26)</f>
        <v>32.88515674467719</v>
      </c>
      <c r="Y26" s="3">
        <f>IF(O26&gt;0,O26,((P26*2.2046*S26)+(Q26+R26+T26)/G26)+V26+W26)</f>
        <v>33.350760941282658</v>
      </c>
      <c r="Z26" s="29">
        <f>Y26*F26</f>
        <v>642088.80673692096</v>
      </c>
      <c r="AA26" s="30">
        <v>42888</v>
      </c>
    </row>
    <row r="27" spans="1:27" s="22" customFormat="1" x14ac:dyDescent="0.25">
      <c r="A27" s="86"/>
      <c r="B27" s="17" t="s">
        <v>41</v>
      </c>
      <c r="C27" s="19" t="s">
        <v>42</v>
      </c>
      <c r="D27" s="18" t="s">
        <v>51</v>
      </c>
      <c r="E27" s="19">
        <f>230</f>
        <v>230</v>
      </c>
      <c r="F27" s="20">
        <f>25720</f>
        <v>25720</v>
      </c>
      <c r="G27" s="21">
        <f>17780</f>
        <v>17780</v>
      </c>
      <c r="H27" s="21">
        <f t="shared" si="1"/>
        <v>-7940</v>
      </c>
      <c r="I27" s="22" t="s">
        <v>349</v>
      </c>
      <c r="J27" s="65">
        <v>200</v>
      </c>
      <c r="K27" s="24"/>
      <c r="L27" s="24">
        <v>42895</v>
      </c>
      <c r="M27" s="18" t="s">
        <v>49</v>
      </c>
      <c r="N27" s="19"/>
      <c r="O27" s="3">
        <v>28.5</v>
      </c>
      <c r="P27" s="31"/>
      <c r="Q27" s="26">
        <f>19800</f>
        <v>19800</v>
      </c>
      <c r="R27" s="3">
        <f>65*E27</f>
        <v>14950</v>
      </c>
      <c r="S27" s="27">
        <f>-38*E27</f>
        <v>-8740</v>
      </c>
      <c r="T27" s="27">
        <f>X27*F27*0.0045</f>
        <v>4948.4383127109113</v>
      </c>
      <c r="U27" s="3">
        <f>E27*5</f>
        <v>1150</v>
      </c>
      <c r="V27" s="19"/>
      <c r="W27" s="3">
        <v>0.3</v>
      </c>
      <c r="X27" s="3">
        <f>((O27*F27)+Q27+R27+S27+U27)/G27</f>
        <v>42.754780652418447</v>
      </c>
      <c r="Y27" s="3">
        <f>((O27*F27)+Q27+R27+S27+T27+U27)/G27+W27</f>
        <v>43.333095518150223</v>
      </c>
      <c r="Z27" s="29">
        <f>Y27*G27</f>
        <v>770462.43831271096</v>
      </c>
      <c r="AA27" s="30">
        <v>42908</v>
      </c>
    </row>
    <row r="28" spans="1:27" s="22" customFormat="1" x14ac:dyDescent="0.25">
      <c r="A28" s="86"/>
      <c r="B28" s="17" t="s">
        <v>41</v>
      </c>
      <c r="C28" s="19" t="s">
        <v>42</v>
      </c>
      <c r="D28" s="18" t="s">
        <v>43</v>
      </c>
      <c r="E28" s="19">
        <v>100</v>
      </c>
      <c r="F28" s="20">
        <v>11345</v>
      </c>
      <c r="G28" s="21">
        <v>11720</v>
      </c>
      <c r="H28" s="21">
        <f t="shared" si="1"/>
        <v>375</v>
      </c>
      <c r="I28" s="18" t="s">
        <v>350</v>
      </c>
      <c r="J28" s="65">
        <v>130</v>
      </c>
      <c r="K28" s="24"/>
      <c r="L28" s="24">
        <v>42895</v>
      </c>
      <c r="M28" s="18" t="s">
        <v>49</v>
      </c>
      <c r="N28" s="19"/>
      <c r="O28" s="3">
        <v>28.5</v>
      </c>
      <c r="P28" s="31"/>
      <c r="Q28" s="26">
        <v>15700</v>
      </c>
      <c r="R28" s="3">
        <f>65*E28</f>
        <v>6500</v>
      </c>
      <c r="S28" s="27">
        <f>-38*E28</f>
        <v>-3800</v>
      </c>
      <c r="T28" s="27">
        <f>X28*F28*0.0045</f>
        <v>1490.7700261305461</v>
      </c>
      <c r="U28" s="3">
        <f>E28*5</f>
        <v>500</v>
      </c>
      <c r="V28" s="19"/>
      <c r="W28" s="3">
        <v>0.3</v>
      </c>
      <c r="X28" s="3">
        <f>((O28*F28)+Q28+R28+S28+U28)/G28</f>
        <v>29.200725255972696</v>
      </c>
      <c r="Y28" s="3">
        <f>((O28*F28)+Q28+R28+S28+T28+U28)/G28+W28</f>
        <v>29.627924063663016</v>
      </c>
      <c r="Z28" s="29">
        <f>Y28*G28</f>
        <v>347239.27002613054</v>
      </c>
      <c r="AA28" s="30">
        <v>42908</v>
      </c>
    </row>
    <row r="29" spans="1:27" s="22" customFormat="1" x14ac:dyDescent="0.25">
      <c r="A29" s="86"/>
      <c r="B29" s="17" t="s">
        <v>92</v>
      </c>
      <c r="C29" s="19" t="s">
        <v>351</v>
      </c>
      <c r="D29" s="18" t="s">
        <v>94</v>
      </c>
      <c r="E29" s="19" t="s">
        <v>352</v>
      </c>
      <c r="F29" s="20">
        <v>2000</v>
      </c>
      <c r="G29" s="21">
        <v>2000</v>
      </c>
      <c r="H29" s="21">
        <f t="shared" si="1"/>
        <v>0</v>
      </c>
      <c r="I29" s="18" t="s">
        <v>353</v>
      </c>
      <c r="J29" s="19"/>
      <c r="K29" s="24"/>
      <c r="L29" s="24">
        <v>42895</v>
      </c>
      <c r="M29" s="18" t="s">
        <v>49</v>
      </c>
      <c r="N29" s="19"/>
      <c r="O29" s="3">
        <v>39</v>
      </c>
      <c r="P29" s="31"/>
      <c r="Q29" s="3"/>
      <c r="R29" s="3"/>
      <c r="S29" s="27"/>
      <c r="T29" s="27"/>
      <c r="U29" s="3"/>
      <c r="V29" s="3"/>
      <c r="W29" s="3"/>
      <c r="X29" s="3">
        <f>IF(O29&gt;0,O29,((P29*2.2046*S29)+(Q29+R29)/G29)+V29)</f>
        <v>39</v>
      </c>
      <c r="Y29" s="3">
        <f>IF(O29&gt;0,O29,((P29*2.2046*S29)+(Q29+R29+T29)/G29)+V29+W29)</f>
        <v>39</v>
      </c>
      <c r="Z29" s="29">
        <f>Y29*F29</f>
        <v>78000</v>
      </c>
      <c r="AA29" s="30">
        <v>42895</v>
      </c>
    </row>
    <row r="30" spans="1:27" s="22" customFormat="1" x14ac:dyDescent="0.25">
      <c r="A30" s="86"/>
      <c r="B30" s="17" t="s">
        <v>162</v>
      </c>
      <c r="C30" s="19" t="s">
        <v>163</v>
      </c>
      <c r="D30" s="18" t="s">
        <v>324</v>
      </c>
      <c r="E30" s="19" t="s">
        <v>354</v>
      </c>
      <c r="F30" s="20">
        <v>5000.38</v>
      </c>
      <c r="G30" s="21">
        <v>4999.78</v>
      </c>
      <c r="H30" s="21">
        <f t="shared" si="1"/>
        <v>-0.6000000000003638</v>
      </c>
      <c r="I30" s="18" t="s">
        <v>355</v>
      </c>
      <c r="J30" s="19"/>
      <c r="K30" s="24"/>
      <c r="L30" s="24">
        <v>42895</v>
      </c>
      <c r="M30" s="18" t="s">
        <v>49</v>
      </c>
      <c r="N30" s="19"/>
      <c r="O30" s="3">
        <v>89</v>
      </c>
      <c r="P30" s="31"/>
      <c r="Q30" s="3"/>
      <c r="R30" s="3"/>
      <c r="S30" s="27"/>
      <c r="T30" s="27"/>
      <c r="U30" s="3"/>
      <c r="V30" s="3"/>
      <c r="W30" s="3"/>
      <c r="X30" s="3">
        <f>IF(O30&gt;0,O30,((P30*2.2046*S30)+(Q30+R30)/G30)+V30)</f>
        <v>89</v>
      </c>
      <c r="Y30" s="3">
        <f>IF(O30&gt;0,O30,((P30*2.2046*S30)+(Q30+R30+T30)/G30)+V30+W30)</f>
        <v>89</v>
      </c>
      <c r="Z30" s="29">
        <f>Y30*F30</f>
        <v>445033.82</v>
      </c>
      <c r="AA30" s="30">
        <v>42902</v>
      </c>
    </row>
    <row r="31" spans="1:27" s="22" customFormat="1" x14ac:dyDescent="0.25">
      <c r="A31" s="86"/>
      <c r="B31" s="17" t="s">
        <v>26</v>
      </c>
      <c r="C31" s="18" t="s">
        <v>33</v>
      </c>
      <c r="D31" s="18" t="s">
        <v>33</v>
      </c>
      <c r="E31" s="19" t="s">
        <v>34</v>
      </c>
      <c r="F31" s="20">
        <f>42176*0.4536</f>
        <v>19131.033599999999</v>
      </c>
      <c r="G31" s="21">
        <v>19063.82</v>
      </c>
      <c r="H31" s="21">
        <f t="shared" si="1"/>
        <v>-67.213599999999133</v>
      </c>
      <c r="I31" s="22" t="s">
        <v>356</v>
      </c>
      <c r="J31" s="23" t="s">
        <v>30</v>
      </c>
      <c r="K31" s="24">
        <v>42895</v>
      </c>
      <c r="L31" s="24">
        <v>42896</v>
      </c>
      <c r="M31" s="18" t="s">
        <v>98</v>
      </c>
      <c r="N31" s="18" t="s">
        <v>357</v>
      </c>
      <c r="O31" s="3"/>
      <c r="P31" s="25">
        <f>0.6003+0.105</f>
        <v>0.70529999999999993</v>
      </c>
      <c r="Q31" s="26">
        <v>23000</v>
      </c>
      <c r="R31" s="3">
        <v>9400</v>
      </c>
      <c r="S31" s="51">
        <v>18.471</v>
      </c>
      <c r="T31" s="27">
        <f>X31*F31*0.005</f>
        <v>2921.3273157892459</v>
      </c>
      <c r="V31" s="3">
        <v>0.12</v>
      </c>
      <c r="W31" s="3">
        <v>0.3</v>
      </c>
      <c r="X31" s="3">
        <f>IF(O31&gt;0,O31,((P31*2.2046*S31)+(Q31+R31)/G31)+V31)</f>
        <v>30.540193246947684</v>
      </c>
      <c r="Y31" s="3">
        <f>IF(O31&gt;0,O31,((P31*2.2046*S31)+(Q31+R31+T31)/G31)+V31+W31)</f>
        <v>30.993432593300579</v>
      </c>
      <c r="Z31" s="29">
        <f>Y31*F31</f>
        <v>592936.40032176848</v>
      </c>
      <c r="AA31" s="30">
        <v>42891</v>
      </c>
    </row>
    <row r="32" spans="1:27" s="22" customFormat="1" ht="15.75" thickBot="1" x14ac:dyDescent="0.3">
      <c r="A32" s="87"/>
      <c r="B32" s="34"/>
      <c r="C32" s="6"/>
      <c r="D32" s="6"/>
      <c r="E32" s="6"/>
      <c r="F32" s="35"/>
      <c r="G32" s="35"/>
      <c r="H32" s="35"/>
      <c r="I32" s="9"/>
      <c r="J32" s="6"/>
      <c r="K32" s="10"/>
      <c r="L32" s="10"/>
      <c r="M32" s="6"/>
      <c r="N32" s="6"/>
      <c r="O32" s="11"/>
      <c r="P32" s="12"/>
      <c r="Q32" s="11"/>
      <c r="R32" s="11"/>
      <c r="S32" s="11"/>
      <c r="T32" s="11"/>
      <c r="U32" s="11"/>
      <c r="V32" s="11"/>
      <c r="W32" s="11"/>
      <c r="X32" s="11"/>
      <c r="Y32" s="11"/>
      <c r="Z32" s="15"/>
      <c r="AA32" s="36"/>
    </row>
    <row r="33" spans="1:27" s="22" customFormat="1" x14ac:dyDescent="0.25">
      <c r="A33" s="88"/>
      <c r="B33" s="38" t="s">
        <v>41</v>
      </c>
      <c r="C33" s="38" t="s">
        <v>42</v>
      </c>
      <c r="D33" s="39" t="s">
        <v>51</v>
      </c>
      <c r="E33" s="38">
        <v>258</v>
      </c>
      <c r="F33" s="40">
        <v>28380</v>
      </c>
      <c r="G33" s="41">
        <f>11480+11200</f>
        <v>22680</v>
      </c>
      <c r="H33" s="41">
        <f t="shared" ref="H33:H49" si="2">G33-F33</f>
        <v>-5700</v>
      </c>
      <c r="I33" s="39" t="s">
        <v>358</v>
      </c>
      <c r="J33" s="38"/>
      <c r="K33" s="42"/>
      <c r="L33" s="42">
        <v>42897</v>
      </c>
      <c r="M33" s="39" t="s">
        <v>57</v>
      </c>
      <c r="N33" s="38"/>
      <c r="O33" s="43">
        <v>28.5</v>
      </c>
      <c r="P33" s="44"/>
      <c r="Q33" s="57">
        <v>19800</v>
      </c>
      <c r="R33" s="3">
        <f>65*E33</f>
        <v>16770</v>
      </c>
      <c r="S33" s="27">
        <f>-38*E33</f>
        <v>-9804</v>
      </c>
      <c r="T33" s="46">
        <f>X33*F33*0.0045</f>
        <v>4712.4652142857149</v>
      </c>
      <c r="U33" s="43">
        <f>E33*5</f>
        <v>1290</v>
      </c>
      <c r="V33" s="38"/>
      <c r="W33" s="43">
        <v>0.3</v>
      </c>
      <c r="X33" s="43">
        <f>((O33*F33)+Q33+R33+S33+U33)/G33</f>
        <v>36.899735449735452</v>
      </c>
      <c r="Y33" s="3">
        <f>((O33*F33)+Q33+R33+S33+T33+U33)/G33+W33</f>
        <v>37.407516102922649</v>
      </c>
      <c r="Z33" s="47">
        <f>Y33*G33</f>
        <v>848402.46521428565</v>
      </c>
      <c r="AA33" s="48">
        <v>42912</v>
      </c>
    </row>
    <row r="34" spans="1:27" s="22" customFormat="1" x14ac:dyDescent="0.25">
      <c r="A34" s="89"/>
      <c r="B34" s="17" t="s">
        <v>41</v>
      </c>
      <c r="C34" s="19" t="s">
        <v>42</v>
      </c>
      <c r="D34" s="18" t="s">
        <v>228</v>
      </c>
      <c r="E34" s="19">
        <v>226</v>
      </c>
      <c r="F34" s="20">
        <v>26955</v>
      </c>
      <c r="G34" s="21">
        <f>14290+7460</f>
        <v>21750</v>
      </c>
      <c r="H34" s="21">
        <f t="shared" si="2"/>
        <v>-5205</v>
      </c>
      <c r="I34" s="18" t="s">
        <v>359</v>
      </c>
      <c r="J34" s="19"/>
      <c r="K34" s="24"/>
      <c r="L34" s="24">
        <v>42898</v>
      </c>
      <c r="M34" s="18" t="s">
        <v>60</v>
      </c>
      <c r="N34" s="19"/>
      <c r="O34" s="3">
        <v>28.5</v>
      </c>
      <c r="P34" s="31"/>
      <c r="Q34" s="26">
        <v>19800</v>
      </c>
      <c r="R34" s="3">
        <f>65*E34</f>
        <v>14690</v>
      </c>
      <c r="S34" s="27">
        <f>-38*E34</f>
        <v>-8588</v>
      </c>
      <c r="T34" s="27">
        <f>X34*F34*0.0045</f>
        <v>4435.0241943103447</v>
      </c>
      <c r="U34" s="3">
        <f>E34*5</f>
        <v>1130</v>
      </c>
      <c r="V34" s="19"/>
      <c r="W34" s="3">
        <v>0.3</v>
      </c>
      <c r="X34" s="3">
        <f>((O34*F34)+Q34+R34+S34+U34)/G34</f>
        <v>36.563195402298852</v>
      </c>
      <c r="Y34" s="3">
        <f>((O34*F34)+Q34+R34+S34+T34+U34)/G34+W34</f>
        <v>37.067104560657945</v>
      </c>
      <c r="Z34" s="29">
        <f>Y34*G34</f>
        <v>806209.5241943103</v>
      </c>
      <c r="AA34" s="30">
        <v>42912</v>
      </c>
    </row>
    <row r="35" spans="1:27" s="22" customFormat="1" x14ac:dyDescent="0.25">
      <c r="A35" s="89"/>
      <c r="B35" s="17" t="s">
        <v>217</v>
      </c>
      <c r="C35" s="19" t="s">
        <v>33</v>
      </c>
      <c r="D35" s="18" t="s">
        <v>77</v>
      </c>
      <c r="E35" s="19" t="s">
        <v>78</v>
      </c>
      <c r="F35" s="20">
        <f>931.2+915.8+906.7+917.2</f>
        <v>3670.8999999999996</v>
      </c>
      <c r="G35" s="21">
        <v>3670.9</v>
      </c>
      <c r="H35" s="21">
        <f t="shared" si="2"/>
        <v>0</v>
      </c>
      <c r="I35" s="18" t="s">
        <v>360</v>
      </c>
      <c r="J35" s="19"/>
      <c r="K35" s="24"/>
      <c r="L35" s="24">
        <v>42898</v>
      </c>
      <c r="M35" s="18" t="s">
        <v>60</v>
      </c>
      <c r="N35" s="19"/>
      <c r="O35" s="3">
        <v>19.5</v>
      </c>
      <c r="P35" s="31"/>
      <c r="Q35" s="3"/>
      <c r="R35" s="3"/>
      <c r="S35" s="27"/>
      <c r="T35" s="27"/>
      <c r="U35" s="3"/>
      <c r="V35" s="3"/>
      <c r="W35" s="3"/>
      <c r="X35" s="3">
        <f>IF(O35&gt;0,O35,((P35*2.2046*S35)+(Q35+R35)/G35)+V35)</f>
        <v>19.5</v>
      </c>
      <c r="Y35" s="3">
        <f>IF(O35&gt;0,O35,((P35*2.2046*S35)+(Q35+R35+T35)/G35)+V35+W35)</f>
        <v>19.5</v>
      </c>
      <c r="Z35" s="29">
        <f>Y35*F35</f>
        <v>71582.549999999988</v>
      </c>
      <c r="AA35" s="30">
        <v>42905</v>
      </c>
    </row>
    <row r="36" spans="1:27" s="22" customFormat="1" x14ac:dyDescent="0.25">
      <c r="A36" s="89"/>
      <c r="B36" s="17" t="s">
        <v>26</v>
      </c>
      <c r="C36" s="18" t="s">
        <v>27</v>
      </c>
      <c r="D36" s="18" t="s">
        <v>27</v>
      </c>
      <c r="E36" s="19" t="s">
        <v>28</v>
      </c>
      <c r="F36" s="20">
        <f>40830*0.4536</f>
        <v>18520.488000000001</v>
      </c>
      <c r="G36" s="21">
        <v>18311.04</v>
      </c>
      <c r="H36" s="21">
        <f t="shared" si="2"/>
        <v>-209.44800000000032</v>
      </c>
      <c r="I36" s="22" t="s">
        <v>361</v>
      </c>
      <c r="J36" s="23" t="s">
        <v>30</v>
      </c>
      <c r="K36" s="24">
        <v>42898</v>
      </c>
      <c r="L36" s="24">
        <v>42899</v>
      </c>
      <c r="M36" s="18" t="s">
        <v>62</v>
      </c>
      <c r="N36" s="18" t="s">
        <v>362</v>
      </c>
      <c r="O36" s="3"/>
      <c r="P36" s="25">
        <f>0.6272+0.1</f>
        <v>0.72719999999999996</v>
      </c>
      <c r="Q36" s="26">
        <v>23000</v>
      </c>
      <c r="R36" s="3">
        <v>9400</v>
      </c>
      <c r="S36" s="51">
        <v>18.234999999999999</v>
      </c>
      <c r="T36" s="27">
        <f>X36*F36*0.005</f>
        <v>2882.1125053225833</v>
      </c>
      <c r="V36" s="3">
        <v>0.12</v>
      </c>
      <c r="W36" s="3">
        <v>0.3</v>
      </c>
      <c r="X36" s="3">
        <f>IF(O36&gt;0,O36,((P36*2.2046*S36)+(Q36+R36)/G36)+V36)</f>
        <v>31.123505010479018</v>
      </c>
      <c r="Y36" s="3">
        <f>IF(O36&gt;0,O36,((P36*2.2046*S36)+(Q36+R36+T36)/G36)+V36+W36)</f>
        <v>31.580902542531955</v>
      </c>
      <c r="Z36" s="29">
        <f>Y36*F36</f>
        <v>584893.72656813264</v>
      </c>
      <c r="AA36" s="30">
        <v>42912</v>
      </c>
    </row>
    <row r="37" spans="1:27" s="22" customFormat="1" x14ac:dyDescent="0.25">
      <c r="A37" s="89"/>
      <c r="B37" s="17" t="s">
        <v>26</v>
      </c>
      <c r="C37" s="18" t="s">
        <v>37</v>
      </c>
      <c r="D37" s="18" t="s">
        <v>37</v>
      </c>
      <c r="E37" s="19" t="s">
        <v>28</v>
      </c>
      <c r="F37" s="20">
        <f>41288*0.4536</f>
        <v>18728.236799999999</v>
      </c>
      <c r="G37" s="21">
        <v>18630.53</v>
      </c>
      <c r="H37" s="21">
        <f t="shared" si="2"/>
        <v>-97.70679999999993</v>
      </c>
      <c r="I37" s="22">
        <v>90329</v>
      </c>
      <c r="J37" s="23" t="s">
        <v>30</v>
      </c>
      <c r="K37" s="24">
        <v>42898</v>
      </c>
      <c r="L37" s="24">
        <v>42899</v>
      </c>
      <c r="M37" s="18" t="s">
        <v>62</v>
      </c>
      <c r="N37" s="18" t="s">
        <v>363</v>
      </c>
      <c r="O37" s="3"/>
      <c r="P37" s="25">
        <f>0.6167+0.095</f>
        <v>0.7117</v>
      </c>
      <c r="Q37" s="26">
        <v>23000</v>
      </c>
      <c r="R37" s="3">
        <v>9400</v>
      </c>
      <c r="S37" s="51">
        <v>18.471</v>
      </c>
      <c r="T37" s="27">
        <f>X37*F37*0.005</f>
        <v>2887.9255058325884</v>
      </c>
      <c r="V37" s="3">
        <v>0.12</v>
      </c>
      <c r="W37" s="3">
        <v>0.3</v>
      </c>
      <c r="X37" s="3">
        <f>IF(O37&gt;0,O37,((P37*2.2046*S37)+(Q37+R37)/G37)+V37)</f>
        <v>30.840335229342983</v>
      </c>
      <c r="Y37" s="3">
        <f>IF(O37&gt;0,O37,((P37*2.2046*S37)+(Q37+R37+T37)/G37)+V37+W37)</f>
        <v>31.295345607782707</v>
      </c>
      <c r="Z37" s="29">
        <f>Y37*F37</f>
        <v>586106.64328039438</v>
      </c>
      <c r="AA37" s="30">
        <v>42892</v>
      </c>
    </row>
    <row r="38" spans="1:27" s="22" customFormat="1" x14ac:dyDescent="0.25">
      <c r="A38" s="89"/>
      <c r="B38" s="17" t="s">
        <v>41</v>
      </c>
      <c r="C38" s="19" t="s">
        <v>42</v>
      </c>
      <c r="D38" s="18" t="s">
        <v>51</v>
      </c>
      <c r="E38" s="19">
        <v>220</v>
      </c>
      <c r="F38" s="20">
        <v>25720</v>
      </c>
      <c r="G38" s="21">
        <f>14090+6580</f>
        <v>20670</v>
      </c>
      <c r="H38" s="21">
        <f t="shared" si="2"/>
        <v>-5050</v>
      </c>
      <c r="I38" s="22" t="s">
        <v>364</v>
      </c>
      <c r="J38" s="19"/>
      <c r="K38" s="24"/>
      <c r="L38" s="24">
        <v>42899</v>
      </c>
      <c r="M38" s="18" t="s">
        <v>62</v>
      </c>
      <c r="N38" s="19"/>
      <c r="O38" s="3">
        <v>28.5</v>
      </c>
      <c r="P38" s="31"/>
      <c r="Q38" s="26">
        <v>19800</v>
      </c>
      <c r="R38" s="3">
        <f>65*E38</f>
        <v>14300</v>
      </c>
      <c r="S38" s="27">
        <f>-38*E38</f>
        <v>-8360</v>
      </c>
      <c r="T38" s="27">
        <f>X38*F38*0.005</f>
        <v>4727.5276245766809</v>
      </c>
      <c r="U38" s="3">
        <f>E38*5</f>
        <v>1100</v>
      </c>
      <c r="V38" s="19"/>
      <c r="W38" s="3">
        <v>0.3</v>
      </c>
      <c r="X38" s="3">
        <f>((O38*F38)+Q38+R38+S38+U38)/G38</f>
        <v>36.761490082244798</v>
      </c>
      <c r="Y38" s="3">
        <f>((O38*F38)+Q38+R38+S38+T38+U38)/G38+W38</f>
        <v>37.290204529490886</v>
      </c>
      <c r="Z38" s="29">
        <f>Y38*G38</f>
        <v>770788.52762457659</v>
      </c>
      <c r="AA38" s="30">
        <v>42912</v>
      </c>
    </row>
    <row r="39" spans="1:27" s="22" customFormat="1" x14ac:dyDescent="0.25">
      <c r="A39" s="89"/>
      <c r="B39" s="17" t="s">
        <v>26</v>
      </c>
      <c r="C39" s="18" t="s">
        <v>37</v>
      </c>
      <c r="D39" s="18" t="s">
        <v>37</v>
      </c>
      <c r="E39" s="19" t="s">
        <v>28</v>
      </c>
      <c r="F39" s="20">
        <f>41965*0.4536</f>
        <v>19035.324000000001</v>
      </c>
      <c r="G39" s="21">
        <v>18979.599999999999</v>
      </c>
      <c r="H39" s="21">
        <f t="shared" si="2"/>
        <v>-55.724000000001979</v>
      </c>
      <c r="I39" s="22">
        <v>90373</v>
      </c>
      <c r="J39" s="23" t="s">
        <v>39</v>
      </c>
      <c r="K39" s="24">
        <v>42899</v>
      </c>
      <c r="L39" s="24">
        <v>42900</v>
      </c>
      <c r="M39" s="18" t="s">
        <v>31</v>
      </c>
      <c r="N39" s="18" t="s">
        <v>365</v>
      </c>
      <c r="O39" s="3"/>
      <c r="P39" s="25">
        <f>0.6272+0.095</f>
        <v>0.72219999999999995</v>
      </c>
      <c r="Q39" s="26">
        <v>23000</v>
      </c>
      <c r="R39" s="3">
        <v>9400</v>
      </c>
      <c r="S39" s="51">
        <v>18.471</v>
      </c>
      <c r="T39" s="27">
        <f>X39*F39*0.005</f>
        <v>2972.929531697755</v>
      </c>
      <c r="V39" s="3">
        <v>0.12</v>
      </c>
      <c r="W39" s="3">
        <v>0.3</v>
      </c>
      <c r="X39" s="3">
        <f>IF(O39&gt;0,O39,((P39*2.2046*S39)+(Q39+R39)/G39)+V39)</f>
        <v>31.235922558478695</v>
      </c>
      <c r="Y39" s="3">
        <f>IF(O39&gt;0,O39,((P39*2.2046*S39)+(Q39+R39+T39)/G39)+V39+W39)</f>
        <v>31.692560713745284</v>
      </c>
      <c r="Z39" s="29">
        <f>Y39*F39</f>
        <v>603278.16157581273</v>
      </c>
      <c r="AA39" s="30">
        <v>42893</v>
      </c>
    </row>
    <row r="40" spans="1:27" s="22" customFormat="1" x14ac:dyDescent="0.25">
      <c r="A40" s="89"/>
      <c r="B40" s="17" t="s">
        <v>41</v>
      </c>
      <c r="C40" s="19" t="s">
        <v>42</v>
      </c>
      <c r="D40" s="18" t="s">
        <v>336</v>
      </c>
      <c r="E40" s="19">
        <v>220</v>
      </c>
      <c r="F40" s="20">
        <v>27665</v>
      </c>
      <c r="G40" s="21">
        <f>14860+7050</f>
        <v>21910</v>
      </c>
      <c r="H40" s="21">
        <f t="shared" si="2"/>
        <v>-5755</v>
      </c>
      <c r="I40" s="22" t="s">
        <v>366</v>
      </c>
      <c r="J40" s="19"/>
      <c r="K40" s="24"/>
      <c r="L40" s="24">
        <v>42900</v>
      </c>
      <c r="M40" s="18" t="s">
        <v>31</v>
      </c>
      <c r="N40" s="19"/>
      <c r="O40" s="3">
        <v>28.5</v>
      </c>
      <c r="P40" s="31"/>
      <c r="Q40" s="33">
        <v>19800</v>
      </c>
      <c r="R40" s="3">
        <f>65*E40</f>
        <v>14300</v>
      </c>
      <c r="S40" s="27">
        <f>-38*E40</f>
        <v>-8360</v>
      </c>
      <c r="T40" s="27">
        <f>X40*F40*0.0045</f>
        <v>4632.4875196827934</v>
      </c>
      <c r="U40" s="3">
        <f>E40*5</f>
        <v>1100</v>
      </c>
      <c r="V40" s="19"/>
      <c r="W40" s="3">
        <v>0.3</v>
      </c>
      <c r="X40" s="3">
        <f>((O40*F40)+Q40+R40+S40+U40)/G40</f>
        <v>37.210976722957554</v>
      </c>
      <c r="Y40" s="3">
        <f>((O40*F40)+Q40+R40+S40+T40+U40)/G40+W40</f>
        <v>37.722409288894696</v>
      </c>
      <c r="Z40" s="29">
        <f>Y40*G40</f>
        <v>826497.98751968273</v>
      </c>
      <c r="AA40" s="30">
        <v>42913</v>
      </c>
    </row>
    <row r="41" spans="1:27" s="22" customFormat="1" x14ac:dyDescent="0.25">
      <c r="A41" s="89"/>
      <c r="B41" s="17" t="s">
        <v>26</v>
      </c>
      <c r="C41" s="18" t="s">
        <v>33</v>
      </c>
      <c r="D41" s="18" t="s">
        <v>33</v>
      </c>
      <c r="E41" s="19" t="s">
        <v>34</v>
      </c>
      <c r="F41" s="20">
        <f>42517*0.4536</f>
        <v>19285.711200000002</v>
      </c>
      <c r="G41" s="21">
        <v>18983.29</v>
      </c>
      <c r="H41" s="21">
        <f t="shared" si="2"/>
        <v>-302.42120000000068</v>
      </c>
      <c r="I41" s="22" t="s">
        <v>367</v>
      </c>
      <c r="J41" s="23" t="s">
        <v>30</v>
      </c>
      <c r="K41" s="24">
        <v>42901</v>
      </c>
      <c r="L41" s="24">
        <v>42902</v>
      </c>
      <c r="M41" s="18" t="s">
        <v>49</v>
      </c>
      <c r="N41" s="18" t="s">
        <v>368</v>
      </c>
      <c r="O41" s="3"/>
      <c r="P41" s="25">
        <v>0.76939999999999997</v>
      </c>
      <c r="Q41" s="26">
        <v>23000</v>
      </c>
      <c r="R41" s="3">
        <v>9400</v>
      </c>
      <c r="S41" s="27">
        <v>18.263000000000002</v>
      </c>
      <c r="T41" s="27">
        <f>X41*F41*0.005</f>
        <v>3163.321055261621</v>
      </c>
      <c r="V41" s="3">
        <v>0.12</v>
      </c>
      <c r="W41" s="3">
        <v>0.3</v>
      </c>
      <c r="X41" s="3">
        <f>IF(O41&gt;0,O41,((P41*2.2046*S41)+(Q41+R41)/G41)+V41)</f>
        <v>32.804816192224436</v>
      </c>
      <c r="Y41" s="3">
        <f>IF(O41&gt;0,O41,((P41*2.2046*S41)+(Q41+R41+T41)/G41)+V41+W41)</f>
        <v>33.271453327055205</v>
      </c>
      <c r="Z41" s="29">
        <f>Y41*F41</f>
        <v>641663.64006986585</v>
      </c>
      <c r="AA41" s="30">
        <v>42894</v>
      </c>
    </row>
    <row r="42" spans="1:27" s="22" customFormat="1" x14ac:dyDescent="0.25">
      <c r="A42" s="89"/>
      <c r="B42" s="17" t="s">
        <v>41</v>
      </c>
      <c r="C42" s="19" t="s">
        <v>42</v>
      </c>
      <c r="D42" s="18" t="s">
        <v>51</v>
      </c>
      <c r="E42" s="19">
        <f>250</f>
        <v>250</v>
      </c>
      <c r="F42" s="20">
        <f>28610</f>
        <v>28610</v>
      </c>
      <c r="G42" s="21">
        <f>22890</f>
        <v>22890</v>
      </c>
      <c r="H42" s="21">
        <f t="shared" si="2"/>
        <v>-5720</v>
      </c>
      <c r="I42" s="22" t="s">
        <v>369</v>
      </c>
      <c r="J42" s="19"/>
      <c r="K42" s="24"/>
      <c r="L42" s="24">
        <v>42901</v>
      </c>
      <c r="M42" s="18" t="s">
        <v>47</v>
      </c>
      <c r="N42" s="19"/>
      <c r="O42" s="3">
        <v>28.5</v>
      </c>
      <c r="P42" s="31"/>
      <c r="Q42" s="26">
        <f>19800</f>
        <v>19800</v>
      </c>
      <c r="R42" s="3">
        <f>65*E42</f>
        <v>16250</v>
      </c>
      <c r="S42" s="27">
        <f>-38*E42</f>
        <v>-9500</v>
      </c>
      <c r="T42" s="27">
        <f>X42*F42*0.0045</f>
        <v>4742.5012155963295</v>
      </c>
      <c r="U42" s="3">
        <f>E42*5</f>
        <v>1250</v>
      </c>
      <c r="V42" s="19"/>
      <c r="W42" s="3">
        <v>0.3</v>
      </c>
      <c r="X42" s="3">
        <f>((O42*F42)+Q42+R42+S42+U42)/G42</f>
        <v>36.836391437308869</v>
      </c>
      <c r="Y42" s="3">
        <f>((O42*F42)+Q42+R42+S42+T42+U42)/G42+W42</f>
        <v>37.343578034757371</v>
      </c>
      <c r="Z42" s="29">
        <f>Y42*G42</f>
        <v>854794.50121559622</v>
      </c>
      <c r="AA42" s="30">
        <v>42914</v>
      </c>
    </row>
    <row r="43" spans="1:27" s="22" customFormat="1" x14ac:dyDescent="0.25">
      <c r="A43" s="89"/>
      <c r="B43" s="17" t="s">
        <v>41</v>
      </c>
      <c r="C43" s="19" t="s">
        <v>42</v>
      </c>
      <c r="D43" s="18" t="s">
        <v>43</v>
      </c>
      <c r="E43" s="19">
        <v>130</v>
      </c>
      <c r="F43" s="20">
        <v>14150</v>
      </c>
      <c r="G43" s="21">
        <v>10910</v>
      </c>
      <c r="H43" s="21">
        <f t="shared" si="2"/>
        <v>-3240</v>
      </c>
      <c r="I43" s="22" t="s">
        <v>370</v>
      </c>
      <c r="J43" s="19"/>
      <c r="K43" s="24"/>
      <c r="L43" s="24">
        <v>42901</v>
      </c>
      <c r="M43" s="18" t="s">
        <v>47</v>
      </c>
      <c r="N43" s="19"/>
      <c r="O43" s="3">
        <v>28.5</v>
      </c>
      <c r="P43" s="31"/>
      <c r="Q43" s="26">
        <v>15700</v>
      </c>
      <c r="R43" s="3">
        <f>65*E43</f>
        <v>8450</v>
      </c>
      <c r="S43" s="27">
        <f>-38*E43</f>
        <v>-4940</v>
      </c>
      <c r="T43" s="27">
        <f>X43*F43*0.0045</f>
        <v>2469.5803047662694</v>
      </c>
      <c r="U43" s="3">
        <f>E43*5</f>
        <v>650</v>
      </c>
      <c r="V43" s="19"/>
      <c r="W43" s="3">
        <v>0.3</v>
      </c>
      <c r="X43" s="3">
        <f>((O43*F43)+Q43+R43+S43+U43)/G43</f>
        <v>38.784142988084326</v>
      </c>
      <c r="Y43" s="3">
        <f>((O43*F43)+Q43+R43+S43+T43+U43)/G43+W43</f>
        <v>39.310502319410283</v>
      </c>
      <c r="Z43" s="29">
        <f>Y43*G43</f>
        <v>428877.58030476619</v>
      </c>
      <c r="AA43" s="30">
        <v>42914</v>
      </c>
    </row>
    <row r="44" spans="1:27" s="22" customFormat="1" x14ac:dyDescent="0.25">
      <c r="A44" s="89"/>
      <c r="B44" s="17" t="s">
        <v>26</v>
      </c>
      <c r="C44" s="18" t="s">
        <v>27</v>
      </c>
      <c r="D44" s="18" t="s">
        <v>27</v>
      </c>
      <c r="E44" s="19" t="s">
        <v>28</v>
      </c>
      <c r="F44" s="20">
        <f>39312*0.4536</f>
        <v>17831.923200000001</v>
      </c>
      <c r="G44" s="21">
        <v>17781.12</v>
      </c>
      <c r="H44" s="21">
        <f t="shared" si="2"/>
        <v>-50.803200000002107</v>
      </c>
      <c r="I44" s="22" t="s">
        <v>371</v>
      </c>
      <c r="J44" s="23" t="s">
        <v>30</v>
      </c>
      <c r="K44" s="24">
        <v>42901</v>
      </c>
      <c r="L44" s="24">
        <v>42902</v>
      </c>
      <c r="M44" s="18" t="s">
        <v>49</v>
      </c>
      <c r="N44" s="18" t="s">
        <v>372</v>
      </c>
      <c r="O44" s="3"/>
      <c r="P44" s="25">
        <f>0.6453+0.1</f>
        <v>0.74529999999999996</v>
      </c>
      <c r="Q44" s="26">
        <v>23000</v>
      </c>
      <c r="R44" s="3">
        <v>9400</v>
      </c>
      <c r="S44" s="51">
        <v>17.998000000000001</v>
      </c>
      <c r="T44" s="27">
        <f>X44*F44*0.005</f>
        <v>2809.817339072345</v>
      </c>
      <c r="V44" s="3">
        <v>0.12</v>
      </c>
      <c r="W44" s="3">
        <v>0.3</v>
      </c>
      <c r="X44" s="3">
        <f>IF(O44&gt;0,O44,((P44*2.2046*S44)+(Q44+R44)/G44)+V44)</f>
        <v>31.514462097642333</v>
      </c>
      <c r="Y44" s="3">
        <f>IF(O44&gt;0,O44,((P44*2.2046*S44)+(Q44+R44+T44)/G44)+V44+W44)</f>
        <v>31.97248461473194</v>
      </c>
      <c r="Z44" s="29">
        <f>Y44*F44</f>
        <v>570130.89016308158</v>
      </c>
      <c r="AA44" s="30">
        <v>42913</v>
      </c>
    </row>
    <row r="45" spans="1:27" s="22" customFormat="1" x14ac:dyDescent="0.25">
      <c r="A45" s="89"/>
      <c r="B45" s="17" t="s">
        <v>26</v>
      </c>
      <c r="C45" s="18" t="s">
        <v>33</v>
      </c>
      <c r="D45" s="18" t="s">
        <v>33</v>
      </c>
      <c r="E45" s="19" t="s">
        <v>34</v>
      </c>
      <c r="F45" s="20">
        <f>43269*0.4536</f>
        <v>19626.8184</v>
      </c>
      <c r="G45" s="21">
        <v>19512.400000000001</v>
      </c>
      <c r="H45" s="21">
        <f t="shared" si="2"/>
        <v>-114.41839999999866</v>
      </c>
      <c r="I45" s="22" t="s">
        <v>373</v>
      </c>
      <c r="J45" s="23" t="s">
        <v>30</v>
      </c>
      <c r="K45" s="24">
        <v>42901</v>
      </c>
      <c r="L45" s="24">
        <v>42902</v>
      </c>
      <c r="M45" s="18" t="s">
        <v>49</v>
      </c>
      <c r="N45" s="18" t="s">
        <v>368</v>
      </c>
      <c r="O45" s="3"/>
      <c r="P45" s="25">
        <f>0.6644+0.105</f>
        <v>0.76939999999999997</v>
      </c>
      <c r="Q45" s="26">
        <v>23000</v>
      </c>
      <c r="R45" s="3">
        <v>9400</v>
      </c>
      <c r="S45" s="27">
        <v>18.268999999999998</v>
      </c>
      <c r="T45" s="27">
        <f>X45*F45*0.005</f>
        <v>3215.7277844391174</v>
      </c>
      <c r="V45" s="3">
        <v>0.12</v>
      </c>
      <c r="W45" s="3">
        <v>0.3</v>
      </c>
      <c r="X45" s="3">
        <f>IF(O45&gt;0,O45,((P45*2.2046*S45)+(Q45+R45)/G45)+V45)</f>
        <v>32.768711860493063</v>
      </c>
      <c r="Y45" s="3">
        <f>IF(O45&gt;0,O45,((P45*2.2046*S45)+(Q45+R45+T45)/G45)+V45+W45)</f>
        <v>33.233516179000219</v>
      </c>
      <c r="Z45" s="29">
        <f>Y45*F45</f>
        <v>652268.18683869916</v>
      </c>
      <c r="AA45" s="30">
        <v>42895</v>
      </c>
    </row>
    <row r="46" spans="1:27" s="22" customFormat="1" x14ac:dyDescent="0.25">
      <c r="A46" s="89"/>
      <c r="B46" s="17" t="s">
        <v>41</v>
      </c>
      <c r="C46" s="19" t="s">
        <v>42</v>
      </c>
      <c r="D46" s="18" t="s">
        <v>51</v>
      </c>
      <c r="E46" s="19">
        <v>250</v>
      </c>
      <c r="F46" s="20">
        <v>27910</v>
      </c>
      <c r="G46" s="21">
        <v>22280</v>
      </c>
      <c r="H46" s="21">
        <f t="shared" si="2"/>
        <v>-5630</v>
      </c>
      <c r="I46" s="22" t="s">
        <v>374</v>
      </c>
      <c r="J46" s="19"/>
      <c r="K46" s="24"/>
      <c r="L46" s="24">
        <v>42902</v>
      </c>
      <c r="M46" s="18" t="s">
        <v>49</v>
      </c>
      <c r="N46" s="19"/>
      <c r="O46" s="3">
        <v>28.5</v>
      </c>
      <c r="P46" s="31"/>
      <c r="Q46" s="33">
        <v>19800</v>
      </c>
      <c r="R46" s="3">
        <f>65*E46</f>
        <v>16250</v>
      </c>
      <c r="S46" s="27">
        <f>-38*E46</f>
        <v>-9500</v>
      </c>
      <c r="T46" s="27">
        <f>X46*F46*0.0045</f>
        <v>4640.6732416965888</v>
      </c>
      <c r="U46" s="3">
        <f>E46*5</f>
        <v>1250</v>
      </c>
      <c r="V46" s="19"/>
      <c r="W46" s="3">
        <v>0.3</v>
      </c>
      <c r="X46" s="3">
        <f>((O46*F46)+Q46+R46+S46+U46)/G46</f>
        <v>36.94950628366248</v>
      </c>
      <c r="Y46" s="3">
        <f>((O46*F46)+Q46+R46+S46+T46+U46)/G46+W46</f>
        <v>37.457795028801456</v>
      </c>
      <c r="Z46" s="29">
        <f>Y46*G46</f>
        <v>834559.67324169644</v>
      </c>
      <c r="AA46" s="30">
        <v>42915</v>
      </c>
    </row>
    <row r="47" spans="1:27" s="22" customFormat="1" x14ac:dyDescent="0.25">
      <c r="A47" s="89"/>
      <c r="B47" s="17" t="s">
        <v>41</v>
      </c>
      <c r="C47" s="19" t="s">
        <v>42</v>
      </c>
      <c r="D47" s="18" t="s">
        <v>375</v>
      </c>
      <c r="E47" s="19">
        <v>126</v>
      </c>
      <c r="F47" s="20">
        <f>13485-210.7</f>
        <v>13274.3</v>
      </c>
      <c r="G47" s="21">
        <v>10370</v>
      </c>
      <c r="H47" s="21">
        <f t="shared" si="2"/>
        <v>-2904.2999999999993</v>
      </c>
      <c r="I47" s="18" t="s">
        <v>376</v>
      </c>
      <c r="J47" s="59">
        <v>124</v>
      </c>
      <c r="K47" s="24"/>
      <c r="L47" s="24">
        <v>42902</v>
      </c>
      <c r="M47" s="18" t="s">
        <v>49</v>
      </c>
      <c r="N47" s="19"/>
      <c r="O47" s="3">
        <v>28.5</v>
      </c>
      <c r="P47" s="31"/>
      <c r="Q47" s="26">
        <v>15700</v>
      </c>
      <c r="R47" s="3">
        <f>65*E47</f>
        <v>8190</v>
      </c>
      <c r="S47" s="27">
        <f>-38*E47</f>
        <v>-4788</v>
      </c>
      <c r="T47" s="27">
        <f>X47*F47*0.0045</f>
        <v>2292.8863198690933</v>
      </c>
      <c r="U47" s="3">
        <f>E47*5</f>
        <v>630</v>
      </c>
      <c r="V47" s="19"/>
      <c r="W47" s="3">
        <v>0.3</v>
      </c>
      <c r="X47" s="3">
        <f>((O47*F47)+Q47+R47+S47+U47)/G47</f>
        <v>38.384720347155252</v>
      </c>
      <c r="Y47" s="3">
        <f>((O47*F47)+Q47+R47+S47+T47+U47)/G47+W47</f>
        <v>38.905827996130093</v>
      </c>
      <c r="Z47" s="29">
        <f>Y47*G47</f>
        <v>403453.43631986907</v>
      </c>
      <c r="AA47" s="30">
        <v>42915</v>
      </c>
    </row>
    <row r="48" spans="1:27" s="22" customFormat="1" x14ac:dyDescent="0.25">
      <c r="A48" s="89"/>
      <c r="B48" s="17" t="s">
        <v>217</v>
      </c>
      <c r="C48" s="19" t="s">
        <v>33</v>
      </c>
      <c r="D48" s="18" t="s">
        <v>77</v>
      </c>
      <c r="E48" s="19" t="s">
        <v>218</v>
      </c>
      <c r="F48" s="20">
        <v>2685.2</v>
      </c>
      <c r="G48" s="21">
        <v>2685.2</v>
      </c>
      <c r="H48" s="21">
        <f t="shared" si="2"/>
        <v>0</v>
      </c>
      <c r="I48" s="18" t="s">
        <v>377</v>
      </c>
      <c r="J48" s="19"/>
      <c r="K48" s="24"/>
      <c r="L48" s="24">
        <v>42902</v>
      </c>
      <c r="M48" s="18" t="s">
        <v>49</v>
      </c>
      <c r="N48" s="19"/>
      <c r="O48" s="3">
        <v>19.3</v>
      </c>
      <c r="P48" s="31"/>
      <c r="Q48" s="3"/>
      <c r="R48" s="3"/>
      <c r="S48" s="27"/>
      <c r="T48" s="27"/>
      <c r="U48" s="3"/>
      <c r="V48" s="3"/>
      <c r="W48" s="3"/>
      <c r="X48" s="3">
        <f>IF(O48&gt;0,O48,((P48*2.2046*S48)+(Q48+R48)/G48)+V48)</f>
        <v>19.3</v>
      </c>
      <c r="Y48" s="3">
        <f>IF(O48&gt;0,O48,((P48*2.2046*S48)+(Q48+R48+T48)/G48)+V48+W48)</f>
        <v>19.3</v>
      </c>
      <c r="Z48" s="29">
        <f>Y48*F48</f>
        <v>51824.36</v>
      </c>
      <c r="AA48" s="30">
        <v>42909</v>
      </c>
    </row>
    <row r="49" spans="1:27" s="22" customFormat="1" x14ac:dyDescent="0.25">
      <c r="A49" s="89"/>
      <c r="B49" s="17" t="s">
        <v>26</v>
      </c>
      <c r="C49" s="18" t="s">
        <v>33</v>
      </c>
      <c r="D49" s="18" t="s">
        <v>33</v>
      </c>
      <c r="E49" s="19" t="s">
        <v>34</v>
      </c>
      <c r="F49" s="20">
        <f>42800*0.4536</f>
        <v>19414.080000000002</v>
      </c>
      <c r="G49" s="21">
        <v>19318.400000000001</v>
      </c>
      <c r="H49" s="21">
        <f t="shared" si="2"/>
        <v>-95.680000000000291</v>
      </c>
      <c r="I49" s="22" t="s">
        <v>378</v>
      </c>
      <c r="J49" s="23" t="s">
        <v>30</v>
      </c>
      <c r="K49" s="24">
        <v>42902</v>
      </c>
      <c r="L49" s="24">
        <v>42903</v>
      </c>
      <c r="M49" s="18" t="s">
        <v>98</v>
      </c>
      <c r="N49" s="18" t="s">
        <v>379</v>
      </c>
      <c r="O49" s="3"/>
      <c r="P49" s="25">
        <f>0.6816+0.105</f>
        <v>0.78659999999999997</v>
      </c>
      <c r="Q49" s="26">
        <v>23000</v>
      </c>
      <c r="R49" s="3">
        <v>9400</v>
      </c>
      <c r="S49" s="51">
        <v>18.167000000000002</v>
      </c>
      <c r="T49" s="27">
        <f>X49*F49*0.005</f>
        <v>3232.5655720629729</v>
      </c>
      <c r="V49" s="3">
        <v>0.12</v>
      </c>
      <c r="W49" s="3">
        <v>0.3</v>
      </c>
      <c r="X49" s="3">
        <f>IF(O49&gt;0,O49,((P49*2.2046*S49)+(Q49+R49)/G49)+V49)</f>
        <v>33.301249114693796</v>
      </c>
      <c r="Y49" s="3">
        <f>IF(O49&gt;0,O49,((P49*2.2046*S49)+(Q49+R49+T49)/G49)+V49+W49)</f>
        <v>33.768580030921996</v>
      </c>
      <c r="Z49" s="29">
        <f>Y49*F49</f>
        <v>655585.91420672217</v>
      </c>
      <c r="AA49" s="30">
        <v>42898</v>
      </c>
    </row>
    <row r="50" spans="1:27" s="22" customFormat="1" ht="15.75" thickBot="1" x14ac:dyDescent="0.3">
      <c r="A50" s="90"/>
      <c r="B50" s="34"/>
      <c r="C50" s="6"/>
      <c r="D50" s="6"/>
      <c r="E50" s="6"/>
      <c r="F50" s="35"/>
      <c r="G50" s="35"/>
      <c r="H50" s="35"/>
      <c r="I50" s="9"/>
      <c r="J50" s="6"/>
      <c r="K50" s="10"/>
      <c r="L50" s="10"/>
      <c r="M50" s="6"/>
      <c r="N50" s="6"/>
      <c r="O50" s="11"/>
      <c r="P50" s="12"/>
      <c r="Q50" s="11"/>
      <c r="R50" s="11"/>
      <c r="S50" s="11"/>
      <c r="T50" s="11"/>
      <c r="U50" s="11"/>
      <c r="V50" s="11"/>
      <c r="W50" s="11"/>
      <c r="X50" s="11"/>
      <c r="Y50" s="11"/>
      <c r="Z50" s="15"/>
      <c r="AA50" s="36"/>
    </row>
    <row r="51" spans="1:27" s="22" customFormat="1" x14ac:dyDescent="0.25">
      <c r="A51" s="91"/>
      <c r="B51" s="38" t="s">
        <v>41</v>
      </c>
      <c r="C51" s="38" t="s">
        <v>42</v>
      </c>
      <c r="D51" s="39" t="s">
        <v>58</v>
      </c>
      <c r="E51" s="38">
        <v>259</v>
      </c>
      <c r="F51" s="40">
        <v>30315</v>
      </c>
      <c r="G51" s="41">
        <f>12070+12050</f>
        <v>24120</v>
      </c>
      <c r="H51" s="41">
        <f t="shared" ref="H51:H70" si="3">G51-F51</f>
        <v>-6195</v>
      </c>
      <c r="I51" s="39" t="s">
        <v>380</v>
      </c>
      <c r="J51" s="38"/>
      <c r="K51" s="42"/>
      <c r="L51" s="42">
        <v>42904</v>
      </c>
      <c r="M51" s="39" t="s">
        <v>57</v>
      </c>
      <c r="N51" s="38"/>
      <c r="O51" s="43">
        <v>28.5</v>
      </c>
      <c r="P51" s="44"/>
      <c r="Q51" s="45">
        <v>19800</v>
      </c>
      <c r="R51" s="3">
        <f>65*E51</f>
        <v>16835</v>
      </c>
      <c r="S51" s="27">
        <f>-38*E51</f>
        <v>-9842</v>
      </c>
      <c r="T51" s="46">
        <f>X51*F51*0.0045</f>
        <v>5045.3294090485069</v>
      </c>
      <c r="U51" s="43">
        <f>E51*5</f>
        <v>1295</v>
      </c>
      <c r="V51" s="38"/>
      <c r="W51" s="43">
        <v>0.3</v>
      </c>
      <c r="X51" s="43">
        <f>((O51*F51)+Q51+R51+S51+U51)/G51</f>
        <v>36.984473466003315</v>
      </c>
      <c r="Y51" s="3">
        <f>((O51*F51)+Q51+R51+S51+T51+U51)/G51+W51</f>
        <v>37.493649643824561</v>
      </c>
      <c r="Z51" s="47">
        <f>Y51*G51</f>
        <v>904346.82940904843</v>
      </c>
      <c r="AA51" s="48">
        <v>42919</v>
      </c>
    </row>
    <row r="52" spans="1:27" s="22" customFormat="1" x14ac:dyDescent="0.25">
      <c r="A52" s="92"/>
      <c r="B52" s="17" t="s">
        <v>41</v>
      </c>
      <c r="C52" s="19" t="s">
        <v>42</v>
      </c>
      <c r="D52" s="18" t="s">
        <v>51</v>
      </c>
      <c r="E52" s="19">
        <f>150+80</f>
        <v>230</v>
      </c>
      <c r="F52" s="20">
        <v>26785</v>
      </c>
      <c r="G52" s="21">
        <f>14140+7490</f>
        <v>21630</v>
      </c>
      <c r="H52" s="21">
        <f t="shared" si="3"/>
        <v>-5155</v>
      </c>
      <c r="I52" s="18" t="s">
        <v>381</v>
      </c>
      <c r="J52" s="19"/>
      <c r="K52" s="24"/>
      <c r="L52" s="24">
        <v>42905</v>
      </c>
      <c r="M52" s="18" t="s">
        <v>60</v>
      </c>
      <c r="N52" s="19"/>
      <c r="O52" s="3">
        <v>28.8</v>
      </c>
      <c r="P52" s="31"/>
      <c r="Q52" s="26">
        <v>19800</v>
      </c>
      <c r="R52" s="3">
        <f>65*E52</f>
        <v>14950</v>
      </c>
      <c r="S52" s="27">
        <f>-38*E52</f>
        <v>-8740</v>
      </c>
      <c r="T52" s="27">
        <f>X52*F52*0.0045</f>
        <v>4449.9952593619964</v>
      </c>
      <c r="U52" s="3">
        <f>E52*5</f>
        <v>1150</v>
      </c>
      <c r="V52" s="19"/>
      <c r="W52" s="3">
        <v>0.3</v>
      </c>
      <c r="X52" s="3">
        <f>((O52*F52)+Q52+R52+S52+U52)/G52</f>
        <v>36.919463707813222</v>
      </c>
      <c r="Y52" s="3">
        <f>((O52*F52)+Q52+R52+S52+T52+U52)/G52+W52</f>
        <v>37.425196267191957</v>
      </c>
      <c r="Z52" s="29">
        <f>Y52*G52</f>
        <v>809506.99525936204</v>
      </c>
      <c r="AA52" s="30">
        <v>42919</v>
      </c>
    </row>
    <row r="53" spans="1:27" s="22" customFormat="1" x14ac:dyDescent="0.25">
      <c r="A53" s="92"/>
      <c r="B53" s="17" t="s">
        <v>26</v>
      </c>
      <c r="C53" s="18" t="s">
        <v>27</v>
      </c>
      <c r="D53" s="18" t="s">
        <v>27</v>
      </c>
      <c r="E53" s="19" t="s">
        <v>34</v>
      </c>
      <c r="F53" s="20">
        <f>40161*0.4536</f>
        <v>18217.029600000002</v>
      </c>
      <c r="G53" s="21">
        <v>18156.07</v>
      </c>
      <c r="H53" s="21">
        <f t="shared" si="3"/>
        <v>-60.959600000001956</v>
      </c>
      <c r="I53" s="22" t="s">
        <v>382</v>
      </c>
      <c r="J53" s="23" t="s">
        <v>30</v>
      </c>
      <c r="K53" s="24">
        <v>42905</v>
      </c>
      <c r="L53" s="24">
        <v>42906</v>
      </c>
      <c r="M53" s="18" t="s">
        <v>62</v>
      </c>
      <c r="N53" s="18" t="s">
        <v>383</v>
      </c>
      <c r="O53" s="3"/>
      <c r="P53" s="25">
        <f>0.6902+0.1</f>
        <v>0.79020000000000001</v>
      </c>
      <c r="Q53" s="26">
        <v>23000</v>
      </c>
      <c r="R53" s="3">
        <v>9400</v>
      </c>
      <c r="S53" s="51">
        <v>17.954999999999998</v>
      </c>
      <c r="T53" s="27">
        <f>X53*F53*0.005</f>
        <v>3022.5224007077441</v>
      </c>
      <c r="V53" s="3">
        <v>0.12</v>
      </c>
      <c r="W53" s="3">
        <v>0.3</v>
      </c>
      <c r="X53" s="3">
        <f>IF(O53&gt;0,O53,((P53*2.2046*S53)+(Q53+R53)/G53)+V53)</f>
        <v>33.183482346734991</v>
      </c>
      <c r="Y53" s="3">
        <f>IF(O53&gt;0,O53,((P53*2.2046*S53)+(Q53+R53+T53)/G53)+V53+W53)</f>
        <v>33.649956831615675</v>
      </c>
      <c r="Z53" s="29">
        <f>Y53*F53</f>
        <v>613002.25964026502</v>
      </c>
      <c r="AA53" s="30">
        <v>42916</v>
      </c>
    </row>
    <row r="54" spans="1:27" s="22" customFormat="1" x14ac:dyDescent="0.25">
      <c r="A54" s="92"/>
      <c r="B54" s="17" t="s">
        <v>26</v>
      </c>
      <c r="C54" s="18" t="s">
        <v>37</v>
      </c>
      <c r="D54" s="18" t="s">
        <v>37</v>
      </c>
      <c r="E54" s="19" t="s">
        <v>28</v>
      </c>
      <c r="F54" s="20">
        <f>41279*0.4536</f>
        <v>18724.154399999999</v>
      </c>
      <c r="G54" s="21">
        <v>18640.53</v>
      </c>
      <c r="H54" s="21">
        <f t="shared" si="3"/>
        <v>-83.624400000000605</v>
      </c>
      <c r="I54" s="22">
        <v>90331</v>
      </c>
      <c r="J54" s="23" t="s">
        <v>30</v>
      </c>
      <c r="K54" s="24">
        <v>42905</v>
      </c>
      <c r="L54" s="24">
        <v>42906</v>
      </c>
      <c r="M54" s="18" t="s">
        <v>62</v>
      </c>
      <c r="N54" s="18" t="s">
        <v>384</v>
      </c>
      <c r="O54" s="3"/>
      <c r="P54" s="25">
        <f>0.7016+0.095</f>
        <v>0.79659999999999997</v>
      </c>
      <c r="Q54" s="26">
        <v>23000</v>
      </c>
      <c r="R54" s="3">
        <v>9400</v>
      </c>
      <c r="S54" s="51">
        <v>18.206</v>
      </c>
      <c r="T54" s="27">
        <f>X54*F54*0.005</f>
        <v>3167.3068497197532</v>
      </c>
      <c r="V54" s="3">
        <v>0.12</v>
      </c>
      <c r="W54" s="3">
        <v>0.3</v>
      </c>
      <c r="X54" s="3">
        <f>IF(O54&gt;0,O54,((P54*2.2046*S54)+(Q54+R54)/G54)+V54)</f>
        <v>33.831240461462478</v>
      </c>
      <c r="Y54" s="3">
        <f>IF(O54&gt;0,O54,((P54*2.2046*S54)+(Q54+R54+T54)/G54)+V54+W54)</f>
        <v>34.301155525557746</v>
      </c>
      <c r="Z54" s="29">
        <f>Y54*F54</f>
        <v>642260.13215895637</v>
      </c>
      <c r="AA54" s="30">
        <v>42899</v>
      </c>
    </row>
    <row r="55" spans="1:27" s="22" customFormat="1" x14ac:dyDescent="0.25">
      <c r="A55" s="92"/>
      <c r="B55" s="17" t="s">
        <v>41</v>
      </c>
      <c r="C55" s="19" t="s">
        <v>42</v>
      </c>
      <c r="D55" s="18" t="s">
        <v>43</v>
      </c>
      <c r="E55" s="19">
        <v>220</v>
      </c>
      <c r="F55" s="20">
        <v>24550</v>
      </c>
      <c r="G55" s="21">
        <f>13400+6250</f>
        <v>19650</v>
      </c>
      <c r="H55" s="21">
        <f t="shared" si="3"/>
        <v>-4900</v>
      </c>
      <c r="I55" s="22" t="s">
        <v>385</v>
      </c>
      <c r="J55" s="19"/>
      <c r="K55" s="24"/>
      <c r="L55" s="24">
        <v>42906</v>
      </c>
      <c r="M55" s="18" t="s">
        <v>62</v>
      </c>
      <c r="N55" s="19"/>
      <c r="O55" s="3">
        <v>28.8</v>
      </c>
      <c r="P55" s="31"/>
      <c r="Q55" s="33">
        <v>19800</v>
      </c>
      <c r="R55" s="3">
        <f>65*E55</f>
        <v>14300</v>
      </c>
      <c r="S55" s="27">
        <f>-38*E55</f>
        <v>-8360</v>
      </c>
      <c r="T55" s="27">
        <f>X55*F55*0.005</f>
        <v>4584.4157760814251</v>
      </c>
      <c r="U55" s="3">
        <f>E55*5</f>
        <v>1100</v>
      </c>
      <c r="V55" s="19"/>
      <c r="W55" s="3">
        <v>0.3</v>
      </c>
      <c r="X55" s="3">
        <f>((O55*F55)+Q55+R55+S55+U55)/G55</f>
        <v>37.34758269720102</v>
      </c>
      <c r="Y55" s="3">
        <f>((O55*F55)+Q55+R55+S55+T55+U55)/G55+W55</f>
        <v>37.880886299037215</v>
      </c>
      <c r="Z55" s="29">
        <f>Y55*G55</f>
        <v>744359.41577608127</v>
      </c>
      <c r="AA55" s="30">
        <v>42919</v>
      </c>
    </row>
    <row r="56" spans="1:27" s="22" customFormat="1" x14ac:dyDescent="0.25">
      <c r="A56" s="92"/>
      <c r="B56" s="17" t="s">
        <v>26</v>
      </c>
      <c r="C56" s="18" t="s">
        <v>37</v>
      </c>
      <c r="D56" s="18" t="s">
        <v>37</v>
      </c>
      <c r="E56" s="19" t="s">
        <v>28</v>
      </c>
      <c r="F56" s="20">
        <f>41018*0.4536</f>
        <v>18605.764800000001</v>
      </c>
      <c r="G56" s="21">
        <v>18506.88</v>
      </c>
      <c r="H56" s="21">
        <f t="shared" si="3"/>
        <v>-98.884799999999814</v>
      </c>
      <c r="I56" s="22">
        <v>90336</v>
      </c>
      <c r="J56" s="23" t="s">
        <v>39</v>
      </c>
      <c r="K56" s="24">
        <v>42906</v>
      </c>
      <c r="L56" s="24">
        <v>42907</v>
      </c>
      <c r="M56" s="18" t="s">
        <v>31</v>
      </c>
      <c r="N56" s="18" t="s">
        <v>386</v>
      </c>
      <c r="O56" s="3"/>
      <c r="P56" s="25">
        <f>0.6902+0.095</f>
        <v>0.78520000000000001</v>
      </c>
      <c r="Q56" s="26">
        <v>23000</v>
      </c>
      <c r="R56" s="3">
        <v>9400</v>
      </c>
      <c r="S56" s="51">
        <v>18.155999999999999</v>
      </c>
      <c r="T56" s="27">
        <f>X56*F56*0.005</f>
        <v>3097.8299713315355</v>
      </c>
      <c r="V56" s="3">
        <v>0.12</v>
      </c>
      <c r="W56" s="3">
        <v>0.3</v>
      </c>
      <c r="X56" s="3">
        <f>IF(O56&gt;0,O56,((P56*2.2046*S56)+(Q56+R56)/G56)+V56)</f>
        <v>33.299678939632038</v>
      </c>
      <c r="Y56" s="3">
        <f>IF(O56&gt;0,O56,((P56*2.2046*S56)+(Q56+R56+T56)/G56)+V56+W56)</f>
        <v>33.767066958105794</v>
      </c>
      <c r="Z56" s="29">
        <f>Y56*F56</f>
        <v>628262.10580836784</v>
      </c>
      <c r="AA56" s="30">
        <v>42900</v>
      </c>
    </row>
    <row r="57" spans="1:27" s="22" customFormat="1" x14ac:dyDescent="0.25">
      <c r="A57" s="92"/>
      <c r="B57" s="17" t="s">
        <v>41</v>
      </c>
      <c r="C57" s="19" t="s">
        <v>42</v>
      </c>
      <c r="D57" s="18" t="s">
        <v>51</v>
      </c>
      <c r="E57" s="19">
        <v>221</v>
      </c>
      <c r="F57" s="20">
        <v>25225</v>
      </c>
      <c r="G57" s="21">
        <f>13800+6400</f>
        <v>20200</v>
      </c>
      <c r="H57" s="21">
        <f t="shared" si="3"/>
        <v>-5025</v>
      </c>
      <c r="I57" s="22" t="s">
        <v>387</v>
      </c>
      <c r="J57" s="19"/>
      <c r="K57" s="24"/>
      <c r="L57" s="24">
        <v>42907</v>
      </c>
      <c r="M57" s="18" t="s">
        <v>31</v>
      </c>
      <c r="N57" s="19"/>
      <c r="O57" s="3">
        <v>28.8</v>
      </c>
      <c r="P57" s="31"/>
      <c r="Q57" s="26">
        <v>19800</v>
      </c>
      <c r="R57" s="3">
        <f>65*E57</f>
        <v>14365</v>
      </c>
      <c r="S57" s="27">
        <f>-38*E57</f>
        <v>-8398</v>
      </c>
      <c r="T57" s="27">
        <f>X57*F57*0.0045</f>
        <v>4233.4093514851484</v>
      </c>
      <c r="U57" s="3">
        <f>E57*5</f>
        <v>1105</v>
      </c>
      <c r="V57" s="19"/>
      <c r="W57" s="3">
        <v>0.3</v>
      </c>
      <c r="X57" s="3">
        <f>((O57*F57)+Q57+R57+S57+U57)/G57</f>
        <v>37.294653465346535</v>
      </c>
      <c r="Y57" s="3">
        <f>((O57*F57)+Q57+R57+S57+T57+U57)/G57+W57</f>
        <v>37.804228185717086</v>
      </c>
      <c r="Z57" s="29">
        <f>Y57*G57</f>
        <v>763645.4093514852</v>
      </c>
      <c r="AA57" s="30">
        <v>42920</v>
      </c>
    </row>
    <row r="58" spans="1:27" s="22" customFormat="1" x14ac:dyDescent="0.25">
      <c r="A58" s="92"/>
      <c r="B58" s="17" t="s">
        <v>26</v>
      </c>
      <c r="C58" s="18" t="s">
        <v>33</v>
      </c>
      <c r="D58" s="18" t="s">
        <v>33</v>
      </c>
      <c r="E58" s="19" t="s">
        <v>34</v>
      </c>
      <c r="F58" s="20">
        <f>42119*0.4536</f>
        <v>19105.178400000001</v>
      </c>
      <c r="G58" s="21">
        <v>18974.22</v>
      </c>
      <c r="H58" s="21">
        <f t="shared" si="3"/>
        <v>-130.95839999999953</v>
      </c>
      <c r="I58" s="22" t="s">
        <v>388</v>
      </c>
      <c r="J58" s="23" t="s">
        <v>30</v>
      </c>
      <c r="K58" s="24">
        <v>42907</v>
      </c>
      <c r="L58" s="24">
        <v>42908</v>
      </c>
      <c r="M58" s="18" t="s">
        <v>47</v>
      </c>
      <c r="N58" s="18" t="s">
        <v>389</v>
      </c>
      <c r="O58" s="3"/>
      <c r="P58" s="25">
        <f>0.7098+0.105</f>
        <v>0.81479999999999997</v>
      </c>
      <c r="Q58" s="26">
        <v>23000</v>
      </c>
      <c r="R58" s="3">
        <v>9400</v>
      </c>
      <c r="S58" s="51">
        <v>18.167999999999999</v>
      </c>
      <c r="T58" s="27">
        <f>X58*F58*0.005</f>
        <v>3292.0997670076326</v>
      </c>
      <c r="V58" s="3">
        <v>0.12</v>
      </c>
      <c r="W58" s="3">
        <v>0.3</v>
      </c>
      <c r="X58" s="3">
        <f>IF(O58&gt;0,O58,((P58*2.2046*S58)+(Q58+R58)/G58)+V58)</f>
        <v>34.462905271877837</v>
      </c>
      <c r="Y58" s="3">
        <f>IF(O58&gt;0,O58,((P58*2.2046*S58)+(Q58+R58+T58)/G58)+V58+W58)</f>
        <v>34.936409097964365</v>
      </c>
      <c r="Z58" s="29">
        <f>Y58*F58</f>
        <v>667466.32847199228</v>
      </c>
      <c r="AA58" s="30">
        <v>42901</v>
      </c>
    </row>
    <row r="59" spans="1:27" s="22" customFormat="1" x14ac:dyDescent="0.25">
      <c r="A59" s="92"/>
      <c r="B59" s="17" t="s">
        <v>41</v>
      </c>
      <c r="C59" s="19" t="s">
        <v>42</v>
      </c>
      <c r="D59" s="18" t="s">
        <v>51</v>
      </c>
      <c r="E59" s="19">
        <v>247</v>
      </c>
      <c r="F59" s="20">
        <v>28155</v>
      </c>
      <c r="G59" s="21">
        <v>22500</v>
      </c>
      <c r="H59" s="21">
        <f t="shared" si="3"/>
        <v>-5655</v>
      </c>
      <c r="I59" s="22" t="s">
        <v>390</v>
      </c>
      <c r="J59" s="19"/>
      <c r="K59" s="24"/>
      <c r="L59" s="24">
        <v>42908</v>
      </c>
      <c r="M59" s="18" t="s">
        <v>47</v>
      </c>
      <c r="N59" s="19"/>
      <c r="O59" s="3">
        <v>29</v>
      </c>
      <c r="P59" s="31"/>
      <c r="Q59" s="33">
        <v>19800</v>
      </c>
      <c r="R59" s="3">
        <f>65*E59</f>
        <v>16055</v>
      </c>
      <c r="S59" s="27">
        <f>-38*E59</f>
        <v>-9386</v>
      </c>
      <c r="T59" s="27">
        <f>X59*F59*0.0045</f>
        <v>4753.6845689999991</v>
      </c>
      <c r="U59" s="3">
        <f>E59*5</f>
        <v>1235</v>
      </c>
      <c r="V59" s="19"/>
      <c r="W59" s="3">
        <v>0.3</v>
      </c>
      <c r="X59" s="3">
        <f>((O59*F59)+Q59+R59+S59+U59)/G59</f>
        <v>37.519955555555555</v>
      </c>
      <c r="Y59" s="3">
        <f>((O59*F59)+Q59+R59+S59+T59+U59)/G59+W59</f>
        <v>38.031230425288889</v>
      </c>
      <c r="Z59" s="29">
        <f>Y59*G59</f>
        <v>855702.68456900003</v>
      </c>
      <c r="AA59" s="30">
        <v>42921</v>
      </c>
    </row>
    <row r="60" spans="1:27" s="22" customFormat="1" x14ac:dyDescent="0.25">
      <c r="A60" s="92"/>
      <c r="B60" s="17" t="s">
        <v>41</v>
      </c>
      <c r="C60" s="19" t="s">
        <v>42</v>
      </c>
      <c r="D60" s="18" t="s">
        <v>43</v>
      </c>
      <c r="E60" s="19">
        <v>130</v>
      </c>
      <c r="F60" s="20">
        <v>13995</v>
      </c>
      <c r="G60" s="21">
        <v>11260</v>
      </c>
      <c r="H60" s="21">
        <f t="shared" si="3"/>
        <v>-2735</v>
      </c>
      <c r="I60" s="22" t="s">
        <v>391</v>
      </c>
      <c r="J60" s="19"/>
      <c r="K60" s="24"/>
      <c r="L60" s="24">
        <v>42908</v>
      </c>
      <c r="M60" s="18" t="s">
        <v>47</v>
      </c>
      <c r="N60" s="19"/>
      <c r="O60" s="3">
        <v>29</v>
      </c>
      <c r="P60" s="31"/>
      <c r="Q60" s="26">
        <v>15700</v>
      </c>
      <c r="R60" s="3">
        <f>65*E60</f>
        <v>8450</v>
      </c>
      <c r="S60" s="27">
        <f>-38*E60</f>
        <v>-4940</v>
      </c>
      <c r="T60" s="27">
        <f>X60*F60*0.0045</f>
        <v>2381.0360934724686</v>
      </c>
      <c r="U60" s="3">
        <f>E60*5</f>
        <v>650</v>
      </c>
      <c r="V60" s="19"/>
      <c r="W60" s="3">
        <v>0.3</v>
      </c>
      <c r="X60" s="3">
        <f>((O60*F60)+Q60+R60+S60+U60)/G60</f>
        <v>37.807726465364119</v>
      </c>
      <c r="Y60" s="3">
        <f>((O60*F60)+Q60+R60+S60+T60+U60)/G60+W60</f>
        <v>38.319186153949595</v>
      </c>
      <c r="Z60" s="29">
        <f>Y60*G60</f>
        <v>431474.03609347244</v>
      </c>
      <c r="AA60" s="30">
        <v>42921</v>
      </c>
    </row>
    <row r="61" spans="1:27" s="22" customFormat="1" x14ac:dyDescent="0.25">
      <c r="A61" s="92"/>
      <c r="B61" s="17" t="s">
        <v>26</v>
      </c>
      <c r="C61" s="18" t="s">
        <v>27</v>
      </c>
      <c r="D61" s="18" t="s">
        <v>27</v>
      </c>
      <c r="E61" s="19" t="s">
        <v>34</v>
      </c>
      <c r="F61" s="20">
        <f>40604.5*0.4536</f>
        <v>18418.2012</v>
      </c>
      <c r="G61" s="21">
        <v>18324.259999999998</v>
      </c>
      <c r="H61" s="21">
        <f t="shared" si="3"/>
        <v>-93.941200000001118</v>
      </c>
      <c r="I61" s="22" t="s">
        <v>392</v>
      </c>
      <c r="J61" s="23" t="s">
        <v>30</v>
      </c>
      <c r="K61" s="24">
        <v>42909</v>
      </c>
      <c r="L61" s="24">
        <v>42910</v>
      </c>
      <c r="M61" s="18" t="s">
        <v>98</v>
      </c>
      <c r="N61" s="18" t="s">
        <v>393</v>
      </c>
      <c r="O61" s="3"/>
      <c r="P61" s="25">
        <f>0.7098+0.1</f>
        <v>0.80979999999999996</v>
      </c>
      <c r="Q61" s="26">
        <v>23000</v>
      </c>
      <c r="R61" s="3">
        <v>9400</v>
      </c>
      <c r="S61" s="51">
        <v>17.911000000000001</v>
      </c>
      <c r="T61" s="27">
        <f>X61*F61*0.005</f>
        <v>3118.6056383899854</v>
      </c>
      <c r="V61" s="3">
        <v>0.12</v>
      </c>
      <c r="W61" s="3">
        <v>0.3</v>
      </c>
      <c r="X61" s="3">
        <f t="shared" ref="X61:X66" si="4">IF(O61&gt;0,O61,((P61*2.2046*S61)+(Q61+R61)/G61)+V61)</f>
        <v>33.864388867572863</v>
      </c>
      <c r="Y61" s="3">
        <f t="shared" ref="Y61:Y66" si="5">IF(O61&gt;0,O61,((P61*2.2046*S61)+(Q61+R61+T61)/G61)+V61+W61)</f>
        <v>34.334578858240427</v>
      </c>
      <c r="Z61" s="29">
        <f t="shared" ref="Z61:Z66" si="6">Y61*F61</f>
        <v>632381.18152833846</v>
      </c>
      <c r="AA61" s="30">
        <v>42920</v>
      </c>
    </row>
    <row r="62" spans="1:27" s="22" customFormat="1" x14ac:dyDescent="0.25">
      <c r="A62" s="92"/>
      <c r="B62" s="17" t="s">
        <v>26</v>
      </c>
      <c r="C62" s="18" t="s">
        <v>33</v>
      </c>
      <c r="D62" s="18" t="s">
        <v>33</v>
      </c>
      <c r="E62" s="19" t="s">
        <v>34</v>
      </c>
      <c r="F62" s="20">
        <f>42572*0.4536</f>
        <v>19310.659200000002</v>
      </c>
      <c r="G62" s="21">
        <v>19211</v>
      </c>
      <c r="H62" s="21">
        <f t="shared" si="3"/>
        <v>-99.659200000001874</v>
      </c>
      <c r="I62" s="22" t="s">
        <v>394</v>
      </c>
      <c r="J62" s="23" t="s">
        <v>30</v>
      </c>
      <c r="K62" s="24">
        <v>42908</v>
      </c>
      <c r="L62" s="24">
        <v>42909</v>
      </c>
      <c r="M62" s="18" t="s">
        <v>49</v>
      </c>
      <c r="N62" s="18" t="s">
        <v>395</v>
      </c>
      <c r="O62" s="3"/>
      <c r="P62" s="25">
        <f>0.6926+0.105</f>
        <v>0.79759999999999998</v>
      </c>
      <c r="Q62" s="26">
        <v>23000</v>
      </c>
      <c r="R62" s="3">
        <v>9400</v>
      </c>
      <c r="S62" s="51">
        <v>18.096</v>
      </c>
      <c r="T62" s="27">
        <f>X62*F62*0.005</f>
        <v>3246.7339958038979</v>
      </c>
      <c r="V62" s="3">
        <v>0.12</v>
      </c>
      <c r="W62" s="3">
        <v>0.3</v>
      </c>
      <c r="X62" s="3">
        <f t="shared" si="4"/>
        <v>33.62634037686189</v>
      </c>
      <c r="Y62" s="3">
        <f t="shared" si="5"/>
        <v>34.095344280656789</v>
      </c>
      <c r="Z62" s="29">
        <f t="shared" si="6"/>
        <v>658403.57371043251</v>
      </c>
      <c r="AA62" s="30">
        <v>42902</v>
      </c>
    </row>
    <row r="63" spans="1:27" s="22" customFormat="1" x14ac:dyDescent="0.25">
      <c r="A63" s="92"/>
      <c r="B63" s="17" t="s">
        <v>126</v>
      </c>
      <c r="C63" s="18" t="s">
        <v>396</v>
      </c>
      <c r="D63" s="18" t="s">
        <v>324</v>
      </c>
      <c r="E63" s="19" t="s">
        <v>397</v>
      </c>
      <c r="F63" s="20">
        <v>9436.98</v>
      </c>
      <c r="G63" s="21">
        <v>9436.98</v>
      </c>
      <c r="H63" s="21">
        <f t="shared" si="3"/>
        <v>0</v>
      </c>
      <c r="I63" s="73"/>
      <c r="J63" s="19"/>
      <c r="K63" s="24"/>
      <c r="L63" s="24">
        <v>42909</v>
      </c>
      <c r="M63" s="18" t="s">
        <v>49</v>
      </c>
      <c r="N63" s="18"/>
      <c r="O63" s="3">
        <v>89.8</v>
      </c>
      <c r="P63" s="25"/>
      <c r="Q63" s="3"/>
      <c r="R63" s="3"/>
      <c r="S63" s="51"/>
      <c r="T63" s="27"/>
      <c r="V63" s="3"/>
      <c r="W63" s="3"/>
      <c r="X63" s="3">
        <f t="shared" si="4"/>
        <v>89.8</v>
      </c>
      <c r="Y63" s="3">
        <f t="shared" si="5"/>
        <v>89.8</v>
      </c>
      <c r="Z63" s="29">
        <f t="shared" si="6"/>
        <v>847440.80399999989</v>
      </c>
      <c r="AA63" s="30">
        <v>42916</v>
      </c>
    </row>
    <row r="64" spans="1:27" s="22" customFormat="1" x14ac:dyDescent="0.25">
      <c r="A64" s="92"/>
      <c r="B64" s="17" t="s">
        <v>398</v>
      </c>
      <c r="C64" s="18" t="s">
        <v>399</v>
      </c>
      <c r="D64" s="18" t="s">
        <v>128</v>
      </c>
      <c r="E64" s="19" t="s">
        <v>251</v>
      </c>
      <c r="F64" s="20">
        <v>200</v>
      </c>
      <c r="G64" s="21">
        <v>200</v>
      </c>
      <c r="H64" s="21">
        <f t="shared" si="3"/>
        <v>0</v>
      </c>
      <c r="I64" s="22" t="s">
        <v>400</v>
      </c>
      <c r="J64" s="19"/>
      <c r="K64" s="24"/>
      <c r="L64" s="24">
        <v>42909</v>
      </c>
      <c r="M64" s="18" t="s">
        <v>49</v>
      </c>
      <c r="N64" s="18"/>
      <c r="O64" s="3">
        <v>170</v>
      </c>
      <c r="P64" s="25"/>
      <c r="Q64" s="3"/>
      <c r="R64" s="3"/>
      <c r="S64" s="51"/>
      <c r="T64" s="27"/>
      <c r="V64" s="3"/>
      <c r="W64" s="3"/>
      <c r="X64" s="3">
        <f t="shared" si="4"/>
        <v>170</v>
      </c>
      <c r="Y64" s="3">
        <f t="shared" si="5"/>
        <v>170</v>
      </c>
      <c r="Z64" s="29">
        <f t="shared" si="6"/>
        <v>34000</v>
      </c>
      <c r="AA64" s="30">
        <v>42909</v>
      </c>
    </row>
    <row r="65" spans="1:27" s="22" customFormat="1" x14ac:dyDescent="0.25">
      <c r="A65" s="92"/>
      <c r="B65" s="17" t="s">
        <v>401</v>
      </c>
      <c r="C65" s="18" t="s">
        <v>402</v>
      </c>
      <c r="D65" s="18" t="s">
        <v>94</v>
      </c>
      <c r="E65" s="19" t="s">
        <v>251</v>
      </c>
      <c r="F65" s="20">
        <v>100</v>
      </c>
      <c r="G65" s="21">
        <v>100</v>
      </c>
      <c r="H65" s="21">
        <f t="shared" si="3"/>
        <v>0</v>
      </c>
      <c r="I65" s="22" t="s">
        <v>403</v>
      </c>
      <c r="J65" s="19"/>
      <c r="K65" s="24"/>
      <c r="L65" s="24">
        <v>42909</v>
      </c>
      <c r="M65" s="18" t="s">
        <v>49</v>
      </c>
      <c r="N65" s="18"/>
      <c r="O65" s="3">
        <v>190</v>
      </c>
      <c r="P65" s="25"/>
      <c r="Q65" s="3"/>
      <c r="R65" s="3"/>
      <c r="S65" s="51"/>
      <c r="T65" s="27"/>
      <c r="V65" s="3"/>
      <c r="W65" s="3"/>
      <c r="X65" s="3">
        <f t="shared" si="4"/>
        <v>190</v>
      </c>
      <c r="Y65" s="3">
        <f t="shared" si="5"/>
        <v>190</v>
      </c>
      <c r="Z65" s="29">
        <f t="shared" si="6"/>
        <v>19000</v>
      </c>
      <c r="AA65" s="30">
        <v>42909</v>
      </c>
    </row>
    <row r="66" spans="1:27" s="22" customFormat="1" x14ac:dyDescent="0.25">
      <c r="A66" s="92"/>
      <c r="B66" s="17" t="s">
        <v>404</v>
      </c>
      <c r="C66" s="18" t="s">
        <v>405</v>
      </c>
      <c r="D66" s="18" t="s">
        <v>94</v>
      </c>
      <c r="E66" s="19" t="s">
        <v>251</v>
      </c>
      <c r="F66" s="20">
        <v>45.4</v>
      </c>
      <c r="G66" s="21">
        <v>45.4</v>
      </c>
      <c r="H66" s="21">
        <f t="shared" si="3"/>
        <v>0</v>
      </c>
      <c r="I66" s="22" t="s">
        <v>403</v>
      </c>
      <c r="J66" s="19"/>
      <c r="K66" s="24"/>
      <c r="L66" s="24">
        <v>42909</v>
      </c>
      <c r="M66" s="18" t="s">
        <v>49</v>
      </c>
      <c r="N66" s="18"/>
      <c r="O66" s="3">
        <v>190</v>
      </c>
      <c r="P66" s="25"/>
      <c r="Q66" s="3"/>
      <c r="R66" s="3"/>
      <c r="S66" s="51"/>
      <c r="T66" s="27"/>
      <c r="V66" s="3"/>
      <c r="W66" s="3"/>
      <c r="X66" s="3">
        <f t="shared" si="4"/>
        <v>190</v>
      </c>
      <c r="Y66" s="3">
        <f t="shared" si="5"/>
        <v>190</v>
      </c>
      <c r="Z66" s="29">
        <f t="shared" si="6"/>
        <v>8626</v>
      </c>
      <c r="AA66" s="30">
        <v>42909</v>
      </c>
    </row>
    <row r="67" spans="1:27" s="22" customFormat="1" x14ac:dyDescent="0.25">
      <c r="A67" s="92"/>
      <c r="B67" s="17" t="s">
        <v>41</v>
      </c>
      <c r="C67" s="19" t="s">
        <v>42</v>
      </c>
      <c r="D67" s="18" t="s">
        <v>336</v>
      </c>
      <c r="E67" s="19">
        <f>236</f>
        <v>236</v>
      </c>
      <c r="F67" s="20">
        <f>27610-109.93</f>
        <v>27500.07</v>
      </c>
      <c r="G67" s="21">
        <f>22700</f>
        <v>22700</v>
      </c>
      <c r="H67" s="21">
        <f t="shared" si="3"/>
        <v>-4800.07</v>
      </c>
      <c r="I67" s="22" t="s">
        <v>406</v>
      </c>
      <c r="J67" s="19"/>
      <c r="K67" s="24"/>
      <c r="L67" s="24">
        <v>42909</v>
      </c>
      <c r="M67" s="18" t="s">
        <v>49</v>
      </c>
      <c r="N67" s="19"/>
      <c r="O67" s="3">
        <v>29</v>
      </c>
      <c r="P67" s="31"/>
      <c r="Q67" s="26">
        <f>19800</f>
        <v>19800</v>
      </c>
      <c r="R67" s="3">
        <f>65*E67</f>
        <v>15340</v>
      </c>
      <c r="S67" s="27">
        <f>-38*E67</f>
        <v>-8968</v>
      </c>
      <c r="T67" s="27">
        <f>X67*F67*0.0045</f>
        <v>4496.7377110801517</v>
      </c>
      <c r="U67" s="3">
        <f>E67*5</f>
        <v>1180</v>
      </c>
      <c r="V67" s="19"/>
      <c r="W67" s="3">
        <v>0.3</v>
      </c>
      <c r="X67" s="3">
        <f>((O67*F67)+Q67+R67+S67+U67)/G67</f>
        <v>36.33718193832599</v>
      </c>
      <c r="Y67" s="3">
        <f>((O67*F67)+Q67+R67+S67+T67+U67)/G67+W67</f>
        <v>36.835276110620271</v>
      </c>
      <c r="Z67" s="29">
        <f>Y67*G67</f>
        <v>836160.76771108015</v>
      </c>
      <c r="AA67" s="30">
        <v>42922</v>
      </c>
    </row>
    <row r="68" spans="1:27" s="22" customFormat="1" x14ac:dyDescent="0.25">
      <c r="A68" s="92"/>
      <c r="B68" s="17" t="s">
        <v>41</v>
      </c>
      <c r="C68" s="19" t="s">
        <v>42</v>
      </c>
      <c r="D68" s="18" t="s">
        <v>58</v>
      </c>
      <c r="E68" s="19">
        <v>140</v>
      </c>
      <c r="F68" s="20">
        <v>15390</v>
      </c>
      <c r="G68" s="21">
        <v>11130</v>
      </c>
      <c r="H68" s="21">
        <f t="shared" si="3"/>
        <v>-4260</v>
      </c>
      <c r="I68" s="18" t="s">
        <v>407</v>
      </c>
      <c r="J68" s="19"/>
      <c r="K68" s="24"/>
      <c r="L68" s="24">
        <v>42909</v>
      </c>
      <c r="M68" s="18" t="s">
        <v>49</v>
      </c>
      <c r="N68" s="19"/>
      <c r="O68" s="3">
        <v>29</v>
      </c>
      <c r="P68" s="31"/>
      <c r="Q68" s="26">
        <v>15700</v>
      </c>
      <c r="R68" s="3">
        <f>65*E68</f>
        <v>9100</v>
      </c>
      <c r="S68" s="27">
        <f>-38*E68</f>
        <v>-5320</v>
      </c>
      <c r="T68" s="27">
        <f>X68*F68*0.0045</f>
        <v>2902.6742991913743</v>
      </c>
      <c r="U68" s="3">
        <f>E68*5</f>
        <v>700</v>
      </c>
      <c r="V68" s="19"/>
      <c r="W68" s="3">
        <v>0.3</v>
      </c>
      <c r="X68" s="3">
        <f>((O68*F68)+Q68+R68+S68+U68)/G68</f>
        <v>41.912848158131176</v>
      </c>
      <c r="Y68" s="3">
        <f>((O68*F68)+Q68+R68+S68+T68+U68)/G68+W68</f>
        <v>42.473645489594908</v>
      </c>
      <c r="Z68" s="29">
        <f>Y68*G68</f>
        <v>472731.67429919133</v>
      </c>
      <c r="AA68" s="30">
        <v>42922</v>
      </c>
    </row>
    <row r="69" spans="1:27" s="22" customFormat="1" x14ac:dyDescent="0.25">
      <c r="A69" s="92"/>
      <c r="B69" s="17" t="s">
        <v>26</v>
      </c>
      <c r="C69" s="18" t="s">
        <v>33</v>
      </c>
      <c r="D69" s="18" t="s">
        <v>33</v>
      </c>
      <c r="E69" s="19" t="s">
        <v>34</v>
      </c>
      <c r="F69" s="20">
        <f>42417*0.4536</f>
        <v>19240.351200000001</v>
      </c>
      <c r="G69" s="21">
        <v>19082.88</v>
      </c>
      <c r="H69" s="21">
        <f t="shared" si="3"/>
        <v>-157.47119999999995</v>
      </c>
      <c r="I69" s="22" t="s">
        <v>408</v>
      </c>
      <c r="J69" s="23" t="s">
        <v>30</v>
      </c>
      <c r="K69" s="24">
        <v>42909</v>
      </c>
      <c r="L69" s="24">
        <v>42910</v>
      </c>
      <c r="M69" s="18" t="s">
        <v>98</v>
      </c>
      <c r="N69" s="18" t="s">
        <v>409</v>
      </c>
      <c r="O69" s="3"/>
      <c r="P69" s="25">
        <f>0.6868+0.105</f>
        <v>0.79179999999999995</v>
      </c>
      <c r="Q69" s="26">
        <v>23000</v>
      </c>
      <c r="R69" s="3">
        <v>9400</v>
      </c>
      <c r="S69" s="51">
        <v>17.957000000000001</v>
      </c>
      <c r="T69" s="27">
        <f>X69*F69*0.005</f>
        <v>3190.4001214052978</v>
      </c>
      <c r="V69" s="3">
        <v>0.12</v>
      </c>
      <c r="W69" s="3">
        <v>0.3</v>
      </c>
      <c r="X69" s="3">
        <f>IF(O69&gt;0,O69,((P69*2.2046*S69)+(Q69+R69)/G69)+V69)</f>
        <v>33.163637069216257</v>
      </c>
      <c r="Y69" s="3">
        <f>IF(O69&gt;0,O69,((P69*2.2046*S69)+(Q69+R69+T69)/G69)+V69+W69)</f>
        <v>33.630823579921419</v>
      </c>
      <c r="Z69" s="29">
        <f>Y69*F69</f>
        <v>647068.85682292935</v>
      </c>
      <c r="AA69" s="30">
        <v>42905</v>
      </c>
    </row>
    <row r="70" spans="1:27" s="22" customFormat="1" x14ac:dyDescent="0.25">
      <c r="A70" s="92"/>
      <c r="B70" s="17" t="s">
        <v>76</v>
      </c>
      <c r="C70" s="18" t="s">
        <v>127</v>
      </c>
      <c r="D70" s="18" t="s">
        <v>77</v>
      </c>
      <c r="E70" s="19" t="s">
        <v>78</v>
      </c>
      <c r="F70" s="20">
        <f>870.2+856.1+890.1+920.1</f>
        <v>3536.5</v>
      </c>
      <c r="G70" s="21">
        <v>3536.5</v>
      </c>
      <c r="H70" s="21">
        <f t="shared" si="3"/>
        <v>0</v>
      </c>
      <c r="I70" s="73" t="s">
        <v>410</v>
      </c>
      <c r="J70" s="19"/>
      <c r="K70" s="24"/>
      <c r="L70" s="24">
        <v>42910</v>
      </c>
      <c r="M70" s="18" t="s">
        <v>98</v>
      </c>
      <c r="N70" s="18"/>
      <c r="O70" s="3">
        <v>19.3</v>
      </c>
      <c r="P70" s="25"/>
      <c r="Q70" s="3"/>
      <c r="R70" s="3"/>
      <c r="S70" s="51"/>
      <c r="T70" s="27"/>
      <c r="V70" s="3"/>
      <c r="W70" s="3"/>
      <c r="X70" s="3">
        <f>IF(O70&gt;0,O70,((P70*2.2046*S70)+(Q70+R70)/G70)+V70)</f>
        <v>19.3</v>
      </c>
      <c r="Y70" s="3">
        <f>IF(O70&gt;0,O70,((P70*2.2046*S70)+(Q70+R70+T70)/G70)+V70+W70)</f>
        <v>19.3</v>
      </c>
      <c r="Z70" s="29">
        <f>Y70*F70</f>
        <v>68254.45</v>
      </c>
      <c r="AA70" s="30">
        <v>42916</v>
      </c>
    </row>
    <row r="71" spans="1:27" s="22" customFormat="1" ht="15.75" thickBot="1" x14ac:dyDescent="0.3">
      <c r="A71" s="93"/>
      <c r="B71" s="34"/>
      <c r="C71" s="6"/>
      <c r="D71" s="6"/>
      <c r="E71" s="6"/>
      <c r="F71" s="35"/>
      <c r="G71" s="35"/>
      <c r="H71" s="35"/>
      <c r="I71" s="9"/>
      <c r="J71" s="6"/>
      <c r="K71" s="10"/>
      <c r="L71" s="10"/>
      <c r="M71" s="6"/>
      <c r="N71" s="6"/>
      <c r="O71" s="11"/>
      <c r="P71" s="12"/>
      <c r="Q71" s="11"/>
      <c r="R71" s="11"/>
      <c r="S71" s="11"/>
      <c r="T71" s="11"/>
      <c r="U71" s="11"/>
      <c r="V71" s="11"/>
      <c r="W71" s="11"/>
      <c r="X71" s="11"/>
      <c r="Y71" s="11"/>
      <c r="Z71" s="15"/>
      <c r="AA71" s="36"/>
    </row>
    <row r="72" spans="1:27" s="22" customFormat="1" x14ac:dyDescent="0.25">
      <c r="A72" s="94"/>
      <c r="B72" s="38" t="s">
        <v>41</v>
      </c>
      <c r="C72" s="38" t="s">
        <v>42</v>
      </c>
      <c r="D72" s="39" t="s">
        <v>411</v>
      </c>
      <c r="E72" s="38">
        <f>220+40</f>
        <v>260</v>
      </c>
      <c r="F72" s="40">
        <f>24740+4450</f>
        <v>29190</v>
      </c>
      <c r="G72" s="41">
        <f>11780+11450</f>
        <v>23230</v>
      </c>
      <c r="H72" s="41">
        <f t="shared" ref="H72:H86" si="7">G72-F72</f>
        <v>-5960</v>
      </c>
      <c r="I72" s="39" t="s">
        <v>412</v>
      </c>
      <c r="J72" s="71">
        <v>259</v>
      </c>
      <c r="K72" s="42"/>
      <c r="L72" s="42">
        <v>42911</v>
      </c>
      <c r="M72" s="39" t="s">
        <v>57</v>
      </c>
      <c r="N72" s="38"/>
      <c r="O72" s="43">
        <v>29</v>
      </c>
      <c r="P72" s="44"/>
      <c r="Q72" s="45">
        <v>19800</v>
      </c>
      <c r="R72" s="3">
        <f>65*E72</f>
        <v>16900</v>
      </c>
      <c r="S72" s="27">
        <f>-38*E72</f>
        <v>-9880</v>
      </c>
      <c r="T72" s="46">
        <f>X72*F72*0.0045</f>
        <v>4945.6316681015915</v>
      </c>
      <c r="U72" s="43">
        <f>E72*5</f>
        <v>1300</v>
      </c>
      <c r="V72" s="38"/>
      <c r="W72" s="43">
        <v>0.3</v>
      </c>
      <c r="X72" s="43">
        <f>((O72*F72)+Q72+R72+S72+U72)/G72</f>
        <v>37.650882479552301</v>
      </c>
      <c r="Y72" s="3">
        <f>((O72*F72)+Q72+R72+S72+T72+U72)/G72+W72</f>
        <v>38.163780958592405</v>
      </c>
      <c r="Z72" s="47">
        <f>Y72*G72</f>
        <v>886544.63166810153</v>
      </c>
      <c r="AA72" s="48">
        <v>42926</v>
      </c>
    </row>
    <row r="73" spans="1:27" s="22" customFormat="1" x14ac:dyDescent="0.25">
      <c r="A73" s="95"/>
      <c r="B73" s="17" t="s">
        <v>41</v>
      </c>
      <c r="C73" s="19" t="s">
        <v>42</v>
      </c>
      <c r="D73" s="18" t="s">
        <v>43</v>
      </c>
      <c r="E73" s="19">
        <v>230</v>
      </c>
      <c r="F73" s="20">
        <v>24900</v>
      </c>
      <c r="G73" s="21">
        <f>12860+6850</f>
        <v>19710</v>
      </c>
      <c r="H73" s="21">
        <f t="shared" si="7"/>
        <v>-5190</v>
      </c>
      <c r="I73" s="18" t="s">
        <v>413</v>
      </c>
      <c r="J73" s="19"/>
      <c r="K73" s="24"/>
      <c r="L73" s="24">
        <v>42912</v>
      </c>
      <c r="M73" s="18" t="s">
        <v>60</v>
      </c>
      <c r="N73" s="19"/>
      <c r="O73" s="3">
        <v>29</v>
      </c>
      <c r="P73" s="31"/>
      <c r="Q73" s="26">
        <v>19800</v>
      </c>
      <c r="R73" s="3">
        <f>65*E73</f>
        <v>14950</v>
      </c>
      <c r="S73" s="27">
        <f>-38*E73</f>
        <v>-8740</v>
      </c>
      <c r="T73" s="27">
        <f>X73*F73*0.0045</f>
        <v>4259.491780821917</v>
      </c>
      <c r="U73" s="3">
        <f>E73*5</f>
        <v>1150</v>
      </c>
      <c r="V73" s="19"/>
      <c r="W73" s="3">
        <v>0.3</v>
      </c>
      <c r="X73" s="3">
        <f>((O73*F73)+Q73+R73+S73+U73)/G73</f>
        <v>38.014205986808726</v>
      </c>
      <c r="Y73" s="3">
        <f>((O73*F73)+Q73+R73+S73+T73+U73)/G73+W73</f>
        <v>38.53031414413099</v>
      </c>
      <c r="Z73" s="29">
        <f>Y73*G73</f>
        <v>759432.49178082182</v>
      </c>
      <c r="AA73" s="30">
        <v>42926</v>
      </c>
    </row>
    <row r="74" spans="1:27" s="22" customFormat="1" x14ac:dyDescent="0.25">
      <c r="A74" s="95"/>
      <c r="B74" s="17" t="s">
        <v>26</v>
      </c>
      <c r="C74" s="18" t="s">
        <v>27</v>
      </c>
      <c r="D74" s="18" t="s">
        <v>27</v>
      </c>
      <c r="E74" s="19" t="s">
        <v>34</v>
      </c>
      <c r="F74" s="20">
        <f>40775*0.4536</f>
        <v>18495.54</v>
      </c>
      <c r="G74" s="21">
        <v>18420.63</v>
      </c>
      <c r="H74" s="21">
        <f t="shared" si="7"/>
        <v>-74.909999999999854</v>
      </c>
      <c r="I74" s="22" t="s">
        <v>414</v>
      </c>
      <c r="J74" s="23" t="s">
        <v>30</v>
      </c>
      <c r="K74" s="24">
        <v>42912</v>
      </c>
      <c r="L74" s="24">
        <v>42913</v>
      </c>
      <c r="M74" s="18" t="s">
        <v>62</v>
      </c>
      <c r="N74" s="18" t="s">
        <v>415</v>
      </c>
      <c r="O74" s="3"/>
      <c r="P74" s="25">
        <f>0.7115+0.1</f>
        <v>0.8115</v>
      </c>
      <c r="Q74" s="26">
        <v>23000</v>
      </c>
      <c r="R74" s="3">
        <v>9400</v>
      </c>
      <c r="S74" s="51">
        <v>18.347999999999999</v>
      </c>
      <c r="T74" s="27">
        <f>X74*F74*0.005</f>
        <v>3209.3528651915208</v>
      </c>
      <c r="V74" s="3">
        <v>0.12</v>
      </c>
      <c r="W74" s="3">
        <v>0.3</v>
      </c>
      <c r="X74" s="3">
        <f>IF(O74&gt;0,O74,((P74*2.2046*S74)+(Q74+R74)/G74)+V74)</f>
        <v>34.704073146191142</v>
      </c>
      <c r="Y74" s="3">
        <f>IF(O74&gt;0,O74,((P74*2.2046*S74)+(Q74+R74+T74)/G74)+V74+W74)</f>
        <v>35.178299156115422</v>
      </c>
      <c r="Z74" s="29">
        <f>Y74*F74</f>
        <v>650641.63917389908</v>
      </c>
      <c r="AA74" s="30">
        <v>42923</v>
      </c>
    </row>
    <row r="75" spans="1:27" s="22" customFormat="1" x14ac:dyDescent="0.25">
      <c r="A75" s="95"/>
      <c r="B75" s="17" t="s">
        <v>26</v>
      </c>
      <c r="C75" s="18" t="s">
        <v>37</v>
      </c>
      <c r="D75" s="18" t="s">
        <v>37</v>
      </c>
      <c r="E75" s="19" t="s">
        <v>28</v>
      </c>
      <c r="F75" s="20">
        <f>41338*0.4536</f>
        <v>18750.916799999999</v>
      </c>
      <c r="G75" s="21">
        <v>18708.240000000002</v>
      </c>
      <c r="H75" s="21">
        <f t="shared" si="7"/>
        <v>-42.676799999997456</v>
      </c>
      <c r="I75" s="22">
        <v>90338</v>
      </c>
      <c r="J75" s="23" t="s">
        <v>30</v>
      </c>
      <c r="K75" s="24">
        <v>42912</v>
      </c>
      <c r="L75" s="24">
        <v>42913</v>
      </c>
      <c r="M75" s="18" t="s">
        <v>62</v>
      </c>
      <c r="N75" s="18" t="s">
        <v>416</v>
      </c>
      <c r="O75" s="3"/>
      <c r="P75" s="25">
        <f>0.7135+0.095</f>
        <v>0.8085</v>
      </c>
      <c r="Q75" s="26">
        <v>23000</v>
      </c>
      <c r="R75" s="3">
        <v>9400</v>
      </c>
      <c r="S75" s="27">
        <v>17.95</v>
      </c>
      <c r="T75" s="27">
        <f>X75*F75*0.005</f>
        <v>3173.2439048482006</v>
      </c>
      <c r="V75" s="3">
        <v>0.12</v>
      </c>
      <c r="W75" s="3">
        <v>0.3</v>
      </c>
      <c r="X75" s="3">
        <f>IF(O75&gt;0,O75,((P75*2.2046*S75)+(Q75+R75)/G75)+V75)</f>
        <v>33.846280037338772</v>
      </c>
      <c r="Y75" s="3">
        <f>IF(O75&gt;0,O75,((P75*2.2046*S75)+(Q75+R75+T75)/G75)+V75+W75)</f>
        <v>34.315897484241752</v>
      </c>
      <c r="Z75" s="29">
        <f>Y75*F75</f>
        <v>643454.53864434641</v>
      </c>
      <c r="AA75" s="30">
        <v>42906</v>
      </c>
    </row>
    <row r="76" spans="1:27" s="22" customFormat="1" x14ac:dyDescent="0.25">
      <c r="A76" s="95"/>
      <c r="B76" s="17" t="s">
        <v>41</v>
      </c>
      <c r="C76" s="19" t="s">
        <v>42</v>
      </c>
      <c r="D76" s="18" t="s">
        <v>51</v>
      </c>
      <c r="E76" s="19">
        <v>220</v>
      </c>
      <c r="F76" s="20">
        <v>25270</v>
      </c>
      <c r="G76" s="21">
        <f>13770+6540</f>
        <v>20310</v>
      </c>
      <c r="H76" s="21">
        <f t="shared" si="7"/>
        <v>-4960</v>
      </c>
      <c r="I76" s="22" t="s">
        <v>417</v>
      </c>
      <c r="J76" s="19"/>
      <c r="K76" s="24"/>
      <c r="L76" s="24">
        <v>42913</v>
      </c>
      <c r="M76" s="18" t="s">
        <v>62</v>
      </c>
      <c r="N76" s="19"/>
      <c r="O76" s="3">
        <v>29</v>
      </c>
      <c r="P76" s="31"/>
      <c r="Q76" s="33">
        <v>19800</v>
      </c>
      <c r="R76" s="3">
        <f>65*E76</f>
        <v>14300</v>
      </c>
      <c r="S76" s="27">
        <f>-38*E76</f>
        <v>-8360</v>
      </c>
      <c r="T76" s="27">
        <f>X76*F76*0.005</f>
        <v>4725.9628015755779</v>
      </c>
      <c r="U76" s="3">
        <f>E76*5</f>
        <v>1100</v>
      </c>
      <c r="V76" s="19"/>
      <c r="W76" s="3">
        <v>0.3</v>
      </c>
      <c r="X76" s="3">
        <f>((O76*F76)+Q76+R76+S76+U76)/G76</f>
        <v>37.40374199901526</v>
      </c>
      <c r="Y76" s="3">
        <f>((O76*F76)+Q76+R76+S76+T76+U76)/G76+W76</f>
        <v>37.936433422037197</v>
      </c>
      <c r="Z76" s="29">
        <f>Y76*G76</f>
        <v>770488.96280157543</v>
      </c>
      <c r="AA76" s="30">
        <v>42926</v>
      </c>
    </row>
    <row r="77" spans="1:27" s="22" customFormat="1" x14ac:dyDescent="0.25">
      <c r="A77" s="95"/>
      <c r="B77" s="17" t="s">
        <v>76</v>
      </c>
      <c r="C77" s="19" t="s">
        <v>33</v>
      </c>
      <c r="D77" s="18" t="s">
        <v>77</v>
      </c>
      <c r="E77" s="19" t="s">
        <v>218</v>
      </c>
      <c r="F77" s="20">
        <f>903.6+921.2+944.8</f>
        <v>2769.6000000000004</v>
      </c>
      <c r="G77" s="21">
        <v>2769.6</v>
      </c>
      <c r="H77" s="21">
        <f t="shared" si="7"/>
        <v>0</v>
      </c>
      <c r="I77" s="22" t="s">
        <v>418</v>
      </c>
      <c r="J77" s="19"/>
      <c r="K77" s="24"/>
      <c r="L77" s="24">
        <v>42913</v>
      </c>
      <c r="M77" s="18" t="s">
        <v>62</v>
      </c>
      <c r="N77" s="19"/>
      <c r="O77" s="3">
        <v>19.5</v>
      </c>
      <c r="P77" s="31"/>
      <c r="Q77" s="3"/>
      <c r="R77" s="3"/>
      <c r="S77" s="27"/>
      <c r="T77" s="27"/>
      <c r="U77" s="3"/>
      <c r="V77" s="19"/>
      <c r="W77" s="3"/>
      <c r="X77" s="3">
        <f>IF(O77&gt;0,O77,((P77*2.2046*S77)+(Q77+R77)/G77)+V77)</f>
        <v>19.5</v>
      </c>
      <c r="Y77" s="3">
        <f>IF(O77&gt;0,O77,((P77*2.2046*S77)+(Q77+R77+T77)/G77)+V77+W77)</f>
        <v>19.5</v>
      </c>
      <c r="Z77" s="29">
        <f>Y77*F77</f>
        <v>54007.200000000004</v>
      </c>
      <c r="AA77" s="30">
        <v>42920</v>
      </c>
    </row>
    <row r="78" spans="1:27" s="22" customFormat="1" x14ac:dyDescent="0.25">
      <c r="A78" s="95"/>
      <c r="B78" s="17" t="s">
        <v>419</v>
      </c>
      <c r="C78" s="19" t="s">
        <v>37</v>
      </c>
      <c r="D78" s="18" t="s">
        <v>420</v>
      </c>
      <c r="E78" s="19" t="s">
        <v>421</v>
      </c>
      <c r="F78" s="20">
        <v>3402.5</v>
      </c>
      <c r="G78" s="21">
        <v>3402.5</v>
      </c>
      <c r="H78" s="21">
        <f t="shared" si="7"/>
        <v>0</v>
      </c>
      <c r="J78" s="19"/>
      <c r="K78" s="24"/>
      <c r="L78" s="24">
        <v>42913</v>
      </c>
      <c r="M78" s="18" t="s">
        <v>62</v>
      </c>
      <c r="N78" s="19"/>
      <c r="O78" s="3">
        <v>49.5</v>
      </c>
      <c r="P78" s="31"/>
      <c r="Q78" s="3"/>
      <c r="R78" s="3"/>
      <c r="S78" s="27"/>
      <c r="T78" s="27"/>
      <c r="U78" s="3"/>
      <c r="V78" s="3"/>
      <c r="W78" s="3"/>
      <c r="X78" s="3">
        <f>IF(O78&gt;0,O78,((P78*2.2046*S78)+(Q78+R78)/G78)+V78)</f>
        <v>49.5</v>
      </c>
      <c r="Y78" s="3">
        <f>IF(O78&gt;0,O78,((P78*2.2046*S78)+(Q78+R78+T78)/G78)+V78+W78)</f>
        <v>49.5</v>
      </c>
      <c r="Z78" s="29">
        <f>Y78*F78</f>
        <v>168423.75</v>
      </c>
      <c r="AA78" s="30">
        <v>42921</v>
      </c>
    </row>
    <row r="79" spans="1:27" s="22" customFormat="1" x14ac:dyDescent="0.25">
      <c r="A79" s="95"/>
      <c r="B79" s="17" t="s">
        <v>26</v>
      </c>
      <c r="C79" s="18" t="s">
        <v>37</v>
      </c>
      <c r="D79" s="18" t="s">
        <v>37</v>
      </c>
      <c r="E79" s="19" t="s">
        <v>28</v>
      </c>
      <c r="F79" s="20">
        <f>41019*0.4536</f>
        <v>18606.218400000002</v>
      </c>
      <c r="G79" s="21">
        <v>18550.53</v>
      </c>
      <c r="H79" s="21">
        <f t="shared" si="7"/>
        <v>-55.68840000000273</v>
      </c>
      <c r="I79" s="22">
        <v>90339</v>
      </c>
      <c r="J79" s="23" t="s">
        <v>39</v>
      </c>
      <c r="K79" s="24">
        <v>42913</v>
      </c>
      <c r="L79" s="24">
        <v>42914</v>
      </c>
      <c r="M79" s="18" t="s">
        <v>31</v>
      </c>
      <c r="N79" s="18" t="s">
        <v>422</v>
      </c>
      <c r="O79" s="3"/>
      <c r="P79" s="25">
        <f>0.7115+0.095</f>
        <v>0.80649999999999999</v>
      </c>
      <c r="Q79" s="26">
        <v>23000</v>
      </c>
      <c r="R79" s="3">
        <v>9400</v>
      </c>
      <c r="S79" s="51">
        <v>17.965</v>
      </c>
      <c r="T79" s="27">
        <f>X79*F79*0.005</f>
        <v>3145.2443419163615</v>
      </c>
      <c r="V79" s="3">
        <v>0.12</v>
      </c>
      <c r="W79" s="3">
        <v>0.3</v>
      </c>
      <c r="X79" s="3">
        <f>IF(O79&gt;0,O79,((P79*2.2046*S79)+(Q79+R79)/G79)+V79)</f>
        <v>33.8085286789535</v>
      </c>
      <c r="Y79" s="3">
        <f>IF(O79&gt;0,O79,((P79*2.2046*S79)+(Q79+R79+T79)/G79)+V79+W79)</f>
        <v>34.278078785711436</v>
      </c>
      <c r="Z79" s="29">
        <f>Y79*F79</f>
        <v>637785.42021935387</v>
      </c>
      <c r="AA79" s="30">
        <v>42907</v>
      </c>
    </row>
    <row r="80" spans="1:27" s="22" customFormat="1" x14ac:dyDescent="0.25">
      <c r="A80" s="95"/>
      <c r="B80" s="17" t="s">
        <v>41</v>
      </c>
      <c r="C80" s="19" t="s">
        <v>42</v>
      </c>
      <c r="D80" s="18" t="s">
        <v>228</v>
      </c>
      <c r="E80" s="19">
        <v>218</v>
      </c>
      <c r="F80" s="20">
        <v>24485</v>
      </c>
      <c r="G80" s="21">
        <f>13450+6110</f>
        <v>19560</v>
      </c>
      <c r="H80" s="21">
        <f t="shared" si="7"/>
        <v>-4925</v>
      </c>
      <c r="I80" s="22" t="s">
        <v>423</v>
      </c>
      <c r="J80" s="19"/>
      <c r="K80" s="24"/>
      <c r="L80" s="24">
        <v>42914</v>
      </c>
      <c r="M80" s="18" t="s">
        <v>31</v>
      </c>
      <c r="N80" s="19"/>
      <c r="O80" s="3">
        <v>30</v>
      </c>
      <c r="P80" s="31"/>
      <c r="Q80" s="26">
        <v>19800</v>
      </c>
      <c r="R80" s="3">
        <f>65*E80</f>
        <v>14170</v>
      </c>
      <c r="S80" s="27">
        <f>-38*E80</f>
        <v>-8284</v>
      </c>
      <c r="T80" s="27">
        <f>X80*F80*0.0045</f>
        <v>4288.589059049079</v>
      </c>
      <c r="U80" s="3">
        <f>E80*5</f>
        <v>1090</v>
      </c>
      <c r="V80" s="19"/>
      <c r="W80" s="3">
        <v>0.3</v>
      </c>
      <c r="X80" s="3">
        <f>((O80*F80)+Q80+R80+S80+U80)/G80</f>
        <v>38.922597137014314</v>
      </c>
      <c r="Y80" s="3">
        <f>((O80*F80)+Q80+R80+S80+T80+U80)/G80+W80</f>
        <v>39.441850156393095</v>
      </c>
      <c r="Z80" s="29">
        <f>Y80*G80</f>
        <v>771482.58905904891</v>
      </c>
      <c r="AA80" s="30">
        <v>42927</v>
      </c>
    </row>
    <row r="81" spans="1:27" s="22" customFormat="1" x14ac:dyDescent="0.25">
      <c r="A81" s="95"/>
      <c r="B81" s="17" t="s">
        <v>26</v>
      </c>
      <c r="C81" s="18" t="s">
        <v>33</v>
      </c>
      <c r="D81" s="18" t="s">
        <v>33</v>
      </c>
      <c r="E81" s="19" t="s">
        <v>34</v>
      </c>
      <c r="F81" s="20">
        <f>42187*0.4536</f>
        <v>19136.0232</v>
      </c>
      <c r="G81" s="21">
        <v>18955.580000000002</v>
      </c>
      <c r="H81" s="21">
        <f t="shared" si="7"/>
        <v>-180.44319999999789</v>
      </c>
      <c r="I81" s="22" t="s">
        <v>424</v>
      </c>
      <c r="J81" s="23" t="s">
        <v>30</v>
      </c>
      <c r="K81" s="24">
        <v>42914</v>
      </c>
      <c r="L81" s="24">
        <v>42915</v>
      </c>
      <c r="M81" s="18" t="s">
        <v>47</v>
      </c>
      <c r="N81" s="18" t="s">
        <v>425</v>
      </c>
      <c r="O81" s="3"/>
      <c r="P81" s="96">
        <f>0.7178+0.1</f>
        <v>0.81779999999999997</v>
      </c>
      <c r="Q81" s="26">
        <v>23000</v>
      </c>
      <c r="R81" s="3">
        <v>9400</v>
      </c>
      <c r="S81" s="51">
        <v>18.236000000000001</v>
      </c>
      <c r="T81" s="27">
        <f>X81*F81*0.005</f>
        <v>3320.8025688636608</v>
      </c>
      <c r="V81" s="3">
        <v>0.12</v>
      </c>
      <c r="W81" s="3">
        <v>0.3</v>
      </c>
      <c r="X81" s="3">
        <f>IF(O81&gt;0,O81,((P81*2.2046*S81)+(Q81+R81)/G81)+V81)</f>
        <v>34.7073426297232</v>
      </c>
      <c r="Y81" s="3">
        <f>IF(O81&gt;0,O81,((P81*2.2046*S81)+(Q81+R81+T81)/G81)+V81+W81)</f>
        <v>35.182531284929929</v>
      </c>
      <c r="Z81" s="29">
        <f>Y81*F81</f>
        <v>673253.73490314488</v>
      </c>
      <c r="AA81" s="30">
        <v>42908</v>
      </c>
    </row>
    <row r="82" spans="1:27" s="22" customFormat="1" x14ac:dyDescent="0.25">
      <c r="A82" s="95"/>
      <c r="B82" s="17" t="s">
        <v>41</v>
      </c>
      <c r="C82" s="19" t="s">
        <v>42</v>
      </c>
      <c r="D82" s="18" t="s">
        <v>228</v>
      </c>
      <c r="E82" s="19">
        <v>249</v>
      </c>
      <c r="F82" s="20">
        <v>30915</v>
      </c>
      <c r="G82" s="21">
        <v>24930</v>
      </c>
      <c r="H82" s="21">
        <f t="shared" si="7"/>
        <v>-5985</v>
      </c>
      <c r="I82" s="22" t="s">
        <v>426</v>
      </c>
      <c r="J82" s="19"/>
      <c r="K82" s="24"/>
      <c r="L82" s="24">
        <v>42915</v>
      </c>
      <c r="M82" s="18" t="s">
        <v>47</v>
      </c>
      <c r="N82" s="19"/>
      <c r="O82" s="3">
        <v>29.5</v>
      </c>
      <c r="P82" s="31"/>
      <c r="Q82" s="33">
        <v>19800</v>
      </c>
      <c r="R82" s="3">
        <f>65*E82</f>
        <v>16185</v>
      </c>
      <c r="S82" s="27">
        <f>-38*E82</f>
        <v>-9462</v>
      </c>
      <c r="T82" s="27">
        <f>X82*F82*0.0045</f>
        <v>5244.1689273465699</v>
      </c>
      <c r="U82" s="3">
        <f>E82*5</f>
        <v>1245</v>
      </c>
      <c r="V82" s="19"/>
      <c r="W82" s="3">
        <v>0.3</v>
      </c>
      <c r="X82" s="3">
        <f>((O82*F82)+Q82+R82+S82+U82)/G82</f>
        <v>37.695968712394702</v>
      </c>
      <c r="Y82" s="3">
        <f>((O82*F82)+Q82+R82+S82+T82+U82)/G82+W82</f>
        <v>38.206324465597532</v>
      </c>
      <c r="Z82" s="29">
        <f>Y82*G82</f>
        <v>952483.66892734647</v>
      </c>
      <c r="AA82" s="30">
        <v>42929</v>
      </c>
    </row>
    <row r="83" spans="1:27" s="22" customFormat="1" x14ac:dyDescent="0.25">
      <c r="A83" s="95"/>
      <c r="B83" s="17" t="s">
        <v>427</v>
      </c>
      <c r="C83" s="18" t="s">
        <v>163</v>
      </c>
      <c r="D83" s="18" t="s">
        <v>324</v>
      </c>
      <c r="E83" s="19" t="s">
        <v>428</v>
      </c>
      <c r="F83" s="20">
        <v>5054.58</v>
      </c>
      <c r="G83" s="21">
        <v>5054.66</v>
      </c>
      <c r="H83" s="21">
        <f t="shared" si="7"/>
        <v>7.999999999992724E-2</v>
      </c>
      <c r="I83" s="22" t="s">
        <v>429</v>
      </c>
      <c r="J83" s="19"/>
      <c r="K83" s="24"/>
      <c r="L83" s="24">
        <v>42915</v>
      </c>
      <c r="M83" s="18" t="s">
        <v>47</v>
      </c>
      <c r="N83" s="19"/>
      <c r="O83" s="3">
        <v>91</v>
      </c>
      <c r="P83" s="31"/>
      <c r="Q83" s="3"/>
      <c r="R83" s="3"/>
      <c r="S83" s="27"/>
      <c r="T83" s="27"/>
      <c r="U83" s="3"/>
      <c r="V83" s="3"/>
      <c r="W83" s="3"/>
      <c r="X83" s="3">
        <f>IF(O83&gt;0,O83,((P83*2.2046*S83)+(Q83+R83)/G83)+V83)</f>
        <v>91</v>
      </c>
      <c r="Y83" s="3">
        <f>IF(O83&gt;0,O83,((P83*2.2046*S83)+(Q83+R83+T83)/G83)+V83+W83)</f>
        <v>91</v>
      </c>
      <c r="Z83" s="29">
        <f>Y83*F83</f>
        <v>459966.77999999997</v>
      </c>
      <c r="AA83" s="30">
        <v>42922</v>
      </c>
    </row>
    <row r="84" spans="1:27" s="22" customFormat="1" x14ac:dyDescent="0.25">
      <c r="A84" s="95"/>
      <c r="B84" s="17" t="s">
        <v>26</v>
      </c>
      <c r="C84" s="18" t="s">
        <v>27</v>
      </c>
      <c r="D84" s="18" t="s">
        <v>27</v>
      </c>
      <c r="E84" s="19" t="s">
        <v>34</v>
      </c>
      <c r="F84" s="20">
        <f>40938*0.4536</f>
        <v>18569.4768</v>
      </c>
      <c r="G84" s="21">
        <v>18480.169999999998</v>
      </c>
      <c r="H84" s="21">
        <f t="shared" si="7"/>
        <v>-89.306800000002113</v>
      </c>
      <c r="I84" s="22" t="s">
        <v>430</v>
      </c>
      <c r="J84" s="23" t="s">
        <v>30</v>
      </c>
      <c r="K84" s="24">
        <v>42915</v>
      </c>
      <c r="L84" s="24">
        <v>42916</v>
      </c>
      <c r="M84" s="18" t="s">
        <v>49</v>
      </c>
      <c r="N84" s="18" t="s">
        <v>431</v>
      </c>
      <c r="O84" s="3"/>
      <c r="P84" s="25">
        <v>0.81779999999999997</v>
      </c>
      <c r="Q84" s="26">
        <v>23000</v>
      </c>
      <c r="R84" s="3">
        <v>9400</v>
      </c>
      <c r="S84" s="51">
        <v>18.010000000000002</v>
      </c>
      <c r="T84" s="27">
        <f>X84*F84*0.005</f>
        <v>3188.7369710235812</v>
      </c>
      <c r="V84" s="3">
        <v>0.12</v>
      </c>
      <c r="W84" s="3">
        <v>0.3</v>
      </c>
      <c r="X84" s="3">
        <f>IF(O84&gt;0,O84,((P84*2.2046*S84)+(Q84+R84)/G84)+V84)</f>
        <v>34.343853683842951</v>
      </c>
      <c r="Y84" s="3">
        <f>IF(O84&gt;0,O84,((P84*2.2046*S84)+(Q84+R84+T84)/G84)+V84+W84)</f>
        <v>34.816402798435703</v>
      </c>
      <c r="Z84" s="29">
        <f>Y84*F84</f>
        <v>646522.3840250069</v>
      </c>
      <c r="AA84" s="30">
        <v>42927</v>
      </c>
    </row>
    <row r="85" spans="1:27" s="22" customFormat="1" x14ac:dyDescent="0.25">
      <c r="A85" s="95"/>
      <c r="B85" s="17" t="s">
        <v>41</v>
      </c>
      <c r="C85" s="19" t="s">
        <v>42</v>
      </c>
      <c r="D85" s="18" t="s">
        <v>336</v>
      </c>
      <c r="E85" s="19">
        <f>225</f>
        <v>225</v>
      </c>
      <c r="F85" s="20">
        <f>26630</f>
        <v>26630</v>
      </c>
      <c r="G85" s="21">
        <f>17000</f>
        <v>17000</v>
      </c>
      <c r="H85" s="21">
        <f t="shared" si="7"/>
        <v>-9630</v>
      </c>
      <c r="I85" s="22" t="s">
        <v>432</v>
      </c>
      <c r="J85" s="65">
        <v>200</v>
      </c>
      <c r="K85" s="24"/>
      <c r="L85" s="24">
        <v>42916</v>
      </c>
      <c r="M85" s="18" t="s">
        <v>49</v>
      </c>
      <c r="N85" s="19"/>
      <c r="O85" s="3">
        <v>29.5</v>
      </c>
      <c r="P85" s="31"/>
      <c r="Q85" s="26">
        <f>19800</f>
        <v>19800</v>
      </c>
      <c r="R85" s="3">
        <f>65*E85</f>
        <v>14625</v>
      </c>
      <c r="S85" s="27">
        <f>-38*E85</f>
        <v>-8550</v>
      </c>
      <c r="T85" s="27">
        <f>X85*F85*0.0045</f>
        <v>5728.007263235294</v>
      </c>
      <c r="U85" s="3">
        <f>E85*5</f>
        <v>1125</v>
      </c>
      <c r="V85" s="19"/>
      <c r="W85" s="3">
        <v>0.3</v>
      </c>
      <c r="X85" s="3">
        <f>((O85*F85)+Q85+R85+S85+U85)/G85</f>
        <v>47.799117647058821</v>
      </c>
      <c r="Y85" s="3">
        <f>((O85*F85)+Q85+R85+S85+T85+U85)/G85+W85</f>
        <v>48.436059250778541</v>
      </c>
      <c r="Z85" s="29">
        <f>Y85*G85</f>
        <v>823413.00726323517</v>
      </c>
      <c r="AA85" s="30">
        <v>42929</v>
      </c>
    </row>
    <row r="86" spans="1:27" s="22" customFormat="1" x14ac:dyDescent="0.25">
      <c r="A86" s="95"/>
      <c r="B86" s="17" t="s">
        <v>41</v>
      </c>
      <c r="C86" s="19" t="s">
        <v>42</v>
      </c>
      <c r="D86" s="18" t="s">
        <v>198</v>
      </c>
      <c r="E86" s="19">
        <v>100</v>
      </c>
      <c r="F86" s="20">
        <v>9865</v>
      </c>
      <c r="G86" s="21">
        <v>11920</v>
      </c>
      <c r="H86" s="21">
        <f t="shared" si="7"/>
        <v>2055</v>
      </c>
      <c r="I86" s="18" t="s">
        <v>433</v>
      </c>
      <c r="J86" s="65">
        <v>125</v>
      </c>
      <c r="K86" s="24"/>
      <c r="L86" s="24">
        <v>42916</v>
      </c>
      <c r="M86" s="18" t="s">
        <v>49</v>
      </c>
      <c r="N86" s="19"/>
      <c r="O86" s="3">
        <v>29.5</v>
      </c>
      <c r="P86" s="31"/>
      <c r="Q86" s="26">
        <v>15700</v>
      </c>
      <c r="R86" s="3">
        <f>65*E86</f>
        <v>6500</v>
      </c>
      <c r="S86" s="32">
        <f>-38*E86</f>
        <v>-3800</v>
      </c>
      <c r="T86" s="27">
        <f>X86*F86*0.0045</f>
        <v>1154.1956894924497</v>
      </c>
      <c r="U86" s="3">
        <f>E86*5</f>
        <v>500</v>
      </c>
      <c r="V86" s="19"/>
      <c r="W86" s="3">
        <v>0.3</v>
      </c>
      <c r="X86" s="3">
        <f>((O86*F86)+Q86+R86+S86+U86)/G86</f>
        <v>25.999790268456376</v>
      </c>
      <c r="Y86" s="3">
        <f>((O86*F86)+Q86+R86+S86+T86+U86)/G86+W86</f>
        <v>26.396618765897017</v>
      </c>
      <c r="Z86" s="29">
        <f>Y86*G86</f>
        <v>314647.69568949245</v>
      </c>
      <c r="AA86" s="30">
        <v>42929</v>
      </c>
    </row>
    <row r="87" spans="1:27" s="22" customFormat="1" ht="15.75" thickBot="1" x14ac:dyDescent="0.3">
      <c r="A87" s="97"/>
      <c r="B87" s="34"/>
      <c r="C87" s="6"/>
      <c r="D87" s="6"/>
      <c r="E87" s="6"/>
      <c r="F87" s="35"/>
      <c r="G87" s="35"/>
      <c r="H87" s="35"/>
      <c r="I87" s="9"/>
      <c r="J87" s="6"/>
      <c r="K87" s="10"/>
      <c r="L87" s="10"/>
      <c r="M87" s="6"/>
      <c r="N87" s="6"/>
      <c r="O87" s="11"/>
      <c r="P87" s="12"/>
      <c r="Q87" s="11"/>
      <c r="R87" s="11"/>
      <c r="S87" s="11"/>
      <c r="T87" s="11"/>
      <c r="U87" s="11"/>
      <c r="V87" s="11"/>
      <c r="W87" s="11"/>
      <c r="X87" s="11"/>
      <c r="Y87" s="11"/>
      <c r="Z87" s="15"/>
      <c r="AA87" s="3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80"/>
  <sheetViews>
    <sheetView tabSelected="1" zoomScale="80" zoomScaleNormal="80" workbookViewId="0">
      <selection activeCell="L16" sqref="L16"/>
    </sheetView>
  </sheetViews>
  <sheetFormatPr baseColWidth="10" defaultRowHeight="15" x14ac:dyDescent="0.25"/>
  <cols>
    <col min="1" max="1" width="3.42578125" customWidth="1"/>
    <col min="2" max="2" width="15.42578125" customWidth="1"/>
    <col min="4" max="4" width="17.85546875" customWidth="1"/>
    <col min="5" max="5" width="10.5703125" bestFit="1" customWidth="1"/>
    <col min="6" max="6" width="14.7109375" customWidth="1"/>
    <col min="8" max="8" width="10.42578125" customWidth="1"/>
    <col min="9" max="9" width="11.85546875" customWidth="1"/>
    <col min="10" max="10" width="11.42578125" customWidth="1"/>
    <col min="11" max="11" width="11.42578125" hidden="1" customWidth="1"/>
    <col min="13" max="13" width="4" hidden="1" customWidth="1"/>
    <col min="14" max="14" width="7.7109375" hidden="1" customWidth="1"/>
    <col min="15" max="15" width="11.42578125" hidden="1" customWidth="1"/>
    <col min="16" max="16" width="10.28515625" hidden="1" customWidth="1"/>
    <col min="17" max="21" width="11.42578125" customWidth="1"/>
    <col min="22" max="22" width="7.140625" customWidth="1"/>
    <col min="23" max="23" width="8.5703125" customWidth="1"/>
    <col min="24" max="24" width="11.42578125" customWidth="1"/>
    <col min="26" max="26" width="15.42578125" customWidth="1"/>
  </cols>
  <sheetData>
    <row r="2" spans="1:27" x14ac:dyDescent="0.25">
      <c r="A2" s="1" t="s">
        <v>434</v>
      </c>
      <c r="S2" s="2"/>
      <c r="W2" s="3"/>
      <c r="Z2" s="4"/>
    </row>
    <row r="3" spans="1:27" ht="30.75" thickBot="1" x14ac:dyDescent="0.3">
      <c r="A3" s="5"/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 t="s">
        <v>7</v>
      </c>
      <c r="I3" s="9" t="s">
        <v>8</v>
      </c>
      <c r="J3" s="6" t="s">
        <v>9</v>
      </c>
      <c r="K3" s="10" t="s">
        <v>10</v>
      </c>
      <c r="L3" s="10" t="s">
        <v>11</v>
      </c>
      <c r="M3" s="6" t="s">
        <v>12</v>
      </c>
      <c r="N3" s="6" t="s">
        <v>13</v>
      </c>
      <c r="O3" s="11" t="s">
        <v>14</v>
      </c>
      <c r="P3" s="12" t="s">
        <v>15</v>
      </c>
      <c r="Q3" s="11" t="s">
        <v>16</v>
      </c>
      <c r="R3" s="13" t="s">
        <v>17</v>
      </c>
      <c r="S3" s="13" t="s">
        <v>18</v>
      </c>
      <c r="T3" s="14" t="s">
        <v>19</v>
      </c>
      <c r="U3" s="11" t="s">
        <v>20</v>
      </c>
      <c r="V3" s="11" t="s">
        <v>21</v>
      </c>
      <c r="W3" s="14" t="s">
        <v>22</v>
      </c>
      <c r="X3" s="11" t="s">
        <v>23</v>
      </c>
      <c r="Y3" s="11" t="s">
        <v>24</v>
      </c>
      <c r="Z3" s="15" t="s">
        <v>25</v>
      </c>
      <c r="AA3" s="11"/>
    </row>
    <row r="4" spans="1:27" s="22" customFormat="1" x14ac:dyDescent="0.25">
      <c r="A4" s="95"/>
      <c r="B4" s="17" t="s">
        <v>26</v>
      </c>
      <c r="C4" s="18" t="s">
        <v>33</v>
      </c>
      <c r="D4" s="18" t="s">
        <v>33</v>
      </c>
      <c r="E4" s="19" t="s">
        <v>34</v>
      </c>
      <c r="F4" s="20">
        <f>42931*0.4536</f>
        <v>19473.5016</v>
      </c>
      <c r="G4" s="21">
        <v>19336.009999999998</v>
      </c>
      <c r="H4" s="21">
        <f>G4-F4</f>
        <v>-137.4916000000012</v>
      </c>
      <c r="I4" s="22" t="s">
        <v>435</v>
      </c>
      <c r="J4" s="23" t="s">
        <v>30</v>
      </c>
      <c r="K4" s="24">
        <v>42916</v>
      </c>
      <c r="L4" s="24">
        <v>42887</v>
      </c>
      <c r="M4" s="18" t="s">
        <v>98</v>
      </c>
      <c r="N4" s="18" t="s">
        <v>436</v>
      </c>
      <c r="O4" s="3"/>
      <c r="P4" s="25">
        <f>0.7426+0.105</f>
        <v>0.84760000000000002</v>
      </c>
      <c r="Q4" s="26">
        <v>23000</v>
      </c>
      <c r="R4" s="3">
        <v>9400</v>
      </c>
      <c r="S4" s="51">
        <v>18.234999999999999</v>
      </c>
      <c r="T4" s="27">
        <f>X4*F4*0.005</f>
        <v>3492.562465236801</v>
      </c>
      <c r="V4" s="3">
        <v>0.12</v>
      </c>
      <c r="W4" s="3">
        <v>0.3</v>
      </c>
      <c r="X4" s="3">
        <f>IF(O4&gt;0,O4,((P4*2.2046*S4)+(Q4+R4)/G4)+V4)</f>
        <v>35.869896816469833</v>
      </c>
      <c r="Y4" s="3">
        <f>IF(O4&gt;0,O4,((P4*2.2046*S4)+(Q4+R4+T4)/G4)+V4+W4)</f>
        <v>36.350521591965752</v>
      </c>
      <c r="Z4" s="29">
        <f>Y4*F4</f>
        <v>707871.94038197957</v>
      </c>
      <c r="AA4" s="30">
        <v>42909</v>
      </c>
    </row>
    <row r="5" spans="1:27" s="22" customFormat="1" x14ac:dyDescent="0.25">
      <c r="A5" s="95"/>
      <c r="B5" s="17" t="s">
        <v>26</v>
      </c>
      <c r="C5" s="18" t="s">
        <v>33</v>
      </c>
      <c r="D5" s="18" t="s">
        <v>33</v>
      </c>
      <c r="E5" s="19" t="s">
        <v>34</v>
      </c>
      <c r="F5" s="20">
        <f>42853*0.4536</f>
        <v>19438.120800000001</v>
      </c>
      <c r="G5" s="21">
        <v>19312.830000000002</v>
      </c>
      <c r="H5" s="21">
        <f>G5-F5</f>
        <v>-125.29079999999885</v>
      </c>
      <c r="I5" s="22" t="s">
        <v>437</v>
      </c>
      <c r="J5" s="23" t="s">
        <v>30</v>
      </c>
      <c r="K5" s="24">
        <v>42916</v>
      </c>
      <c r="L5" s="24">
        <v>42917</v>
      </c>
      <c r="M5" s="18" t="s">
        <v>98</v>
      </c>
      <c r="N5" s="18" t="s">
        <v>438</v>
      </c>
      <c r="O5" s="3"/>
      <c r="P5" s="25">
        <f>0.7431+0.105</f>
        <v>0.84809999999999997</v>
      </c>
      <c r="Q5" s="26">
        <v>23000</v>
      </c>
      <c r="R5" s="3">
        <v>9400</v>
      </c>
      <c r="S5" s="51">
        <v>17.984000000000002</v>
      </c>
      <c r="T5" s="27">
        <f>X5*F5*0.005</f>
        <v>3442.7544224047233</v>
      </c>
      <c r="V5" s="3">
        <v>0.12</v>
      </c>
      <c r="W5" s="3">
        <v>0.3</v>
      </c>
      <c r="X5" s="3">
        <f>IF(O5&gt;0,O5,((P5*2.2046*S5)+(Q5+R5)/G5)+V5)</f>
        <v>35.422708376261589</v>
      </c>
      <c r="Y5" s="3">
        <f>IF(O5&gt;0,O5,((P5*2.2046*S5)+(Q5+R5+T5)/G5)+V5+W5)</f>
        <v>35.90097093138192</v>
      </c>
      <c r="Z5" s="29">
        <f>Y5*F5</f>
        <v>697847.40980149026</v>
      </c>
      <c r="AA5" s="30">
        <v>42912</v>
      </c>
    </row>
    <row r="6" spans="1:27" s="22" customFormat="1" x14ac:dyDescent="0.25">
      <c r="A6" s="95"/>
      <c r="B6" s="19" t="s">
        <v>439</v>
      </c>
      <c r="C6" s="18" t="s">
        <v>440</v>
      </c>
      <c r="D6" s="18" t="s">
        <v>440</v>
      </c>
      <c r="E6" s="19" t="s">
        <v>441</v>
      </c>
      <c r="F6" s="20">
        <v>768.71</v>
      </c>
      <c r="G6" s="21">
        <v>768.71</v>
      </c>
      <c r="H6" s="21">
        <f>G6-F6</f>
        <v>0</v>
      </c>
      <c r="I6" s="22" t="s">
        <v>442</v>
      </c>
      <c r="J6" s="19"/>
      <c r="K6" s="24"/>
      <c r="L6" s="24">
        <v>42917</v>
      </c>
      <c r="M6" s="18" t="s">
        <v>98</v>
      </c>
      <c r="N6" s="18"/>
      <c r="O6" s="3">
        <v>36</v>
      </c>
      <c r="P6" s="25"/>
      <c r="Q6" s="3"/>
      <c r="R6" s="3"/>
      <c r="S6" s="51"/>
      <c r="T6" s="27"/>
      <c r="V6" s="3"/>
      <c r="W6" s="3"/>
      <c r="X6" s="3">
        <f>IF(O6&gt;0,O6,((P6*2.2046*S6)+(Q6+R6)/G6)+V6)</f>
        <v>36</v>
      </c>
      <c r="Y6" s="3">
        <f>IF(O6&gt;0,O6,((P6*2.2046*S6)+(Q6+R6+T6)/G6)+V6+W6)</f>
        <v>36</v>
      </c>
      <c r="Z6" s="29">
        <f>Y6*F6</f>
        <v>27673.56</v>
      </c>
      <c r="AA6" s="30">
        <v>42923</v>
      </c>
    </row>
    <row r="7" spans="1:27" ht="15.75" thickBot="1" x14ac:dyDescent="0.3">
      <c r="A7" s="95"/>
      <c r="B7" s="19"/>
      <c r="C7" s="19"/>
      <c r="D7" s="19"/>
      <c r="E7" s="19"/>
      <c r="F7" s="67"/>
      <c r="G7" s="67"/>
      <c r="H7" s="67"/>
      <c r="I7" s="69"/>
      <c r="J7" s="19"/>
      <c r="K7" s="24"/>
      <c r="L7" s="24"/>
      <c r="M7" s="19"/>
      <c r="N7" s="19"/>
      <c r="O7" s="3"/>
      <c r="P7" s="31"/>
      <c r="Q7" s="3"/>
      <c r="R7" s="3"/>
      <c r="S7" s="3"/>
      <c r="T7" s="3"/>
      <c r="U7" s="3"/>
      <c r="V7" s="3"/>
      <c r="W7" s="3"/>
      <c r="X7" s="3"/>
      <c r="Y7" s="3"/>
      <c r="Z7" s="29"/>
      <c r="AA7" s="30"/>
    </row>
    <row r="8" spans="1:27" s="22" customFormat="1" x14ac:dyDescent="0.25">
      <c r="A8" s="98"/>
      <c r="B8" s="38" t="s">
        <v>41</v>
      </c>
      <c r="C8" s="38" t="s">
        <v>42</v>
      </c>
      <c r="D8" s="39" t="s">
        <v>443</v>
      </c>
      <c r="E8" s="38">
        <f>230+30</f>
        <v>260</v>
      </c>
      <c r="F8" s="40">
        <f>26580+3280</f>
        <v>29860</v>
      </c>
      <c r="G8" s="41">
        <f>12120+11760</f>
        <v>23880</v>
      </c>
      <c r="H8" s="99">
        <f t="shared" ref="H8:H9" si="0">G8-F8</f>
        <v>-5980</v>
      </c>
      <c r="I8" s="39" t="s">
        <v>444</v>
      </c>
      <c r="J8" s="38"/>
      <c r="K8" s="42"/>
      <c r="L8" s="42">
        <v>42918</v>
      </c>
      <c r="M8" s="39" t="s">
        <v>57</v>
      </c>
      <c r="N8" s="38"/>
      <c r="O8" s="43">
        <v>30</v>
      </c>
      <c r="P8" s="44"/>
      <c r="Q8" s="45">
        <v>19800</v>
      </c>
      <c r="R8" s="43">
        <f t="shared" ref="R8:R9" si="1">65*E8</f>
        <v>16900</v>
      </c>
      <c r="S8" s="43">
        <f t="shared" ref="S8:S9" si="2">-38*E8</f>
        <v>-9880</v>
      </c>
      <c r="T8" s="46">
        <f>X8*F8*0.0045</f>
        <v>5198.7910552763815</v>
      </c>
      <c r="U8" s="43">
        <f>E8*5</f>
        <v>1300</v>
      </c>
      <c r="V8" s="38"/>
      <c r="W8" s="43">
        <v>0.3</v>
      </c>
      <c r="X8" s="43">
        <f>((O8*F8)+Q8+R8+S8+U8)/G8</f>
        <v>38.690117252931323</v>
      </c>
      <c r="Y8" s="47">
        <f t="shared" ref="Y8:Y9" si="3">((O8*F8)+Q8+R8+S8+T8+U8)/G8+W8</f>
        <v>39.207822070991469</v>
      </c>
      <c r="Z8" s="47">
        <f>Y8*G8</f>
        <v>936282.79105527629</v>
      </c>
      <c r="AA8" s="48">
        <v>42933</v>
      </c>
    </row>
    <row r="9" spans="1:27" s="22" customFormat="1" x14ac:dyDescent="0.25">
      <c r="A9" s="100"/>
      <c r="B9" s="17" t="s">
        <v>41</v>
      </c>
      <c r="C9" s="19" t="s">
        <v>42</v>
      </c>
      <c r="D9" s="18" t="s">
        <v>228</v>
      </c>
      <c r="E9" s="19">
        <v>230</v>
      </c>
      <c r="F9" s="20">
        <v>26495</v>
      </c>
      <c r="G9" s="21">
        <f>13570+7560</f>
        <v>21130</v>
      </c>
      <c r="H9" s="21">
        <f t="shared" si="0"/>
        <v>-5365</v>
      </c>
      <c r="I9" s="18" t="s">
        <v>445</v>
      </c>
      <c r="J9" s="19"/>
      <c r="K9" s="24"/>
      <c r="L9" s="24">
        <v>42919</v>
      </c>
      <c r="M9" s="18" t="s">
        <v>60</v>
      </c>
      <c r="N9" s="19"/>
      <c r="O9" s="3">
        <v>30</v>
      </c>
      <c r="P9" s="31"/>
      <c r="Q9" s="26">
        <v>19800</v>
      </c>
      <c r="R9" s="3">
        <f t="shared" si="1"/>
        <v>14950</v>
      </c>
      <c r="S9" s="27">
        <f t="shared" si="2"/>
        <v>-8740</v>
      </c>
      <c r="T9" s="27">
        <f>X9*F9*0.0045</f>
        <v>4638.2488061997155</v>
      </c>
      <c r="U9" s="3">
        <f>E9*5</f>
        <v>1150</v>
      </c>
      <c r="V9" s="19"/>
      <c r="W9" s="3">
        <v>0.3</v>
      </c>
      <c r="X9" s="3">
        <f>((O9*F9)+Q9+R9+S9+U9)/G9</f>
        <v>38.902508282063415</v>
      </c>
      <c r="Y9" s="3">
        <f t="shared" si="3"/>
        <v>39.422018400672016</v>
      </c>
      <c r="Z9" s="29">
        <f>Y9*G9</f>
        <v>832987.24880619964</v>
      </c>
      <c r="AA9" s="30">
        <v>42933</v>
      </c>
    </row>
    <row r="10" spans="1:27" s="22" customFormat="1" x14ac:dyDescent="0.25">
      <c r="A10" s="100"/>
      <c r="B10" s="17" t="s">
        <v>26</v>
      </c>
      <c r="C10" s="18" t="s">
        <v>27</v>
      </c>
      <c r="D10" s="18" t="s">
        <v>27</v>
      </c>
      <c r="E10" s="19" t="s">
        <v>34</v>
      </c>
      <c r="F10" s="20">
        <f>40680*0.4536</f>
        <v>18452.448</v>
      </c>
      <c r="G10" s="21">
        <v>18448.990000000002</v>
      </c>
      <c r="H10" s="21">
        <f>G10-F10</f>
        <v>-3.4579999999987194</v>
      </c>
      <c r="I10" s="22" t="s">
        <v>446</v>
      </c>
      <c r="J10" s="23" t="s">
        <v>30</v>
      </c>
      <c r="K10" s="24">
        <v>42919</v>
      </c>
      <c r="L10" s="24">
        <v>42920</v>
      </c>
      <c r="M10" s="18" t="s">
        <v>62</v>
      </c>
      <c r="N10" s="18" t="s">
        <v>447</v>
      </c>
      <c r="O10" s="3"/>
      <c r="P10" s="25">
        <f>0.7658+0.095</f>
        <v>0.86080000000000001</v>
      </c>
      <c r="Q10" s="26">
        <v>23000</v>
      </c>
      <c r="R10" s="3">
        <v>9400</v>
      </c>
      <c r="S10" s="51">
        <v>17.97</v>
      </c>
      <c r="T10" s="27">
        <f>X10*F10*0.005</f>
        <v>3319.4308315718949</v>
      </c>
      <c r="V10" s="3">
        <v>0.12</v>
      </c>
      <c r="W10" s="3">
        <v>0.3</v>
      </c>
      <c r="X10" s="3">
        <f>IF(O10&gt;0,O10,((P10*2.2046*S10)+(Q10+R10)/G10)+V10)</f>
        <v>35.978216349092484</v>
      </c>
      <c r="Y10" s="3">
        <f t="shared" ref="Y10:Y12" si="4">IF(O10&gt;0,O10,((P10*2.2046*S10)+(Q10+R10+T10)/G10)+V10+W10)</f>
        <v>36.458141148855063</v>
      </c>
      <c r="Z10" s="29">
        <f>Y10*F10</f>
        <v>672741.9537259083</v>
      </c>
      <c r="AA10" s="30">
        <v>42930</v>
      </c>
    </row>
    <row r="11" spans="1:27" s="22" customFormat="1" x14ac:dyDescent="0.25">
      <c r="A11" s="100"/>
      <c r="B11" s="17" t="s">
        <v>26</v>
      </c>
      <c r="C11" s="18" t="s">
        <v>37</v>
      </c>
      <c r="D11" s="18" t="s">
        <v>37</v>
      </c>
      <c r="E11" s="19" t="s">
        <v>28</v>
      </c>
      <c r="F11" s="20">
        <f>41007*0.4536</f>
        <v>18600.7752</v>
      </c>
      <c r="G11" s="21">
        <v>18600.37</v>
      </c>
      <c r="H11" s="21">
        <f>G11-F11</f>
        <v>-0.40520000000105938</v>
      </c>
      <c r="I11" s="22" t="s">
        <v>448</v>
      </c>
      <c r="J11" s="23" t="s">
        <v>30</v>
      </c>
      <c r="K11" s="24">
        <v>42919</v>
      </c>
      <c r="L11" s="24">
        <v>42920</v>
      </c>
      <c r="M11" s="18" t="s">
        <v>62</v>
      </c>
      <c r="N11" s="18" t="s">
        <v>449</v>
      </c>
      <c r="O11" s="3"/>
      <c r="P11" s="25">
        <f>0.7645+0.095</f>
        <v>0.85949999999999993</v>
      </c>
      <c r="Q11" s="26">
        <v>23000</v>
      </c>
      <c r="R11" s="3">
        <v>9400</v>
      </c>
      <c r="S11" s="51">
        <v>17.998000000000001</v>
      </c>
      <c r="T11" s="27">
        <f>X11*F11*0.005</f>
        <v>3344.9288306869234</v>
      </c>
      <c r="V11" s="3">
        <v>0.12</v>
      </c>
      <c r="W11" s="3">
        <v>0.3</v>
      </c>
      <c r="X11" s="3">
        <f t="shared" ref="X11:X12" si="5">IF(O11&gt;0,O11,((P11*2.2046*S11)+(Q11+R11)/G11)+V11)</f>
        <v>35.96547772575547</v>
      </c>
      <c r="Y11" s="3">
        <f t="shared" si="4"/>
        <v>36.44530903183631</v>
      </c>
      <c r="Z11" s="29">
        <f t="shared" ref="Z11:Z12" si="6">Y11*F11</f>
        <v>677911.00039571687</v>
      </c>
      <c r="AA11" s="30">
        <v>42913</v>
      </c>
    </row>
    <row r="12" spans="1:27" s="22" customFormat="1" x14ac:dyDescent="0.25">
      <c r="A12" s="100"/>
      <c r="B12" s="17" t="s">
        <v>26</v>
      </c>
      <c r="C12" s="18" t="s">
        <v>37</v>
      </c>
      <c r="D12" s="18" t="s">
        <v>37</v>
      </c>
      <c r="E12" s="19" t="s">
        <v>28</v>
      </c>
      <c r="F12" s="20">
        <f>41735*0.4536</f>
        <v>18930.995999999999</v>
      </c>
      <c r="G12" s="21">
        <v>18930.57</v>
      </c>
      <c r="H12" s="21">
        <f>G12-F12</f>
        <v>-0.42599999999947613</v>
      </c>
      <c r="I12" s="22" t="s">
        <v>450</v>
      </c>
      <c r="J12" s="23" t="s">
        <v>39</v>
      </c>
      <c r="K12" s="24">
        <v>42919</v>
      </c>
      <c r="L12" s="24">
        <v>42920</v>
      </c>
      <c r="M12" s="18" t="s">
        <v>62</v>
      </c>
      <c r="N12" s="18" t="s">
        <v>449</v>
      </c>
      <c r="O12" s="3"/>
      <c r="P12" s="25">
        <f>0.7645+0.095</f>
        <v>0.85949999999999993</v>
      </c>
      <c r="Q12" s="26">
        <v>23000</v>
      </c>
      <c r="R12" s="3">
        <v>9400</v>
      </c>
      <c r="S12" s="51">
        <v>17.907</v>
      </c>
      <c r="T12" s="27">
        <f>X12*F12*0.005</f>
        <v>3385.1141139736274</v>
      </c>
      <c r="V12" s="3">
        <v>0.12</v>
      </c>
      <c r="W12" s="3">
        <v>0.3</v>
      </c>
      <c r="X12" s="3">
        <f t="shared" si="5"/>
        <v>35.762662608704026</v>
      </c>
      <c r="Y12" s="3">
        <f t="shared" si="4"/>
        <v>36.241479945634381</v>
      </c>
      <c r="Z12" s="29">
        <f t="shared" si="6"/>
        <v>686087.31188488461</v>
      </c>
      <c r="AA12" s="30">
        <v>42914</v>
      </c>
    </row>
    <row r="13" spans="1:27" s="22" customFormat="1" x14ac:dyDescent="0.25">
      <c r="A13" s="100"/>
      <c r="B13" s="17" t="s">
        <v>41</v>
      </c>
      <c r="C13" s="19" t="s">
        <v>42</v>
      </c>
      <c r="D13" s="18" t="s">
        <v>51</v>
      </c>
      <c r="E13" s="19">
        <v>220</v>
      </c>
      <c r="F13" s="20">
        <v>24605</v>
      </c>
      <c r="G13" s="21">
        <f>13280+6250</f>
        <v>19530</v>
      </c>
      <c r="H13" s="21">
        <f>G13-F13</f>
        <v>-5075</v>
      </c>
      <c r="I13" s="22" t="s">
        <v>451</v>
      </c>
      <c r="J13" s="19"/>
      <c r="K13" s="24"/>
      <c r="L13" s="24">
        <v>42920</v>
      </c>
      <c r="M13" s="18" t="s">
        <v>62</v>
      </c>
      <c r="N13" s="19"/>
      <c r="O13" s="3">
        <v>30</v>
      </c>
      <c r="P13" s="31"/>
      <c r="Q13" s="26">
        <v>19800</v>
      </c>
      <c r="R13" s="3">
        <f>65*E13</f>
        <v>14300</v>
      </c>
      <c r="S13" s="27">
        <f>-38*E13</f>
        <v>-8360</v>
      </c>
      <c r="T13" s="27">
        <f t="shared" ref="T13" si="7">X13*F13*0.005</f>
        <v>4818.8886200716852</v>
      </c>
      <c r="U13" s="3">
        <f>E13*5</f>
        <v>1100</v>
      </c>
      <c r="V13" s="19"/>
      <c r="W13" s="3">
        <v>0.3</v>
      </c>
      <c r="X13" s="3">
        <f>((O13*F13)+Q13+R13+S13+U13)/G13</f>
        <v>39.169994879672302</v>
      </c>
      <c r="Y13" s="3">
        <f>((O13*F13)+Q13+R13+S13+T13+U13)/G13+W13</f>
        <v>39.716737768564855</v>
      </c>
      <c r="Z13" s="29">
        <f>Y13*G13</f>
        <v>775667.88862007158</v>
      </c>
      <c r="AA13" s="30">
        <v>42933</v>
      </c>
    </row>
    <row r="14" spans="1:27" s="22" customFormat="1" x14ac:dyDescent="0.25">
      <c r="A14" s="100"/>
      <c r="B14" s="17" t="s">
        <v>41</v>
      </c>
      <c r="C14" s="19" t="s">
        <v>42</v>
      </c>
      <c r="D14" s="18" t="s">
        <v>452</v>
      </c>
      <c r="E14" s="19">
        <v>219</v>
      </c>
      <c r="F14" s="20">
        <v>24375</v>
      </c>
      <c r="G14" s="21">
        <f>13120+6230</f>
        <v>19350</v>
      </c>
      <c r="H14" s="21">
        <f t="shared" ref="H14" si="8">G14-F14</f>
        <v>-5025</v>
      </c>
      <c r="I14" s="22" t="s">
        <v>453</v>
      </c>
      <c r="J14" s="19"/>
      <c r="K14" s="24"/>
      <c r="L14" s="24">
        <v>42921</v>
      </c>
      <c r="M14" s="18" t="s">
        <v>31</v>
      </c>
      <c r="N14" s="19"/>
      <c r="O14" s="3">
        <v>30</v>
      </c>
      <c r="P14" s="31"/>
      <c r="Q14" s="26">
        <v>19800</v>
      </c>
      <c r="R14" s="3">
        <f>65*E14</f>
        <v>14235</v>
      </c>
      <c r="S14" s="27">
        <f>-38*E14</f>
        <v>-8322</v>
      </c>
      <c r="T14" s="27">
        <f>X14*F14*0.0045</f>
        <v>4297.1311046511628</v>
      </c>
      <c r="U14" s="3">
        <f>E14*5</f>
        <v>1095</v>
      </c>
      <c r="V14" s="19"/>
      <c r="W14" s="3">
        <v>0.3</v>
      </c>
      <c r="X14" s="3">
        <f>((O14*F14)+Q14+R14+S14+U14)/G14</f>
        <v>39.176124031007753</v>
      </c>
      <c r="Y14" s="3">
        <f t="shared" ref="Y14" si="9">((O14*F14)+Q14+R14+S14+T14+U14)/G14+W14</f>
        <v>39.69819798990445</v>
      </c>
      <c r="Z14" s="29">
        <f>Y14*G14</f>
        <v>768160.13110465114</v>
      </c>
      <c r="AA14" s="30">
        <v>42934</v>
      </c>
    </row>
    <row r="15" spans="1:27" s="22" customFormat="1" x14ac:dyDescent="0.25">
      <c r="A15" s="100"/>
      <c r="B15" s="17" t="s">
        <v>26</v>
      </c>
      <c r="C15" s="18" t="s">
        <v>33</v>
      </c>
      <c r="D15" s="18" t="s">
        <v>33</v>
      </c>
      <c r="E15" s="19" t="s">
        <v>34</v>
      </c>
      <c r="F15" s="20">
        <f>42586*0.4536</f>
        <v>19317.009600000001</v>
      </c>
      <c r="G15" s="21">
        <v>19140.11</v>
      </c>
      <c r="H15" s="21">
        <f>G15-F15</f>
        <v>-176.89960000000065</v>
      </c>
      <c r="I15" s="22" t="s">
        <v>454</v>
      </c>
      <c r="J15" s="23" t="s">
        <v>30</v>
      </c>
      <c r="K15" s="24">
        <v>42921</v>
      </c>
      <c r="L15" s="24">
        <v>42922</v>
      </c>
      <c r="M15" s="18" t="s">
        <v>47</v>
      </c>
      <c r="N15" s="18" t="s">
        <v>425</v>
      </c>
      <c r="O15" s="3"/>
      <c r="P15" s="25">
        <f>0.7619+0.105</f>
        <v>0.8669</v>
      </c>
      <c r="Q15" s="26">
        <v>23000</v>
      </c>
      <c r="R15" s="3">
        <v>9400</v>
      </c>
      <c r="S15" s="51">
        <v>17.954999999999998</v>
      </c>
      <c r="T15" s="27">
        <f>X15*F15*0.005</f>
        <v>3489.4050085121953</v>
      </c>
      <c r="V15" s="3">
        <v>0.12</v>
      </c>
      <c r="W15" s="3">
        <v>0.3</v>
      </c>
      <c r="X15" s="3">
        <f t="shared" ref="X15" si="10">IF(O15&gt;0,O15,((P15*2.2046*S15)+(Q15+R15)/G15)+V15)</f>
        <v>36.12779701172996</v>
      </c>
      <c r="Y15" s="3">
        <f t="shared" ref="Y15" si="11">IF(O15&gt;0,O15,((P15*2.2046*S15)+(Q15+R15+T15)/G15)+V15+W15)</f>
        <v>36.610105525553138</v>
      </c>
      <c r="Z15" s="29">
        <f t="shared" ref="Z15" si="12">Y15*F15</f>
        <v>707197.75989412307</v>
      </c>
      <c r="AA15" s="30">
        <v>42976</v>
      </c>
    </row>
    <row r="16" spans="1:27" s="22" customFormat="1" x14ac:dyDescent="0.25">
      <c r="A16" s="100"/>
      <c r="B16" s="17" t="s">
        <v>41</v>
      </c>
      <c r="C16" s="19" t="s">
        <v>42</v>
      </c>
      <c r="D16" s="18" t="s">
        <v>53</v>
      </c>
      <c r="E16" s="19">
        <v>250</v>
      </c>
      <c r="F16" s="20">
        <v>26395</v>
      </c>
      <c r="G16" s="21">
        <v>21060</v>
      </c>
      <c r="H16" s="21">
        <f t="shared" ref="H16:H17" si="13">G16-F16</f>
        <v>-5335</v>
      </c>
      <c r="I16" s="22" t="s">
        <v>455</v>
      </c>
      <c r="J16" s="19"/>
      <c r="K16" s="24"/>
      <c r="L16" s="24">
        <v>42922</v>
      </c>
      <c r="M16" s="18" t="s">
        <v>47</v>
      </c>
      <c r="N16" s="19"/>
      <c r="O16" s="3">
        <v>30</v>
      </c>
      <c r="P16" s="31"/>
      <c r="Q16" s="26">
        <v>19800</v>
      </c>
      <c r="R16" s="3">
        <f t="shared" ref="R16:R17" si="14">65*E16</f>
        <v>16250</v>
      </c>
      <c r="S16" s="27">
        <f t="shared" ref="S16:S17" si="15">-38*E16</f>
        <v>-9500</v>
      </c>
      <c r="T16" s="27">
        <f t="shared" ref="T16:T17" si="16">X16*F16*0.0045</f>
        <v>4622.7909722222221</v>
      </c>
      <c r="U16" s="3">
        <f t="shared" ref="U16:U17" si="17">E16*5</f>
        <v>1250</v>
      </c>
      <c r="V16" s="19"/>
      <c r="W16" s="3">
        <v>0.3</v>
      </c>
      <c r="X16" s="3">
        <f t="shared" ref="X16:X17" si="18">((O16*F16)+Q16+R16+S16+U16)/G16</f>
        <v>38.919753086419753</v>
      </c>
      <c r="Y16" s="3">
        <f t="shared" ref="Y16:Y17" si="19">((O16*F16)+Q16+R16+S16+T16+U16)/G16+W16</f>
        <v>39.43925883058985</v>
      </c>
      <c r="Z16" s="29">
        <f t="shared" ref="Z16:Z17" si="20">Y16*G16</f>
        <v>830590.79097222222</v>
      </c>
      <c r="AA16" s="30">
        <v>42935</v>
      </c>
    </row>
    <row r="17" spans="1:27" s="22" customFormat="1" x14ac:dyDescent="0.25">
      <c r="A17" s="100"/>
      <c r="B17" s="17" t="s">
        <v>41</v>
      </c>
      <c r="C17" s="19" t="s">
        <v>42</v>
      </c>
      <c r="D17" s="18" t="s">
        <v>228</v>
      </c>
      <c r="E17" s="19">
        <v>130</v>
      </c>
      <c r="F17" s="20">
        <v>15695</v>
      </c>
      <c r="G17" s="21">
        <v>12760</v>
      </c>
      <c r="H17" s="21">
        <f t="shared" si="13"/>
        <v>-2935</v>
      </c>
      <c r="I17" s="22" t="s">
        <v>456</v>
      </c>
      <c r="J17" s="19"/>
      <c r="K17" s="24"/>
      <c r="L17" s="24">
        <v>42922</v>
      </c>
      <c r="M17" s="18" t="s">
        <v>47</v>
      </c>
      <c r="N17" s="19"/>
      <c r="O17" s="3">
        <v>30</v>
      </c>
      <c r="P17" s="31"/>
      <c r="Q17" s="26">
        <v>15700</v>
      </c>
      <c r="R17" s="3">
        <f t="shared" si="14"/>
        <v>8450</v>
      </c>
      <c r="S17" s="27">
        <f t="shared" si="15"/>
        <v>-4940</v>
      </c>
      <c r="T17" s="27">
        <f t="shared" si="16"/>
        <v>2716.1144612068961</v>
      </c>
      <c r="U17" s="3">
        <f t="shared" si="17"/>
        <v>650</v>
      </c>
      <c r="V17" s="19"/>
      <c r="W17" s="3">
        <v>0.3</v>
      </c>
      <c r="X17" s="3">
        <f t="shared" si="18"/>
        <v>38.456896551724135</v>
      </c>
      <c r="Y17" s="3">
        <f t="shared" si="19"/>
        <v>38.96975818661496</v>
      </c>
      <c r="Z17" s="29">
        <f t="shared" si="20"/>
        <v>497254.11446120689</v>
      </c>
      <c r="AA17" s="30">
        <v>42935</v>
      </c>
    </row>
    <row r="18" spans="1:27" s="22" customFormat="1" x14ac:dyDescent="0.25">
      <c r="A18" s="100"/>
      <c r="B18" s="17" t="s">
        <v>26</v>
      </c>
      <c r="C18" s="18" t="s">
        <v>27</v>
      </c>
      <c r="D18" s="18" t="s">
        <v>27</v>
      </c>
      <c r="E18" s="19" t="s">
        <v>34</v>
      </c>
      <c r="F18" s="20">
        <f>40878*0.4536</f>
        <v>18542.2608</v>
      </c>
      <c r="G18" s="21">
        <v>18489.330000000002</v>
      </c>
      <c r="H18" s="21">
        <f>G18-F18</f>
        <v>-52.930799999998271</v>
      </c>
      <c r="I18" s="22" t="s">
        <v>457</v>
      </c>
      <c r="J18" s="23" t="s">
        <v>30</v>
      </c>
      <c r="K18" s="24">
        <v>42922</v>
      </c>
      <c r="L18" s="24">
        <v>42923</v>
      </c>
      <c r="M18" s="18" t="s">
        <v>49</v>
      </c>
      <c r="N18" s="18" t="s">
        <v>431</v>
      </c>
      <c r="O18" s="3"/>
      <c r="P18" s="25">
        <f>0.7619+0.095</f>
        <v>0.8569</v>
      </c>
      <c r="Q18" s="26">
        <v>23000</v>
      </c>
      <c r="R18" s="3">
        <v>9400</v>
      </c>
      <c r="S18" s="51">
        <v>17.827000000000002</v>
      </c>
      <c r="T18" s="27">
        <f>X18*F18*0.005</f>
        <v>3295.8623162375698</v>
      </c>
      <c r="V18" s="3">
        <v>0.12</v>
      </c>
      <c r="W18" s="3">
        <v>0.3</v>
      </c>
      <c r="X18" s="3">
        <f t="shared" ref="X18" si="21">IF(O18&gt;0,O18,((P18*2.2046*S18)+(Q18+R18)/G18)+V18)</f>
        <v>35.549735296977055</v>
      </c>
      <c r="Y18" s="3">
        <f t="shared" ref="Y18" si="22">IF(O18&gt;0,O18,((P18*2.2046*S18)+(Q18+R18+T18)/G18)+V18+W18)</f>
        <v>36.02799282800914</v>
      </c>
      <c r="Z18" s="29">
        <f t="shared" ref="Z18" si="23">Y18*F18</f>
        <v>668040.43911747506</v>
      </c>
      <c r="AA18" s="30">
        <v>42933</v>
      </c>
    </row>
    <row r="19" spans="1:27" s="22" customFormat="1" x14ac:dyDescent="0.25">
      <c r="A19" s="100"/>
      <c r="B19" s="17" t="s">
        <v>41</v>
      </c>
      <c r="C19" s="19" t="s">
        <v>42</v>
      </c>
      <c r="D19" s="18" t="s">
        <v>228</v>
      </c>
      <c r="E19" s="19">
        <f>200</f>
        <v>200</v>
      </c>
      <c r="F19" s="20">
        <f>22230</f>
        <v>22230</v>
      </c>
      <c r="G19" s="21">
        <f>16440</f>
        <v>16440</v>
      </c>
      <c r="H19" s="21">
        <f t="shared" ref="H19:H23" si="24">G19-F19</f>
        <v>-5790</v>
      </c>
      <c r="I19" s="22" t="s">
        <v>458</v>
      </c>
      <c r="J19" s="19"/>
      <c r="K19" s="24"/>
      <c r="L19" s="24">
        <v>42923</v>
      </c>
      <c r="M19" s="18" t="s">
        <v>49</v>
      </c>
      <c r="N19" s="19"/>
      <c r="O19" s="3">
        <v>30</v>
      </c>
      <c r="P19" s="31"/>
      <c r="Q19" s="26">
        <f>19800</f>
        <v>19800</v>
      </c>
      <c r="R19" s="3">
        <f t="shared" ref="R19:R20" si="25">65*E19</f>
        <v>13000</v>
      </c>
      <c r="S19" s="27">
        <f t="shared" ref="S19:S20" si="26">-38*E19</f>
        <v>-7600</v>
      </c>
      <c r="T19" s="27">
        <f>X19*F19*0.0045</f>
        <v>4217.4123175182476</v>
      </c>
      <c r="U19" s="3">
        <f>E19*5</f>
        <v>1000</v>
      </c>
      <c r="V19" s="19"/>
      <c r="W19" s="3"/>
      <c r="X19" s="3">
        <f>((O19*F19)+Q19+R19+S19+U19)/G19</f>
        <v>42.159367396593673</v>
      </c>
      <c r="Y19" s="3">
        <f t="shared" ref="Y19:Y20" si="27">((O19*F19)+Q19+R19+S19+T19+U19)/G19+W19</f>
        <v>42.415900992549773</v>
      </c>
      <c r="Z19" s="29">
        <f t="shared" ref="Z19:Z20" si="28">Y19*G19</f>
        <v>697317.41231751826</v>
      </c>
      <c r="AA19" s="30">
        <v>42936</v>
      </c>
    </row>
    <row r="20" spans="1:27" s="22" customFormat="1" x14ac:dyDescent="0.25">
      <c r="A20" s="100"/>
      <c r="B20" s="17" t="s">
        <v>41</v>
      </c>
      <c r="C20" s="19" t="s">
        <v>42</v>
      </c>
      <c r="D20" s="18" t="s">
        <v>53</v>
      </c>
      <c r="E20" s="19">
        <v>128</v>
      </c>
      <c r="F20" s="20">
        <v>12785</v>
      </c>
      <c r="G20" s="21">
        <v>11180</v>
      </c>
      <c r="H20" s="21">
        <f t="shared" si="24"/>
        <v>-1605</v>
      </c>
      <c r="I20" s="18" t="s">
        <v>459</v>
      </c>
      <c r="J20" s="19"/>
      <c r="K20" s="24"/>
      <c r="L20" s="24">
        <v>42923</v>
      </c>
      <c r="M20" s="18" t="s">
        <v>49</v>
      </c>
      <c r="N20" s="19"/>
      <c r="O20" s="3">
        <v>30</v>
      </c>
      <c r="P20" s="31"/>
      <c r="Q20" s="26">
        <v>15700</v>
      </c>
      <c r="R20" s="3">
        <f t="shared" si="25"/>
        <v>8320</v>
      </c>
      <c r="S20" s="27">
        <f t="shared" si="26"/>
        <v>-4864</v>
      </c>
      <c r="T20" s="27">
        <f>X20*F20*0.0045</f>
        <v>2075.6264530411449</v>
      </c>
      <c r="U20" s="3">
        <f>E20*5</f>
        <v>640</v>
      </c>
      <c r="V20" s="19"/>
      <c r="W20" s="3">
        <v>0.3</v>
      </c>
      <c r="X20" s="3">
        <f>((O20*F20)+Q20+R20+S20+U20)/G20</f>
        <v>36.077459749552773</v>
      </c>
      <c r="Y20" s="3">
        <f t="shared" si="27"/>
        <v>36.563115067356094</v>
      </c>
      <c r="Z20" s="29">
        <f t="shared" si="28"/>
        <v>408775.62645304116</v>
      </c>
      <c r="AA20" s="30">
        <v>42936</v>
      </c>
    </row>
    <row r="21" spans="1:27" s="22" customFormat="1" x14ac:dyDescent="0.25">
      <c r="A21" s="100"/>
      <c r="B21" s="17" t="s">
        <v>147</v>
      </c>
      <c r="C21" s="19" t="s">
        <v>33</v>
      </c>
      <c r="D21" s="18" t="s">
        <v>77</v>
      </c>
      <c r="E21" s="19" t="s">
        <v>78</v>
      </c>
      <c r="F21" s="20">
        <f>926.2+948.5+925.3+919.9</f>
        <v>3719.9</v>
      </c>
      <c r="G21" s="21">
        <v>3719.9</v>
      </c>
      <c r="H21" s="21">
        <f t="shared" si="24"/>
        <v>0</v>
      </c>
      <c r="I21" s="18" t="s">
        <v>460</v>
      </c>
      <c r="J21" s="19"/>
      <c r="K21" s="24"/>
      <c r="L21" s="24">
        <v>42924</v>
      </c>
      <c r="M21" s="18" t="s">
        <v>98</v>
      </c>
      <c r="N21" s="19"/>
      <c r="O21" s="3">
        <v>20</v>
      </c>
      <c r="P21" s="31"/>
      <c r="Q21" s="3"/>
      <c r="R21" s="3"/>
      <c r="S21" s="27"/>
      <c r="T21" s="27"/>
      <c r="U21" s="3"/>
      <c r="V21" s="19"/>
      <c r="W21" s="3"/>
      <c r="X21" s="3">
        <f t="shared" ref="X21:X23" si="29">IF(O21&gt;0,O21,((P21*2.2046*S21)+(Q21+R21)/G21)+V21)</f>
        <v>20</v>
      </c>
      <c r="Y21" s="3">
        <f t="shared" ref="Y21:Y23" si="30">IF(O21&gt;0,O21,((P21*2.2046*S21)+(Q21+R21+T21)/G21)+V21+W21)</f>
        <v>20</v>
      </c>
      <c r="Z21" s="29">
        <f t="shared" ref="Z21:Z23" si="31">Y21*F21</f>
        <v>74398</v>
      </c>
      <c r="AA21" s="30">
        <v>42930</v>
      </c>
    </row>
    <row r="22" spans="1:27" s="22" customFormat="1" x14ac:dyDescent="0.25">
      <c r="A22" s="100"/>
      <c r="B22" s="17" t="s">
        <v>26</v>
      </c>
      <c r="C22" s="18" t="s">
        <v>33</v>
      </c>
      <c r="D22" s="18" t="s">
        <v>33</v>
      </c>
      <c r="E22" s="19" t="s">
        <v>461</v>
      </c>
      <c r="F22" s="20">
        <f>36216*0.4536</f>
        <v>16427.577600000001</v>
      </c>
      <c r="G22" s="21">
        <v>16238.63</v>
      </c>
      <c r="H22" s="21">
        <f t="shared" si="24"/>
        <v>-188.94760000000133</v>
      </c>
      <c r="I22" s="22" t="s">
        <v>462</v>
      </c>
      <c r="J22" s="23" t="s">
        <v>30</v>
      </c>
      <c r="K22" s="24">
        <v>42923</v>
      </c>
      <c r="L22" s="24">
        <v>42924</v>
      </c>
      <c r="M22" s="18" t="s">
        <v>98</v>
      </c>
      <c r="N22" s="18" t="s">
        <v>438</v>
      </c>
      <c r="O22" s="3"/>
      <c r="P22" s="25">
        <f>0.7635+0.105</f>
        <v>0.86849999999999994</v>
      </c>
      <c r="Q22" s="26">
        <v>23000</v>
      </c>
      <c r="R22" s="3">
        <v>9400</v>
      </c>
      <c r="S22" s="51">
        <v>17.914999999999999</v>
      </c>
      <c r="T22" s="27">
        <f t="shared" ref="T22" si="32">X22*F22*0.005</f>
        <v>2991.2158719049439</v>
      </c>
      <c r="V22" s="3">
        <v>0.12</v>
      </c>
      <c r="W22" s="3">
        <v>0.3</v>
      </c>
      <c r="X22" s="3">
        <f t="shared" si="29"/>
        <v>36.417004925972094</v>
      </c>
      <c r="Y22" s="3">
        <f t="shared" si="30"/>
        <v>36.901208634776651</v>
      </c>
      <c r="Z22" s="29">
        <f t="shared" si="31"/>
        <v>606197.46838158357</v>
      </c>
      <c r="AA22" s="30">
        <v>42919</v>
      </c>
    </row>
    <row r="23" spans="1:27" s="22" customFormat="1" x14ac:dyDescent="0.25">
      <c r="A23" s="100"/>
      <c r="B23" s="17" t="s">
        <v>158</v>
      </c>
      <c r="C23" s="18" t="s">
        <v>463</v>
      </c>
      <c r="D23" s="18" t="s">
        <v>464</v>
      </c>
      <c r="E23" s="19" t="s">
        <v>465</v>
      </c>
      <c r="F23" s="20">
        <v>18669.847000000002</v>
      </c>
      <c r="G23" s="21">
        <v>18670.175999999999</v>
      </c>
      <c r="H23" s="21">
        <f t="shared" si="24"/>
        <v>0.32899999999790452</v>
      </c>
      <c r="I23" s="22" t="s">
        <v>466</v>
      </c>
      <c r="J23" s="19"/>
      <c r="K23" s="24"/>
      <c r="L23" s="24">
        <v>42924</v>
      </c>
      <c r="M23" s="18" t="s">
        <v>98</v>
      </c>
      <c r="N23" s="18"/>
      <c r="O23" s="3">
        <v>39.5</v>
      </c>
      <c r="P23" s="25"/>
      <c r="Q23" s="3"/>
      <c r="R23" s="3"/>
      <c r="S23" s="51"/>
      <c r="T23" s="27"/>
      <c r="V23" s="3"/>
      <c r="W23" s="3"/>
      <c r="X23" s="3">
        <f t="shared" si="29"/>
        <v>39.5</v>
      </c>
      <c r="Y23" s="3">
        <f t="shared" si="30"/>
        <v>39.5</v>
      </c>
      <c r="Z23" s="29">
        <f t="shared" si="31"/>
        <v>737458.95650000009</v>
      </c>
      <c r="AA23" s="30">
        <v>42944</v>
      </c>
    </row>
    <row r="24" spans="1:27" s="22" customFormat="1" ht="15.75" thickBot="1" x14ac:dyDescent="0.3">
      <c r="A24" s="101"/>
      <c r="B24" s="34"/>
      <c r="C24" s="6"/>
      <c r="D24" s="6"/>
      <c r="E24" s="6"/>
      <c r="F24" s="35"/>
      <c r="G24" s="35"/>
      <c r="H24" s="35"/>
      <c r="I24" s="9"/>
      <c r="J24" s="6"/>
      <c r="K24" s="10"/>
      <c r="L24" s="10"/>
      <c r="M24" s="6"/>
      <c r="N24" s="6"/>
      <c r="O24" s="11"/>
      <c r="P24" s="12"/>
      <c r="Q24" s="11"/>
      <c r="R24" s="11"/>
      <c r="S24" s="11"/>
      <c r="T24" s="11"/>
      <c r="U24" s="11"/>
      <c r="V24" s="11"/>
      <c r="W24" s="11"/>
      <c r="X24" s="11"/>
      <c r="Y24" s="11"/>
      <c r="Z24" s="15"/>
      <c r="AA24" s="36"/>
    </row>
    <row r="25" spans="1:27" s="22" customFormat="1" x14ac:dyDescent="0.25">
      <c r="A25" s="102"/>
      <c r="B25" s="38" t="s">
        <v>41</v>
      </c>
      <c r="C25" s="38" t="s">
        <v>42</v>
      </c>
      <c r="D25" s="39" t="s">
        <v>336</v>
      </c>
      <c r="E25" s="38">
        <f>129+80</f>
        <v>209</v>
      </c>
      <c r="F25" s="40">
        <v>22360</v>
      </c>
      <c r="G25" s="41">
        <f>11040+6690</f>
        <v>17730</v>
      </c>
      <c r="H25" s="21">
        <f t="shared" ref="H25:H27" si="33">G25-F25</f>
        <v>-4630</v>
      </c>
      <c r="I25" s="39" t="s">
        <v>467</v>
      </c>
      <c r="J25" s="38"/>
      <c r="K25" s="42"/>
      <c r="L25" s="42">
        <v>42925</v>
      </c>
      <c r="M25" s="39" t="s">
        <v>57</v>
      </c>
      <c r="N25" s="38"/>
      <c r="O25" s="43">
        <v>30.5</v>
      </c>
      <c r="P25" s="44"/>
      <c r="Q25" s="45">
        <v>19800</v>
      </c>
      <c r="R25" s="43">
        <f t="shared" ref="R25:R26" si="34">65*E25</f>
        <v>13585</v>
      </c>
      <c r="S25" s="43">
        <f t="shared" ref="S25:S26" si="35">-38*E25</f>
        <v>-7942</v>
      </c>
      <c r="T25" s="46">
        <f>X25*F25*0.0045</f>
        <v>4020.6458071065986</v>
      </c>
      <c r="U25" s="43">
        <f>E25*5</f>
        <v>1045</v>
      </c>
      <c r="V25" s="38"/>
      <c r="W25" s="43">
        <v>0.3</v>
      </c>
      <c r="X25" s="43">
        <f>((O25*F25)+Q25+R25+S25+U25)/G25</f>
        <v>39.958714043993233</v>
      </c>
      <c r="Y25" s="3">
        <f t="shared" ref="Y25:Y26" si="36">((O25*F25)+Q25+R25+S25+T25+U25)/G25+W25</f>
        <v>40.485484817095688</v>
      </c>
      <c r="Z25" s="47">
        <f>Y25*G25</f>
        <v>717807.64580710651</v>
      </c>
      <c r="AA25" s="48">
        <v>42940</v>
      </c>
    </row>
    <row r="26" spans="1:27" s="22" customFormat="1" x14ac:dyDescent="0.25">
      <c r="A26" s="103"/>
      <c r="B26" s="17" t="s">
        <v>41</v>
      </c>
      <c r="C26" s="19" t="s">
        <v>42</v>
      </c>
      <c r="D26" s="18" t="s">
        <v>228</v>
      </c>
      <c r="E26" s="19">
        <v>229</v>
      </c>
      <c r="F26" s="20">
        <v>26245</v>
      </c>
      <c r="G26" s="21">
        <f>13480+7440</f>
        <v>20920</v>
      </c>
      <c r="H26" s="21">
        <f t="shared" si="33"/>
        <v>-5325</v>
      </c>
      <c r="I26" s="18" t="s">
        <v>468</v>
      </c>
      <c r="J26" s="19"/>
      <c r="K26" s="24"/>
      <c r="L26" s="24">
        <v>42926</v>
      </c>
      <c r="M26" s="18" t="s">
        <v>60</v>
      </c>
      <c r="N26" s="19"/>
      <c r="O26" s="3">
        <v>30.5</v>
      </c>
      <c r="P26" s="31"/>
      <c r="Q26" s="26">
        <v>19800</v>
      </c>
      <c r="R26" s="3">
        <f t="shared" si="34"/>
        <v>14885</v>
      </c>
      <c r="S26" s="27">
        <f t="shared" si="35"/>
        <v>-8702</v>
      </c>
      <c r="T26" s="27">
        <f>X26*F26*0.0045</f>
        <v>4672.1648208054494</v>
      </c>
      <c r="U26" s="3">
        <f>E26*5</f>
        <v>1145</v>
      </c>
      <c r="V26" s="19"/>
      <c r="W26" s="3">
        <v>0.3</v>
      </c>
      <c r="X26" s="3">
        <f>((O26*F26)+Q26+R26+S26+U26)/G26</f>
        <v>39.560253346080309</v>
      </c>
      <c r="Y26" s="3">
        <f t="shared" si="36"/>
        <v>40.083588184550926</v>
      </c>
      <c r="Z26" s="29">
        <f>Y26*G26</f>
        <v>838548.66482080542</v>
      </c>
      <c r="AA26" s="30">
        <v>42940</v>
      </c>
    </row>
    <row r="27" spans="1:27" s="22" customFormat="1" x14ac:dyDescent="0.25">
      <c r="A27" s="103"/>
      <c r="B27" s="17" t="s">
        <v>147</v>
      </c>
      <c r="C27" s="19" t="s">
        <v>33</v>
      </c>
      <c r="D27" s="18" t="s">
        <v>77</v>
      </c>
      <c r="E27" s="19" t="s">
        <v>78</v>
      </c>
      <c r="F27" s="20">
        <f>910.4+941.2+939.4+945.7</f>
        <v>3736.7</v>
      </c>
      <c r="G27" s="21">
        <v>3736.7</v>
      </c>
      <c r="H27" s="21">
        <f t="shared" si="33"/>
        <v>0</v>
      </c>
      <c r="I27" s="18" t="s">
        <v>469</v>
      </c>
      <c r="J27" s="19"/>
      <c r="K27" s="24"/>
      <c r="L27" s="24">
        <v>42927</v>
      </c>
      <c r="M27" s="18" t="s">
        <v>62</v>
      </c>
      <c r="N27" s="19"/>
      <c r="O27" s="3">
        <v>20</v>
      </c>
      <c r="P27" s="31"/>
      <c r="Q27" s="3"/>
      <c r="R27" s="3"/>
      <c r="S27" s="27"/>
      <c r="T27" s="27"/>
      <c r="U27" s="3"/>
      <c r="V27" s="19"/>
      <c r="W27" s="3"/>
      <c r="X27" s="3">
        <f>IF(O27&gt;0,O27,((P27*2.2046*S27)+(Q27+R27)/G27)+V27)</f>
        <v>20</v>
      </c>
      <c r="Y27" s="3">
        <f t="shared" ref="Y27:Y30" si="37">IF(O27&gt;0,O27,((P27*2.2046*S27)+(Q27+R27+T27)/G27)+V27+W27)</f>
        <v>20</v>
      </c>
      <c r="Z27" s="29">
        <f>Y27*F27</f>
        <v>74734</v>
      </c>
      <c r="AA27" s="30">
        <v>42934</v>
      </c>
    </row>
    <row r="28" spans="1:27" s="22" customFormat="1" x14ac:dyDescent="0.25">
      <c r="A28" s="103"/>
      <c r="B28" s="17" t="s">
        <v>26</v>
      </c>
      <c r="C28" s="18" t="s">
        <v>27</v>
      </c>
      <c r="D28" s="18" t="s">
        <v>27</v>
      </c>
      <c r="E28" s="19" t="s">
        <v>34</v>
      </c>
      <c r="F28" s="20">
        <f>41475*0.4536</f>
        <v>18813.060000000001</v>
      </c>
      <c r="G28" s="21">
        <v>18690.650000000001</v>
      </c>
      <c r="H28" s="21">
        <f>G28-F28</f>
        <v>-122.40999999999985</v>
      </c>
      <c r="I28" s="22" t="s">
        <v>470</v>
      </c>
      <c r="J28" s="23" t="s">
        <v>30</v>
      </c>
      <c r="K28" s="24">
        <v>42926</v>
      </c>
      <c r="L28" s="24">
        <v>42928</v>
      </c>
      <c r="M28" s="18" t="s">
        <v>31</v>
      </c>
      <c r="N28" s="18" t="s">
        <v>471</v>
      </c>
      <c r="O28" s="3"/>
      <c r="P28" s="25">
        <f>0.8266+0.095</f>
        <v>0.92159999999999997</v>
      </c>
      <c r="Q28" s="26">
        <v>23000</v>
      </c>
      <c r="R28" s="3">
        <v>9400</v>
      </c>
      <c r="S28" s="51">
        <v>17.614999999999998</v>
      </c>
      <c r="T28" s="27">
        <f>X28*F28*0.005</f>
        <v>3540.8933331449125</v>
      </c>
      <c r="V28" s="3">
        <v>0.12</v>
      </c>
      <c r="W28" s="3">
        <v>0.3</v>
      </c>
      <c r="X28" s="3">
        <f>IF(O28&gt;0,O28,((P28*2.2046*S28)+(Q28+R28)/G28)+V28)</f>
        <v>37.642928190787806</v>
      </c>
      <c r="Y28" s="3">
        <f t="shared" si="37"/>
        <v>38.132375499102118</v>
      </c>
      <c r="Z28" s="29">
        <f>Y28*F28</f>
        <v>717386.66820713808</v>
      </c>
      <c r="AA28" s="30">
        <v>42937</v>
      </c>
    </row>
    <row r="29" spans="1:27" s="22" customFormat="1" x14ac:dyDescent="0.25">
      <c r="A29" s="103"/>
      <c r="B29" s="17" t="s">
        <v>26</v>
      </c>
      <c r="C29" s="18" t="s">
        <v>27</v>
      </c>
      <c r="D29" s="18" t="s">
        <v>27</v>
      </c>
      <c r="E29" s="19" t="s">
        <v>34</v>
      </c>
      <c r="F29" s="20">
        <f>42159*0.4536</f>
        <v>19123.322400000001</v>
      </c>
      <c r="G29" s="21">
        <v>18786.52</v>
      </c>
      <c r="H29" s="21">
        <f>G29-F29</f>
        <v>-336.80240000000049</v>
      </c>
      <c r="I29" s="22" t="s">
        <v>472</v>
      </c>
      <c r="J29" s="23" t="s">
        <v>30</v>
      </c>
      <c r="K29" s="24">
        <v>42926</v>
      </c>
      <c r="L29" s="24">
        <v>42927</v>
      </c>
      <c r="M29" s="18" t="s">
        <v>62</v>
      </c>
      <c r="N29" s="18" t="s">
        <v>471</v>
      </c>
      <c r="O29" s="3"/>
      <c r="P29" s="25">
        <v>0.87780000000000002</v>
      </c>
      <c r="Q29" s="26">
        <v>23000</v>
      </c>
      <c r="R29" s="3">
        <v>9400</v>
      </c>
      <c r="S29" s="51">
        <v>17.629000000000001</v>
      </c>
      <c r="T29" s="27">
        <f>X29*F29*0.005</f>
        <v>3438.3967253225396</v>
      </c>
      <c r="V29" s="3">
        <v>0.12</v>
      </c>
      <c r="W29" s="3">
        <v>0.3</v>
      </c>
      <c r="X29" s="3">
        <f>IF(O29&gt;0,O29,((P29*2.2046*S29)+(Q29+R29)/G29)+V29)</f>
        <v>35.960244286029912</v>
      </c>
      <c r="Y29" s="3">
        <f t="shared" si="37"/>
        <v>36.443268961452638</v>
      </c>
      <c r="Z29" s="29">
        <f>Y29*F29</f>
        <v>696916.38165977201</v>
      </c>
      <c r="AA29" s="30">
        <v>42937</v>
      </c>
    </row>
    <row r="30" spans="1:27" s="22" customFormat="1" x14ac:dyDescent="0.25">
      <c r="A30" s="103"/>
      <c r="B30" s="17" t="s">
        <v>26</v>
      </c>
      <c r="C30" s="18" t="s">
        <v>37</v>
      </c>
      <c r="D30" s="18" t="s">
        <v>37</v>
      </c>
      <c r="E30" s="19" t="s">
        <v>28</v>
      </c>
      <c r="F30" s="20">
        <f>42030*0.4536</f>
        <v>19064.808000000001</v>
      </c>
      <c r="G30" s="21">
        <v>18949.599999999999</v>
      </c>
      <c r="H30" s="21">
        <f>G30-F30</f>
        <v>-115.20800000000236</v>
      </c>
      <c r="I30" s="22" t="s">
        <v>473</v>
      </c>
      <c r="J30" s="23" t="s">
        <v>39</v>
      </c>
      <c r="K30" s="24">
        <v>42926</v>
      </c>
      <c r="L30" s="24">
        <v>42927</v>
      </c>
      <c r="M30" s="18" t="s">
        <v>62</v>
      </c>
      <c r="N30" s="18" t="s">
        <v>474</v>
      </c>
      <c r="O30" s="3"/>
      <c r="P30" s="25">
        <f>0.7988+0.095</f>
        <v>0.89379999999999993</v>
      </c>
      <c r="Q30" s="26">
        <v>23000</v>
      </c>
      <c r="R30" s="3">
        <v>9400</v>
      </c>
      <c r="S30" s="51">
        <v>18.248000000000001</v>
      </c>
      <c r="T30" s="27">
        <f>X30*F30*0.005</f>
        <v>3602.0058953502703</v>
      </c>
      <c r="V30" s="3">
        <v>0.12</v>
      </c>
      <c r="W30" s="3">
        <v>0.3</v>
      </c>
      <c r="X30" s="3">
        <f t="shared" ref="X30" si="38">IF(O30&gt;0,O30,((P30*2.2046*S30)+(Q30+R30)/G30)+V30)</f>
        <v>37.786962190757656</v>
      </c>
      <c r="Y30" s="3">
        <f t="shared" si="37"/>
        <v>38.277045669846935</v>
      </c>
      <c r="Z30" s="29">
        <f t="shared" ref="Z30" si="39">Y30*F30</f>
        <v>729744.52650286327</v>
      </c>
      <c r="AA30" s="30">
        <v>42919</v>
      </c>
    </row>
    <row r="31" spans="1:27" s="22" customFormat="1" x14ac:dyDescent="0.25">
      <c r="A31" s="103"/>
      <c r="B31" s="17" t="s">
        <v>41</v>
      </c>
      <c r="C31" s="19" t="s">
        <v>42</v>
      </c>
      <c r="D31" s="18" t="s">
        <v>336</v>
      </c>
      <c r="E31" s="19">
        <v>215</v>
      </c>
      <c r="F31" s="20">
        <v>27485</v>
      </c>
      <c r="G31" s="21">
        <f>14960+7380</f>
        <v>22340</v>
      </c>
      <c r="H31" s="21">
        <f>G31-F31</f>
        <v>-5145</v>
      </c>
      <c r="I31" s="22" t="s">
        <v>475</v>
      </c>
      <c r="J31" s="19"/>
      <c r="K31" s="24"/>
      <c r="L31" s="24">
        <v>42927</v>
      </c>
      <c r="M31" s="18" t="s">
        <v>62</v>
      </c>
      <c r="N31" s="19"/>
      <c r="O31" s="3">
        <v>30.5</v>
      </c>
      <c r="P31" s="31"/>
      <c r="Q31" s="33">
        <v>19800</v>
      </c>
      <c r="R31" s="3">
        <f>65*E31</f>
        <v>13975</v>
      </c>
      <c r="S31" s="27">
        <f>-38*E31</f>
        <v>-8170</v>
      </c>
      <c r="T31" s="27">
        <f t="shared" ref="T31" si="40">X31*F31*0.005</f>
        <v>5320.8973058415395</v>
      </c>
      <c r="U31" s="3">
        <f>E31*5</f>
        <v>1075</v>
      </c>
      <c r="V31" s="19"/>
      <c r="W31" s="3">
        <v>0.3</v>
      </c>
      <c r="X31" s="3">
        <f>((O31*F31)+Q31+R31+S31+U31)/G31</f>
        <v>38.718554162936435</v>
      </c>
      <c r="Y31" s="3">
        <f>((O31*F31)+Q31+R31+S31+T31+U31)/G31+W31</f>
        <v>39.256732198112871</v>
      </c>
      <c r="Z31" s="29">
        <f>Y31*G31</f>
        <v>876995.39730584156</v>
      </c>
      <c r="AA31" s="30">
        <v>42940</v>
      </c>
    </row>
    <row r="32" spans="1:27" s="22" customFormat="1" x14ac:dyDescent="0.25">
      <c r="A32" s="103"/>
      <c r="B32" s="17" t="s">
        <v>26</v>
      </c>
      <c r="C32" s="18" t="s">
        <v>37</v>
      </c>
      <c r="D32" s="18" t="s">
        <v>37</v>
      </c>
      <c r="E32" s="19" t="s">
        <v>28</v>
      </c>
      <c r="F32" s="20">
        <f>41366*0.4536</f>
        <v>18763.617600000001</v>
      </c>
      <c r="G32" s="21">
        <v>18687.79</v>
      </c>
      <c r="H32" s="21">
        <f>G32-F32</f>
        <v>-75.82760000000053</v>
      </c>
      <c r="I32" s="22" t="s">
        <v>476</v>
      </c>
      <c r="J32" s="23" t="s">
        <v>30</v>
      </c>
      <c r="K32" s="24">
        <v>42927</v>
      </c>
      <c r="L32" s="24">
        <v>42928</v>
      </c>
      <c r="M32" s="18" t="s">
        <v>31</v>
      </c>
      <c r="N32" s="18" t="s">
        <v>471</v>
      </c>
      <c r="O32" s="3"/>
      <c r="P32" s="25">
        <f>0.8266+0.095</f>
        <v>0.92159999999999997</v>
      </c>
      <c r="Q32" s="26">
        <v>23000</v>
      </c>
      <c r="R32" s="3">
        <v>9400</v>
      </c>
      <c r="S32" s="51">
        <v>18.382999999999999</v>
      </c>
      <c r="T32" s="27">
        <f>X32*F32*0.005</f>
        <v>3678.0053568646035</v>
      </c>
      <c r="V32" s="3">
        <v>0.12</v>
      </c>
      <c r="W32" s="3">
        <v>0.3</v>
      </c>
      <c r="X32" s="3">
        <f t="shared" ref="X32" si="41">IF(O32&gt;0,O32,((P32*2.2046*S32)+(Q32+R32)/G32)+V32)</f>
        <v>39.203584674040712</v>
      </c>
      <c r="Y32" s="3">
        <f t="shared" ref="Y32" si="42">IF(O32&gt;0,O32,((P32*2.2046*S32)+(Q32+R32+T32)/G32)+V32+W32)</f>
        <v>39.700397959981139</v>
      </c>
      <c r="Z32" s="29">
        <f t="shared" ref="Z32" si="43">Y32*F32</f>
        <v>744923.08588890627</v>
      </c>
      <c r="AA32" s="30">
        <v>42921</v>
      </c>
    </row>
    <row r="33" spans="1:27" s="22" customFormat="1" x14ac:dyDescent="0.25">
      <c r="A33" s="103"/>
      <c r="B33" s="17" t="s">
        <v>41</v>
      </c>
      <c r="C33" s="19" t="s">
        <v>42</v>
      </c>
      <c r="D33" s="18" t="s">
        <v>58</v>
      </c>
      <c r="E33" s="19">
        <v>220</v>
      </c>
      <c r="F33" s="20">
        <v>23815</v>
      </c>
      <c r="G33" s="21">
        <f>12840+5940</f>
        <v>18780</v>
      </c>
      <c r="H33" s="21">
        <f t="shared" ref="H33" si="44">G33-F33</f>
        <v>-5035</v>
      </c>
      <c r="I33" s="22" t="s">
        <v>477</v>
      </c>
      <c r="J33" s="19"/>
      <c r="K33" s="24"/>
      <c r="L33" s="24">
        <v>42928</v>
      </c>
      <c r="M33" s="18" t="s">
        <v>31</v>
      </c>
      <c r="N33" s="19"/>
      <c r="O33" s="3">
        <v>30.5</v>
      </c>
      <c r="P33" s="31"/>
      <c r="Q33" s="26">
        <v>19800</v>
      </c>
      <c r="R33" s="3">
        <f>65*E33</f>
        <v>14300</v>
      </c>
      <c r="S33" s="27">
        <f>-38*E33</f>
        <v>-8360</v>
      </c>
      <c r="T33" s="27">
        <f>X33*F33*0.0045</f>
        <v>4298.0986731230023</v>
      </c>
      <c r="U33" s="3">
        <f>E33*5</f>
        <v>1100</v>
      </c>
      <c r="V33" s="19"/>
      <c r="W33" s="3">
        <v>0.3</v>
      </c>
      <c r="X33" s="3">
        <f>((O33*F33)+Q33+R33+S33+U33)/G33</f>
        <v>40.106363152289667</v>
      </c>
      <c r="Y33" s="3">
        <f t="shared" ref="Y33" si="45">((O33*F33)+Q33+R33+S33+T33+U33)/G33+W33</f>
        <v>40.635228896332428</v>
      </c>
      <c r="Z33" s="29">
        <f>Y33*G33</f>
        <v>763129.59867312305</v>
      </c>
      <c r="AA33" s="30">
        <v>42941</v>
      </c>
    </row>
    <row r="34" spans="1:27" s="22" customFormat="1" x14ac:dyDescent="0.25">
      <c r="A34" s="103"/>
      <c r="B34" s="17" t="s">
        <v>26</v>
      </c>
      <c r="C34" s="18" t="s">
        <v>33</v>
      </c>
      <c r="D34" s="18" t="s">
        <v>33</v>
      </c>
      <c r="E34" s="19" t="s">
        <v>34</v>
      </c>
      <c r="F34" s="20">
        <f>42299*0.4536</f>
        <v>19186.826400000002</v>
      </c>
      <c r="G34" s="21">
        <v>19186.599999999999</v>
      </c>
      <c r="H34" s="21">
        <f>G34-F34</f>
        <v>-0.2264000000031956</v>
      </c>
      <c r="I34" s="22" t="s">
        <v>478</v>
      </c>
      <c r="J34" s="23" t="s">
        <v>30</v>
      </c>
      <c r="K34" s="24">
        <v>42928</v>
      </c>
      <c r="L34" s="24">
        <v>42929</v>
      </c>
      <c r="M34" s="18" t="s">
        <v>47</v>
      </c>
      <c r="N34" s="18" t="s">
        <v>479</v>
      </c>
      <c r="O34" s="3"/>
      <c r="P34" s="25">
        <f>0.7828+0.105</f>
        <v>0.88780000000000003</v>
      </c>
      <c r="Q34" s="26">
        <v>23000</v>
      </c>
      <c r="R34" s="3">
        <v>9400</v>
      </c>
      <c r="S34" s="51">
        <v>18.369</v>
      </c>
      <c r="T34" s="27">
        <f>X34*F34*0.005</f>
        <v>3622.5967125672469</v>
      </c>
      <c r="V34" s="3">
        <v>0.12</v>
      </c>
      <c r="W34" s="3">
        <v>0.3</v>
      </c>
      <c r="X34" s="3">
        <f t="shared" ref="X34" si="46">IF(O34&gt;0,O34,((P34*2.2046*S34)+(Q34+R34)/G34)+V34)</f>
        <v>37.761291388629509</v>
      </c>
      <c r="Y34" s="3">
        <f t="shared" ref="Y34" si="47">IF(O34&gt;0,O34,((P34*2.2046*S34)+(Q34+R34+T34)/G34)+V34+W34)</f>
        <v>38.25010007347035</v>
      </c>
      <c r="Z34" s="29">
        <f t="shared" ref="Z34" si="48">Y34*F34</f>
        <v>733898.02989230293</v>
      </c>
      <c r="AA34" s="30">
        <v>42922</v>
      </c>
    </row>
    <row r="35" spans="1:27" s="22" customFormat="1" x14ac:dyDescent="0.25">
      <c r="A35" s="103"/>
      <c r="B35" s="17" t="s">
        <v>41</v>
      </c>
      <c r="C35" s="19" t="s">
        <v>42</v>
      </c>
      <c r="D35" s="18" t="s">
        <v>51</v>
      </c>
      <c r="E35" s="19">
        <v>249</v>
      </c>
      <c r="F35" s="20">
        <v>27265</v>
      </c>
      <c r="G35" s="21">
        <v>21750</v>
      </c>
      <c r="H35" s="21">
        <f t="shared" ref="H35:H42" si="49">G35-F35</f>
        <v>-5515</v>
      </c>
      <c r="I35" s="22" t="s">
        <v>480</v>
      </c>
      <c r="J35" s="19"/>
      <c r="K35" s="24"/>
      <c r="L35" s="24">
        <v>42929</v>
      </c>
      <c r="M35" s="18" t="s">
        <v>47</v>
      </c>
      <c r="N35" s="19"/>
      <c r="O35" s="3">
        <v>30.5</v>
      </c>
      <c r="P35" s="31"/>
      <c r="Q35" s="33">
        <v>19800</v>
      </c>
      <c r="R35" s="3">
        <f t="shared" ref="R35:R36" si="50">65*E35</f>
        <v>16185</v>
      </c>
      <c r="S35" s="27">
        <f t="shared" ref="S35:S36" si="51">-38*E35</f>
        <v>-9462</v>
      </c>
      <c r="T35" s="27">
        <f t="shared" ref="T35:T36" si="52">X35*F35*0.0045</f>
        <v>4847.6258032758615</v>
      </c>
      <c r="U35" s="3">
        <f t="shared" ref="U35:U36" si="53">E35*5</f>
        <v>1245</v>
      </c>
      <c r="V35" s="19"/>
      <c r="W35" s="3">
        <v>0.3</v>
      </c>
      <c r="X35" s="3">
        <f t="shared" ref="X35:X36" si="54">((O35*F35)+Q35+R35+S35+U35)/G35</f>
        <v>39.510367816091957</v>
      </c>
      <c r="Y35" s="3">
        <f t="shared" ref="Y35:Y36" si="55">((O35*F35)+Q35+R35+S35+T35+U35)/G35+W35</f>
        <v>40.033247163369005</v>
      </c>
      <c r="Z35" s="29">
        <f t="shared" ref="Z35:Z36" si="56">Y35*G35</f>
        <v>870723.12580327585</v>
      </c>
      <c r="AA35" s="30">
        <v>42942</v>
      </c>
    </row>
    <row r="36" spans="1:27" s="22" customFormat="1" x14ac:dyDescent="0.25">
      <c r="A36" s="103"/>
      <c r="B36" s="17" t="s">
        <v>41</v>
      </c>
      <c r="C36" s="19" t="s">
        <v>42</v>
      </c>
      <c r="D36" s="18" t="s">
        <v>228</v>
      </c>
      <c r="E36" s="19">
        <v>130</v>
      </c>
      <c r="F36" s="20">
        <v>14660</v>
      </c>
      <c r="G36" s="21">
        <v>11600</v>
      </c>
      <c r="H36" s="21">
        <f t="shared" si="49"/>
        <v>-3060</v>
      </c>
      <c r="I36" s="22" t="s">
        <v>481</v>
      </c>
      <c r="J36" s="19"/>
      <c r="K36" s="24"/>
      <c r="L36" s="24">
        <v>42929</v>
      </c>
      <c r="M36" s="18" t="s">
        <v>47</v>
      </c>
      <c r="N36" s="19"/>
      <c r="O36" s="3">
        <v>30.5</v>
      </c>
      <c r="P36" s="31"/>
      <c r="Q36" s="104">
        <v>15700</v>
      </c>
      <c r="R36" s="3">
        <f t="shared" si="50"/>
        <v>8450</v>
      </c>
      <c r="S36" s="27">
        <f t="shared" si="51"/>
        <v>-4940</v>
      </c>
      <c r="T36" s="27">
        <f t="shared" si="52"/>
        <v>2655.8043362068966</v>
      </c>
      <c r="U36" s="3">
        <f t="shared" si="53"/>
        <v>650</v>
      </c>
      <c r="V36" s="19"/>
      <c r="W36" s="3">
        <v>0.3</v>
      </c>
      <c r="X36" s="3">
        <f t="shared" si="54"/>
        <v>40.257758620689657</v>
      </c>
      <c r="Y36" s="3">
        <f t="shared" si="55"/>
        <v>40.786707270362662</v>
      </c>
      <c r="Z36" s="29">
        <f t="shared" si="56"/>
        <v>473125.80433620687</v>
      </c>
      <c r="AA36" s="30">
        <v>42942</v>
      </c>
    </row>
    <row r="37" spans="1:27" s="22" customFormat="1" x14ac:dyDescent="0.25">
      <c r="A37" s="103"/>
      <c r="B37" s="17" t="s">
        <v>87</v>
      </c>
      <c r="C37" s="19" t="s">
        <v>88</v>
      </c>
      <c r="D37" s="18" t="s">
        <v>89</v>
      </c>
      <c r="E37" s="19" t="s">
        <v>482</v>
      </c>
      <c r="F37" s="20">
        <v>502.88</v>
      </c>
      <c r="G37" s="21">
        <v>502.88</v>
      </c>
      <c r="H37" s="21">
        <f t="shared" si="49"/>
        <v>0</v>
      </c>
      <c r="I37" s="22" t="s">
        <v>483</v>
      </c>
      <c r="J37" s="19"/>
      <c r="K37" s="24"/>
      <c r="L37" s="24">
        <v>42929</v>
      </c>
      <c r="M37" s="18" t="s">
        <v>47</v>
      </c>
      <c r="N37" s="19"/>
      <c r="O37" s="3">
        <v>95</v>
      </c>
      <c r="P37" s="31"/>
      <c r="Q37" s="3"/>
      <c r="R37" s="3"/>
      <c r="S37" s="27"/>
      <c r="T37" s="27"/>
      <c r="U37" s="3"/>
      <c r="V37" s="19"/>
      <c r="W37" s="3"/>
      <c r="X37" s="3">
        <f t="shared" ref="X37" si="57">IF(O37&gt;0,O37,((P37*2.2046*S37)+(Q37+R37)/G37)+V37)</f>
        <v>95</v>
      </c>
      <c r="Y37" s="3">
        <f t="shared" ref="Y37" si="58">IF(O37&gt;0,O37,((P37*2.2046*S37)+(Q37+R37+T37)/G37)+V37+W37)</f>
        <v>95</v>
      </c>
      <c r="Z37" s="29">
        <f t="shared" ref="Z37" si="59">Y37*F37</f>
        <v>47773.599999999999</v>
      </c>
      <c r="AA37" s="30">
        <v>42950</v>
      </c>
    </row>
    <row r="38" spans="1:27" s="22" customFormat="1" x14ac:dyDescent="0.25">
      <c r="A38" s="103"/>
      <c r="B38" s="17" t="s">
        <v>41</v>
      </c>
      <c r="C38" s="19" t="s">
        <v>42</v>
      </c>
      <c r="D38" s="18" t="s">
        <v>336</v>
      </c>
      <c r="E38" s="19">
        <f>198</f>
        <v>198</v>
      </c>
      <c r="F38" s="20">
        <f>22705</f>
        <v>22705</v>
      </c>
      <c r="G38" s="21">
        <f>18300</f>
        <v>18300</v>
      </c>
      <c r="H38" s="21">
        <f t="shared" si="49"/>
        <v>-4405</v>
      </c>
      <c r="I38" s="22" t="s">
        <v>484</v>
      </c>
      <c r="J38" s="105">
        <v>200</v>
      </c>
      <c r="K38" s="24"/>
      <c r="L38" s="24">
        <v>42930</v>
      </c>
      <c r="M38" s="18" t="s">
        <v>49</v>
      </c>
      <c r="N38" s="19"/>
      <c r="O38" s="3">
        <v>30.5</v>
      </c>
      <c r="P38" s="31"/>
      <c r="Q38" s="104">
        <f>19800</f>
        <v>19800</v>
      </c>
      <c r="R38" s="3">
        <f t="shared" ref="R38:R39" si="60">65*E38</f>
        <v>12870</v>
      </c>
      <c r="S38" s="27">
        <f t="shared" ref="S38:S39" si="61">-38*E38</f>
        <v>-7524</v>
      </c>
      <c r="T38" s="27">
        <f>X38*F38*0.0045</f>
        <v>4012.3001170081961</v>
      </c>
      <c r="U38" s="3">
        <f>E38*5</f>
        <v>990</v>
      </c>
      <c r="V38" s="19"/>
      <c r="W38" s="3">
        <v>0.3</v>
      </c>
      <c r="X38" s="3">
        <f>((O38*F38)+Q38+R38+S38+U38)/G38</f>
        <v>39.269863387978141</v>
      </c>
      <c r="Y38" s="3">
        <f t="shared" ref="Y38:Y39" si="62">((O38*F38)+Q38+R38+S38+T38+U38)/G38+W38</f>
        <v>39.789114760492247</v>
      </c>
      <c r="Z38" s="29">
        <f t="shared" ref="Z38:Z39" si="63">Y38*G38</f>
        <v>728140.80011700816</v>
      </c>
      <c r="AA38" s="30">
        <v>42943</v>
      </c>
    </row>
    <row r="39" spans="1:27" s="22" customFormat="1" x14ac:dyDescent="0.25">
      <c r="A39" s="103"/>
      <c r="B39" s="17" t="s">
        <v>41</v>
      </c>
      <c r="C39" s="19" t="s">
        <v>42</v>
      </c>
      <c r="D39" s="18" t="s">
        <v>58</v>
      </c>
      <c r="E39" s="19">
        <v>130</v>
      </c>
      <c r="F39" s="20">
        <v>14140</v>
      </c>
      <c r="G39" s="21">
        <v>11000</v>
      </c>
      <c r="H39" s="21">
        <f t="shared" si="49"/>
        <v>-3140</v>
      </c>
      <c r="I39" s="18" t="s">
        <v>485</v>
      </c>
      <c r="J39" s="105">
        <v>128</v>
      </c>
      <c r="K39" s="24"/>
      <c r="L39" s="24">
        <v>42930</v>
      </c>
      <c r="M39" s="18" t="s">
        <v>49</v>
      </c>
      <c r="N39" s="19"/>
      <c r="O39" s="3">
        <v>30.5</v>
      </c>
      <c r="P39" s="31"/>
      <c r="Q39" s="104">
        <v>15700</v>
      </c>
      <c r="R39" s="3">
        <f t="shared" si="60"/>
        <v>8450</v>
      </c>
      <c r="S39" s="27">
        <f t="shared" si="61"/>
        <v>-4940</v>
      </c>
      <c r="T39" s="27">
        <f>X39*F39*0.0045</f>
        <v>2609.581990909091</v>
      </c>
      <c r="U39" s="3">
        <f>E39*5</f>
        <v>650</v>
      </c>
      <c r="V39" s="19"/>
      <c r="W39" s="3">
        <v>0.3</v>
      </c>
      <c r="X39" s="3">
        <f>((O39*F39)+Q39+R39+S39+U39)/G39</f>
        <v>41.011818181818185</v>
      </c>
      <c r="Y39" s="3">
        <f t="shared" si="62"/>
        <v>41.549052908264457</v>
      </c>
      <c r="Z39" s="29">
        <f t="shared" si="63"/>
        <v>457039.58199090901</v>
      </c>
      <c r="AA39" s="30">
        <v>42943</v>
      </c>
    </row>
    <row r="40" spans="1:27" s="22" customFormat="1" x14ac:dyDescent="0.25">
      <c r="A40" s="103"/>
      <c r="B40" s="17" t="s">
        <v>92</v>
      </c>
      <c r="C40" s="19" t="s">
        <v>486</v>
      </c>
      <c r="D40" s="18" t="s">
        <v>94</v>
      </c>
      <c r="E40" s="19" t="s">
        <v>352</v>
      </c>
      <c r="F40" s="20">
        <v>2000</v>
      </c>
      <c r="G40" s="21">
        <v>2000</v>
      </c>
      <c r="H40" s="21">
        <f t="shared" si="49"/>
        <v>0</v>
      </c>
      <c r="I40" s="18" t="s">
        <v>487</v>
      </c>
      <c r="J40" s="19"/>
      <c r="K40" s="24"/>
      <c r="L40" s="24">
        <v>42930</v>
      </c>
      <c r="M40" s="18" t="s">
        <v>49</v>
      </c>
      <c r="N40" s="19"/>
      <c r="O40" s="3">
        <v>38</v>
      </c>
      <c r="P40" s="31"/>
      <c r="Q40" s="3"/>
      <c r="R40" s="3"/>
      <c r="S40" s="27"/>
      <c r="T40" s="27"/>
      <c r="U40" s="3"/>
      <c r="V40" s="19"/>
      <c r="W40" s="3"/>
      <c r="X40" s="3">
        <f t="shared" ref="X40:X42" si="64">IF(O40&gt;0,O40,((P40*2.2046*S40)+(Q40+R40)/G40)+V40)</f>
        <v>38</v>
      </c>
      <c r="Y40" s="3">
        <f t="shared" ref="Y40:Y42" si="65">IF(O40&gt;0,O40,((P40*2.2046*S40)+(Q40+R40+T40)/G40)+V40+W40)</f>
        <v>38</v>
      </c>
      <c r="Z40" s="29">
        <f t="shared" ref="Z40:Z42" si="66">Y40*F40</f>
        <v>76000</v>
      </c>
      <c r="AA40" s="30">
        <v>42930</v>
      </c>
    </row>
    <row r="41" spans="1:27" s="22" customFormat="1" x14ac:dyDescent="0.25">
      <c r="A41" s="103"/>
      <c r="B41" s="17" t="s">
        <v>147</v>
      </c>
      <c r="C41" s="19" t="s">
        <v>33</v>
      </c>
      <c r="D41" s="18" t="s">
        <v>77</v>
      </c>
      <c r="E41" s="19" t="s">
        <v>78</v>
      </c>
      <c r="F41" s="20">
        <f>920.8+907.2+941.7+933.5</f>
        <v>3703.2</v>
      </c>
      <c r="G41" s="21">
        <v>3703.2</v>
      </c>
      <c r="H41" s="21">
        <f t="shared" si="49"/>
        <v>0</v>
      </c>
      <c r="I41" s="18" t="s">
        <v>488</v>
      </c>
      <c r="J41" s="19"/>
      <c r="K41" s="24"/>
      <c r="L41" s="24">
        <v>42930</v>
      </c>
      <c r="M41" s="18" t="s">
        <v>49</v>
      </c>
      <c r="N41" s="19"/>
      <c r="O41" s="3">
        <v>20</v>
      </c>
      <c r="P41" s="31"/>
      <c r="Q41" s="3"/>
      <c r="R41" s="3"/>
      <c r="S41" s="27"/>
      <c r="T41" s="27"/>
      <c r="U41" s="3"/>
      <c r="V41" s="19"/>
      <c r="W41" s="3"/>
      <c r="X41" s="3">
        <f t="shared" si="64"/>
        <v>20</v>
      </c>
      <c r="Y41" s="3">
        <f t="shared" si="65"/>
        <v>20</v>
      </c>
      <c r="Z41" s="29">
        <f t="shared" si="66"/>
        <v>74064</v>
      </c>
      <c r="AA41" s="30">
        <v>42937</v>
      </c>
    </row>
    <row r="42" spans="1:27" s="22" customFormat="1" x14ac:dyDescent="0.25">
      <c r="A42" s="103"/>
      <c r="B42" s="17" t="s">
        <v>26</v>
      </c>
      <c r="C42" s="18" t="s">
        <v>33</v>
      </c>
      <c r="D42" s="18" t="s">
        <v>33</v>
      </c>
      <c r="E42" s="19" t="s">
        <v>34</v>
      </c>
      <c r="F42" s="20">
        <f>42903*0.4536</f>
        <v>19460.800800000001</v>
      </c>
      <c r="G42" s="21">
        <v>19460.400000000001</v>
      </c>
      <c r="H42" s="21">
        <f t="shared" si="49"/>
        <v>-0.40079999999943539</v>
      </c>
      <c r="I42" s="22" t="s">
        <v>489</v>
      </c>
      <c r="J42" s="23" t="s">
        <v>30</v>
      </c>
      <c r="K42" s="24">
        <v>42930</v>
      </c>
      <c r="L42" s="24">
        <v>42931</v>
      </c>
      <c r="M42" s="18" t="s">
        <v>98</v>
      </c>
      <c r="N42" s="18" t="s">
        <v>490</v>
      </c>
      <c r="O42" s="3"/>
      <c r="P42" s="25">
        <f>0.812+0.105</f>
        <v>0.91700000000000004</v>
      </c>
      <c r="Q42" s="104">
        <v>23000</v>
      </c>
      <c r="R42" s="3">
        <v>9400</v>
      </c>
      <c r="S42" s="51">
        <v>17.998000000000001</v>
      </c>
      <c r="T42" s="27">
        <f t="shared" ref="T42" si="67">X42*F42*0.005</f>
        <v>3714.0942114348081</v>
      </c>
      <c r="V42" s="3">
        <v>0.12</v>
      </c>
      <c r="W42" s="3">
        <v>0.3</v>
      </c>
      <c r="X42" s="3">
        <f t="shared" si="64"/>
        <v>38.17000389248944</v>
      </c>
      <c r="Y42" s="3">
        <f t="shared" si="65"/>
        <v>38.66085784263614</v>
      </c>
      <c r="Z42" s="29">
        <f t="shared" si="66"/>
        <v>752371.25323265966</v>
      </c>
      <c r="AA42" s="30">
        <v>42926</v>
      </c>
    </row>
    <row r="43" spans="1:27" s="22" customFormat="1" ht="15.75" thickBot="1" x14ac:dyDescent="0.3">
      <c r="A43" s="106"/>
      <c r="B43" s="34"/>
      <c r="C43" s="6"/>
      <c r="D43" s="6"/>
      <c r="E43" s="6"/>
      <c r="F43" s="35"/>
      <c r="G43" s="35"/>
      <c r="H43" s="35"/>
      <c r="I43" s="9"/>
      <c r="J43" s="6"/>
      <c r="K43" s="10"/>
      <c r="L43" s="10"/>
      <c r="M43" s="6"/>
      <c r="N43" s="6"/>
      <c r="O43" s="11"/>
      <c r="P43" s="12"/>
      <c r="Q43" s="11"/>
      <c r="R43" s="11"/>
      <c r="S43" s="11"/>
      <c r="T43" s="11"/>
      <c r="U43" s="11"/>
      <c r="V43" s="11"/>
      <c r="W43" s="11"/>
      <c r="X43" s="11"/>
      <c r="Y43" s="11"/>
      <c r="Z43" s="15"/>
      <c r="AA43" s="36"/>
    </row>
    <row r="44" spans="1:27" s="22" customFormat="1" x14ac:dyDescent="0.25">
      <c r="A44" s="107"/>
      <c r="B44" s="38" t="s">
        <v>41</v>
      </c>
      <c r="C44" s="38" t="s">
        <v>42</v>
      </c>
      <c r="D44" s="39" t="s">
        <v>58</v>
      </c>
      <c r="E44" s="38">
        <v>209</v>
      </c>
      <c r="F44" s="40">
        <f>21860-100</f>
        <v>21760</v>
      </c>
      <c r="G44" s="41">
        <f>6450+10780</f>
        <v>17230</v>
      </c>
      <c r="H44" s="21">
        <f t="shared" ref="H44:H48" si="68">G44-F44</f>
        <v>-4530</v>
      </c>
      <c r="I44" s="39" t="s">
        <v>491</v>
      </c>
      <c r="J44" s="108">
        <v>208</v>
      </c>
      <c r="K44" s="42"/>
      <c r="L44" s="42">
        <v>42932</v>
      </c>
      <c r="M44" s="39" t="s">
        <v>57</v>
      </c>
      <c r="N44" s="38"/>
      <c r="O44" s="43">
        <v>30.5</v>
      </c>
      <c r="P44" s="44"/>
      <c r="Q44" s="45">
        <v>19800</v>
      </c>
      <c r="R44" s="43">
        <f t="shared" ref="R44:R45" si="69">65*E44</f>
        <v>13585</v>
      </c>
      <c r="S44" s="43">
        <f t="shared" ref="S44:S45" si="70">-38*E44</f>
        <v>-7942</v>
      </c>
      <c r="T44" s="46">
        <f>X44*F44*0.0045</f>
        <v>3922.3012513058616</v>
      </c>
      <c r="U44" s="43">
        <f>E44*5</f>
        <v>1045</v>
      </c>
      <c r="V44" s="38"/>
      <c r="W44" s="43">
        <v>0.3</v>
      </c>
      <c r="X44" s="43">
        <f>((O44*F44)+Q44+R44+S44+U44)/G44</f>
        <v>40.056181079512477</v>
      </c>
      <c r="Y44" s="47">
        <f t="shared" ref="Y44:Y45" si="71">((O44*F44)+Q44+R44+S44+T44+U44)/G44+W44</f>
        <v>40.58382479694172</v>
      </c>
      <c r="Z44" s="47">
        <f>Y44*G44</f>
        <v>699259.30125130585</v>
      </c>
      <c r="AA44" s="48">
        <v>42947</v>
      </c>
    </row>
    <row r="45" spans="1:27" s="22" customFormat="1" x14ac:dyDescent="0.25">
      <c r="A45" s="109"/>
      <c r="B45" s="17" t="s">
        <v>41</v>
      </c>
      <c r="C45" s="19" t="s">
        <v>42</v>
      </c>
      <c r="D45" s="18" t="s">
        <v>51</v>
      </c>
      <c r="E45" s="19">
        <v>200</v>
      </c>
      <c r="F45" s="20">
        <v>22590</v>
      </c>
      <c r="G45" s="21">
        <f>10700+7140</f>
        <v>17840</v>
      </c>
      <c r="H45" s="21">
        <f t="shared" si="68"/>
        <v>-4750</v>
      </c>
      <c r="I45" s="18" t="s">
        <v>492</v>
      </c>
      <c r="J45" s="19"/>
      <c r="K45" s="24"/>
      <c r="L45" s="24">
        <v>42933</v>
      </c>
      <c r="M45" s="18" t="s">
        <v>60</v>
      </c>
      <c r="N45" s="19"/>
      <c r="O45" s="3">
        <v>30.5</v>
      </c>
      <c r="P45" s="31"/>
      <c r="Q45" s="26">
        <v>19800</v>
      </c>
      <c r="R45" s="3">
        <f t="shared" si="69"/>
        <v>13000</v>
      </c>
      <c r="S45" s="27">
        <f t="shared" si="70"/>
        <v>-7600</v>
      </c>
      <c r="T45" s="27">
        <f>X45*F45*0.0045</f>
        <v>4075.2885496076233</v>
      </c>
      <c r="U45" s="3">
        <f>E45*5</f>
        <v>1000</v>
      </c>
      <c r="V45" s="19"/>
      <c r="W45" s="3">
        <v>0.3</v>
      </c>
      <c r="X45" s="3">
        <f>((O45*F45)+Q45+R45+S45+U45)/G45</f>
        <v>40.089405829596416</v>
      </c>
      <c r="Y45" s="3">
        <f t="shared" si="71"/>
        <v>40.617841286412983</v>
      </c>
      <c r="Z45" s="29">
        <f>Y45*G45</f>
        <v>724622.28854960762</v>
      </c>
      <c r="AA45" s="30">
        <v>42947</v>
      </c>
    </row>
    <row r="46" spans="1:27" s="22" customFormat="1" x14ac:dyDescent="0.25">
      <c r="A46" s="109"/>
      <c r="B46" s="17" t="s">
        <v>493</v>
      </c>
      <c r="C46" s="19" t="s">
        <v>214</v>
      </c>
      <c r="D46" s="18" t="s">
        <v>94</v>
      </c>
      <c r="E46" s="19" t="s">
        <v>494</v>
      </c>
      <c r="F46" s="20">
        <v>304.18</v>
      </c>
      <c r="G46" s="21">
        <v>304.18</v>
      </c>
      <c r="H46" s="21">
        <f t="shared" si="68"/>
        <v>0</v>
      </c>
      <c r="I46" s="18" t="s">
        <v>495</v>
      </c>
      <c r="J46" s="19"/>
      <c r="K46" s="24"/>
      <c r="L46" s="24">
        <v>42933</v>
      </c>
      <c r="M46" s="18" t="s">
        <v>60</v>
      </c>
      <c r="N46" s="19"/>
      <c r="O46" s="3">
        <v>47</v>
      </c>
      <c r="P46" s="31"/>
      <c r="Q46" s="3"/>
      <c r="R46" s="3"/>
      <c r="S46" s="27"/>
      <c r="T46" s="27"/>
      <c r="U46" s="3"/>
      <c r="V46" s="19"/>
      <c r="W46" s="3"/>
      <c r="X46" s="3">
        <f>IF(O46&gt;0,O46,((P46*2.2046*S46)+(Q46+R46)/G46)+V46)</f>
        <v>47</v>
      </c>
      <c r="Y46" s="3">
        <f t="shared" ref="Y46:Y50" si="72">IF(O46&gt;0,O46,((P46*2.2046*S46)+(Q46+R46+T46)/G46)+V46+W46)</f>
        <v>47</v>
      </c>
      <c r="Z46" s="29">
        <f>Y46*F46</f>
        <v>14296.460000000001</v>
      </c>
      <c r="AA46" s="30">
        <v>42933</v>
      </c>
    </row>
    <row r="47" spans="1:27" s="22" customFormat="1" x14ac:dyDescent="0.25">
      <c r="A47" s="109"/>
      <c r="B47" s="17" t="s">
        <v>76</v>
      </c>
      <c r="C47" s="19" t="s">
        <v>33</v>
      </c>
      <c r="D47" s="18" t="s">
        <v>77</v>
      </c>
      <c r="E47" s="19" t="s">
        <v>218</v>
      </c>
      <c r="F47" s="20">
        <f>916.7+920.8+944.8</f>
        <v>2782.3</v>
      </c>
      <c r="G47" s="21">
        <v>2782.3</v>
      </c>
      <c r="H47" s="21">
        <f t="shared" si="68"/>
        <v>0</v>
      </c>
      <c r="I47" s="18" t="s">
        <v>488</v>
      </c>
      <c r="J47" s="19" t="s">
        <v>496</v>
      </c>
      <c r="K47" s="24"/>
      <c r="L47" s="24">
        <v>42933</v>
      </c>
      <c r="M47" s="18" t="s">
        <v>60</v>
      </c>
      <c r="N47" s="19"/>
      <c r="O47" s="3">
        <v>20</v>
      </c>
      <c r="P47" s="31"/>
      <c r="Q47" s="3"/>
      <c r="R47" s="3"/>
      <c r="S47" s="27"/>
      <c r="T47" s="27"/>
      <c r="U47" s="3"/>
      <c r="V47" s="19"/>
      <c r="W47" s="3"/>
      <c r="X47" s="3">
        <f>IF(O47&gt;0,O47,((P47*2.2046*S47)+(Q47+R47)/G47)+V47)</f>
        <v>20</v>
      </c>
      <c r="Y47" s="3">
        <f t="shared" si="72"/>
        <v>20</v>
      </c>
      <c r="Z47" s="29">
        <f>Y47*F47</f>
        <v>55646</v>
      </c>
      <c r="AA47" s="30">
        <v>42940</v>
      </c>
    </row>
    <row r="48" spans="1:27" s="22" customFormat="1" x14ac:dyDescent="0.25">
      <c r="A48" s="109"/>
      <c r="B48" s="17" t="s">
        <v>26</v>
      </c>
      <c r="C48" s="18" t="s">
        <v>27</v>
      </c>
      <c r="D48" s="18" t="s">
        <v>27</v>
      </c>
      <c r="E48" s="19" t="s">
        <v>34</v>
      </c>
      <c r="F48" s="20">
        <f>40960*0.4536</f>
        <v>18579.455999999998</v>
      </c>
      <c r="G48" s="21">
        <v>18575.98</v>
      </c>
      <c r="H48" s="21">
        <f t="shared" si="68"/>
        <v>-3.4759999999987485</v>
      </c>
      <c r="I48" s="22" t="s">
        <v>497</v>
      </c>
      <c r="J48" s="23" t="s">
        <v>30</v>
      </c>
      <c r="K48" s="24">
        <v>42933</v>
      </c>
      <c r="L48" s="24">
        <v>42934</v>
      </c>
      <c r="M48" s="18" t="s">
        <v>62</v>
      </c>
      <c r="N48" s="18" t="s">
        <v>498</v>
      </c>
      <c r="O48" s="3"/>
      <c r="P48" s="25">
        <f>0.8019+0.095</f>
        <v>0.89689999999999992</v>
      </c>
      <c r="Q48" s="26">
        <v>23000</v>
      </c>
      <c r="R48" s="3">
        <v>9400</v>
      </c>
      <c r="S48" s="51">
        <v>17.850000000000001</v>
      </c>
      <c r="T48" s="27">
        <f>X48*F48*0.005</f>
        <v>3451.9788883789374</v>
      </c>
      <c r="V48" s="3">
        <v>0.12</v>
      </c>
      <c r="W48" s="3">
        <v>0.3</v>
      </c>
      <c r="X48" s="3">
        <f>IF(O48&gt;0,O48,((P48*2.2046*S48)+(Q48+R48)/G48)+V48)</f>
        <v>37.159095383405599</v>
      </c>
      <c r="Y48" s="3">
        <f t="shared" si="72"/>
        <v>37.644925626998614</v>
      </c>
      <c r="Z48" s="29">
        <f>Y48*F48</f>
        <v>699422.23931009311</v>
      </c>
      <c r="AA48" s="30">
        <v>42947</v>
      </c>
    </row>
    <row r="49" spans="1:27" s="22" customFormat="1" x14ac:dyDescent="0.25">
      <c r="A49" s="109"/>
      <c r="B49" s="17" t="s">
        <v>26</v>
      </c>
      <c r="C49" s="18" t="s">
        <v>37</v>
      </c>
      <c r="D49" s="18" t="s">
        <v>37</v>
      </c>
      <c r="E49" s="19" t="s">
        <v>28</v>
      </c>
      <c r="F49" s="20">
        <f>41242*0.4536</f>
        <v>18707.371200000001</v>
      </c>
      <c r="G49" s="21">
        <v>18706.95</v>
      </c>
      <c r="H49" s="21">
        <f>G49-F49</f>
        <v>-0.42120000000068103</v>
      </c>
      <c r="I49" s="22" t="s">
        <v>499</v>
      </c>
      <c r="J49" s="23" t="s">
        <v>30</v>
      </c>
      <c r="K49" s="24">
        <v>42933</v>
      </c>
      <c r="L49" s="24">
        <v>42934</v>
      </c>
      <c r="M49" s="18" t="s">
        <v>62</v>
      </c>
      <c r="N49" s="18" t="s">
        <v>500</v>
      </c>
      <c r="O49" s="3"/>
      <c r="P49" s="25">
        <f>0.8236+0.095</f>
        <v>0.91859999999999997</v>
      </c>
      <c r="Q49" s="26">
        <v>23000</v>
      </c>
      <c r="R49" s="3">
        <v>9400</v>
      </c>
      <c r="S49" s="51">
        <v>18.038</v>
      </c>
      <c r="T49" s="27">
        <f>X49*F49*0.005</f>
        <v>3590.0897239561682</v>
      </c>
      <c r="V49" s="3">
        <v>0.12</v>
      </c>
      <c r="W49" s="3">
        <v>0.3</v>
      </c>
      <c r="X49" s="3">
        <f t="shared" ref="X49:X50" si="73">IF(O49&gt;0,O49,((P49*2.2046*S49)+(Q49+R49)/G49)+V49)</f>
        <v>38.381552229595655</v>
      </c>
      <c r="Y49" s="3">
        <f t="shared" si="72"/>
        <v>38.873464311680443</v>
      </c>
      <c r="Z49" s="29">
        <f t="shared" ref="Z49:Z50" si="74">Y49*F49</f>
        <v>727220.3267085586</v>
      </c>
      <c r="AA49" s="30">
        <v>42927</v>
      </c>
    </row>
    <row r="50" spans="1:27" s="22" customFormat="1" x14ac:dyDescent="0.25">
      <c r="A50" s="109"/>
      <c r="B50" s="17" t="s">
        <v>26</v>
      </c>
      <c r="C50" s="18" t="s">
        <v>37</v>
      </c>
      <c r="D50" s="18" t="s">
        <v>37</v>
      </c>
      <c r="E50" s="19" t="s">
        <v>28</v>
      </c>
      <c r="F50" s="20">
        <f>40925*0.4536</f>
        <v>18563.580000000002</v>
      </c>
      <c r="G50" s="21">
        <v>18563.16</v>
      </c>
      <c r="H50" s="21">
        <f>G50-F50</f>
        <v>-0.42000000000189175</v>
      </c>
      <c r="I50" s="22" t="s">
        <v>501</v>
      </c>
      <c r="J50" s="23" t="s">
        <v>30</v>
      </c>
      <c r="K50" s="24">
        <v>42933</v>
      </c>
      <c r="L50" s="24">
        <v>42934</v>
      </c>
      <c r="M50" s="18" t="s">
        <v>62</v>
      </c>
      <c r="N50" s="18" t="s">
        <v>500</v>
      </c>
      <c r="O50" s="3"/>
      <c r="P50" s="25">
        <f>0.8236+0.095</f>
        <v>0.91859999999999997</v>
      </c>
      <c r="Q50" s="26">
        <v>23000</v>
      </c>
      <c r="R50" s="3">
        <v>9400</v>
      </c>
      <c r="S50" s="51">
        <v>18.038</v>
      </c>
      <c r="T50" s="27">
        <f>X50*F50*0.005</f>
        <v>3563.7403094544488</v>
      </c>
      <c r="V50" s="3">
        <v>0.12</v>
      </c>
      <c r="W50" s="3">
        <v>0.3</v>
      </c>
      <c r="X50" s="3">
        <f t="shared" si="73"/>
        <v>38.394968098335006</v>
      </c>
      <c r="Y50" s="3">
        <f t="shared" si="72"/>
        <v>38.886947282345403</v>
      </c>
      <c r="Z50" s="29">
        <f t="shared" si="74"/>
        <v>721880.95683160156</v>
      </c>
      <c r="AA50" s="30">
        <v>42927</v>
      </c>
    </row>
    <row r="51" spans="1:27" s="22" customFormat="1" x14ac:dyDescent="0.25">
      <c r="A51" s="109"/>
      <c r="B51" s="17" t="s">
        <v>41</v>
      </c>
      <c r="C51" s="19" t="s">
        <v>42</v>
      </c>
      <c r="D51" s="18" t="s">
        <v>336</v>
      </c>
      <c r="E51" s="19">
        <v>199</v>
      </c>
      <c r="F51" s="20">
        <v>23620</v>
      </c>
      <c r="G51" s="21">
        <f>12230+6700</f>
        <v>18930</v>
      </c>
      <c r="H51" s="21">
        <f>G51-F51</f>
        <v>-4690</v>
      </c>
      <c r="I51" s="22" t="s">
        <v>502</v>
      </c>
      <c r="J51" s="19"/>
      <c r="K51" s="24"/>
      <c r="L51" s="24">
        <v>42934</v>
      </c>
      <c r="M51" s="18" t="s">
        <v>62</v>
      </c>
      <c r="N51" s="19"/>
      <c r="O51" s="3">
        <v>30.5</v>
      </c>
      <c r="P51" s="31"/>
      <c r="Q51" s="26">
        <v>19800</v>
      </c>
      <c r="R51" s="3">
        <f>65*E51</f>
        <v>12935</v>
      </c>
      <c r="S51" s="27">
        <f>-38*E51</f>
        <v>-7562</v>
      </c>
      <c r="T51" s="27">
        <f t="shared" ref="T51" si="75">X51*F51*0.005</f>
        <v>4657.7317379820388</v>
      </c>
      <c r="U51" s="3">
        <f>E51*5</f>
        <v>995</v>
      </c>
      <c r="V51" s="19"/>
      <c r="W51" s="3">
        <v>0.3</v>
      </c>
      <c r="X51" s="3">
        <f>((O51*F51)+Q51+R51+S51+U51)/G51</f>
        <v>39.438880084521919</v>
      </c>
      <c r="Y51" s="3">
        <f>((O51*F51)+Q51+R51+S51+T51+U51)/G51+W51</f>
        <v>39.984930361224613</v>
      </c>
      <c r="Z51" s="29">
        <f>Y51*G51</f>
        <v>756914.7317379819</v>
      </c>
      <c r="AA51" s="30">
        <v>42947</v>
      </c>
    </row>
    <row r="52" spans="1:27" s="22" customFormat="1" x14ac:dyDescent="0.25">
      <c r="A52" s="109"/>
      <c r="B52" s="17" t="s">
        <v>41</v>
      </c>
      <c r="C52" s="19" t="s">
        <v>42</v>
      </c>
      <c r="D52" s="18" t="s">
        <v>51</v>
      </c>
      <c r="E52" s="19">
        <v>200</v>
      </c>
      <c r="F52" s="20">
        <v>22895</v>
      </c>
      <c r="G52" s="21">
        <f>11740+6460</f>
        <v>18200</v>
      </c>
      <c r="H52" s="21">
        <f t="shared" ref="H52" si="76">G52-F52</f>
        <v>-4695</v>
      </c>
      <c r="I52" s="22" t="s">
        <v>503</v>
      </c>
      <c r="J52" s="19"/>
      <c r="K52" s="24"/>
      <c r="L52" s="24">
        <v>42935</v>
      </c>
      <c r="M52" s="18" t="s">
        <v>31</v>
      </c>
      <c r="N52" s="19"/>
      <c r="O52" s="3">
        <v>30.5</v>
      </c>
      <c r="P52" s="31"/>
      <c r="Q52" s="33">
        <v>19800</v>
      </c>
      <c r="R52" s="3">
        <f>65*E52</f>
        <v>13000</v>
      </c>
      <c r="S52" s="27">
        <f>-38*E52</f>
        <v>-7600</v>
      </c>
      <c r="T52" s="27">
        <f>X52*F52*0.0045</f>
        <v>4101.2728671016484</v>
      </c>
      <c r="U52" s="3">
        <f>E52*5</f>
        <v>1000</v>
      </c>
      <c r="V52" s="19"/>
      <c r="W52" s="3">
        <v>0.3</v>
      </c>
      <c r="X52" s="3">
        <f>((O52*F52)+Q52+R52+S52+U52)/G52</f>
        <v>39.807554945054946</v>
      </c>
      <c r="Y52" s="3">
        <f t="shared" ref="Y52" si="77">((O52*F52)+Q52+R52+S52+T52+U52)/G52+W52</f>
        <v>40.332899608082499</v>
      </c>
      <c r="Z52" s="29">
        <f>Y52*G52</f>
        <v>734058.77286710148</v>
      </c>
      <c r="AA52" s="30">
        <v>42948</v>
      </c>
    </row>
    <row r="53" spans="1:27" s="22" customFormat="1" x14ac:dyDescent="0.25">
      <c r="A53" s="109"/>
      <c r="B53" s="17" t="s">
        <v>26</v>
      </c>
      <c r="C53" s="18" t="s">
        <v>33</v>
      </c>
      <c r="D53" s="18" t="s">
        <v>33</v>
      </c>
      <c r="E53" s="19" t="s">
        <v>34</v>
      </c>
      <c r="F53" s="20">
        <f>42003*0.4536</f>
        <v>19052.560799999999</v>
      </c>
      <c r="G53" s="21">
        <v>19052</v>
      </c>
      <c r="H53" s="21">
        <f>G53-F53</f>
        <v>-0.56079999999928987</v>
      </c>
      <c r="I53" s="22" t="s">
        <v>504</v>
      </c>
      <c r="J53" s="23" t="s">
        <v>39</v>
      </c>
      <c r="K53" s="24">
        <v>42935</v>
      </c>
      <c r="L53" s="24">
        <v>42936</v>
      </c>
      <c r="M53" s="18" t="s">
        <v>47</v>
      </c>
      <c r="N53" s="18" t="s">
        <v>505</v>
      </c>
      <c r="O53" s="3"/>
      <c r="P53" s="25">
        <f>0.7983+0.105</f>
        <v>0.90329999999999999</v>
      </c>
      <c r="Q53" s="26">
        <v>23000</v>
      </c>
      <c r="R53" s="3">
        <v>9400</v>
      </c>
      <c r="S53" s="51">
        <v>17.97</v>
      </c>
      <c r="T53" s="27">
        <f>X53*F53*0.005</f>
        <v>3582.4853627173593</v>
      </c>
      <c r="V53" s="3">
        <v>0.12</v>
      </c>
      <c r="W53" s="3">
        <v>0.3</v>
      </c>
      <c r="X53" s="3">
        <f t="shared" ref="X53" si="78">IF(O53&gt;0,O53,((P53*2.2046*S53)+(Q53+R53)/G53)+V53)</f>
        <v>37.606339644562205</v>
      </c>
      <c r="Y53" s="3">
        <f t="shared" ref="Y53" si="79">IF(O53&gt;0,O53,((P53*2.2046*S53)+(Q53+R53+T53)/G53)+V53+W53)</f>
        <v>38.094376877541279</v>
      </c>
      <c r="Z53" s="29">
        <f t="shared" ref="Z53" si="80">Y53*F53</f>
        <v>725795.43159746937</v>
      </c>
      <c r="AA53" s="30">
        <v>42929</v>
      </c>
    </row>
    <row r="54" spans="1:27" s="22" customFormat="1" x14ac:dyDescent="0.25">
      <c r="A54" s="109"/>
      <c r="B54" s="17" t="s">
        <v>41</v>
      </c>
      <c r="C54" s="19" t="s">
        <v>42</v>
      </c>
      <c r="D54" s="18" t="s">
        <v>51</v>
      </c>
      <c r="E54" s="19">
        <v>220</v>
      </c>
      <c r="F54" s="20">
        <v>25120</v>
      </c>
      <c r="G54" s="21">
        <f>18120</f>
        <v>18120</v>
      </c>
      <c r="H54" s="21">
        <f t="shared" ref="H54:H55" si="81">G54-F54</f>
        <v>-7000</v>
      </c>
      <c r="I54" s="22" t="s">
        <v>506</v>
      </c>
      <c r="J54" s="19"/>
      <c r="K54" s="24"/>
      <c r="L54" s="24">
        <v>42936</v>
      </c>
      <c r="M54" s="18" t="s">
        <v>47</v>
      </c>
      <c r="N54" s="19"/>
      <c r="O54" s="3">
        <v>30.5</v>
      </c>
      <c r="P54" s="31"/>
      <c r="Q54" s="33">
        <v>19800</v>
      </c>
      <c r="R54" s="3">
        <f t="shared" ref="R54:R55" si="82">65*E54</f>
        <v>14300</v>
      </c>
      <c r="S54" s="27">
        <f t="shared" ref="S54:S55" si="83">-38*E54</f>
        <v>-8360</v>
      </c>
      <c r="T54" s="27">
        <f t="shared" ref="T54:T55" si="84">X54*F54*0.0045</f>
        <v>4947.0596026490057</v>
      </c>
      <c r="U54" s="3">
        <f t="shared" ref="U54:U55" si="85">E54*5</f>
        <v>1100</v>
      </c>
      <c r="V54" s="19"/>
      <c r="W54" s="3">
        <v>0.3</v>
      </c>
      <c r="X54" s="3">
        <f t="shared" ref="X54:X55" si="86">((O54*F54)+Q54+R54+S54+U54)/G54</f>
        <v>43.763796909492271</v>
      </c>
      <c r="Y54" s="3">
        <f t="shared" ref="Y54:Y55" si="87">((O54*F54)+Q54+R54+S54+T54+U54)/G54+W54</f>
        <v>44.336813443854794</v>
      </c>
      <c r="Z54" s="29">
        <f t="shared" ref="Z54:Z55" si="88">Y54*G54</f>
        <v>803383.05960264883</v>
      </c>
      <c r="AA54" s="30">
        <v>42949</v>
      </c>
    </row>
    <row r="55" spans="1:27" s="22" customFormat="1" x14ac:dyDescent="0.25">
      <c r="A55" s="109"/>
      <c r="B55" s="17" t="s">
        <v>41</v>
      </c>
      <c r="C55" s="19" t="s">
        <v>42</v>
      </c>
      <c r="D55" s="18" t="s">
        <v>198</v>
      </c>
      <c r="E55" s="19">
        <v>130</v>
      </c>
      <c r="F55" s="20">
        <v>12415</v>
      </c>
      <c r="G55" s="21">
        <f>11410</f>
        <v>11410</v>
      </c>
      <c r="H55" s="21">
        <f t="shared" si="81"/>
        <v>-1005</v>
      </c>
      <c r="I55" s="22" t="s">
        <v>507</v>
      </c>
      <c r="J55" s="19"/>
      <c r="K55" s="24"/>
      <c r="L55" s="24">
        <v>42936</v>
      </c>
      <c r="M55" s="18" t="s">
        <v>47</v>
      </c>
      <c r="N55" s="19"/>
      <c r="O55" s="3">
        <v>30.5</v>
      </c>
      <c r="P55" s="31"/>
      <c r="Q55" s="26">
        <v>15700</v>
      </c>
      <c r="R55" s="3">
        <f t="shared" si="82"/>
        <v>8450</v>
      </c>
      <c r="S55" s="27">
        <f t="shared" si="83"/>
        <v>-4940</v>
      </c>
      <c r="T55" s="27">
        <f t="shared" si="84"/>
        <v>1951.286277936021</v>
      </c>
      <c r="U55" s="3">
        <f t="shared" si="85"/>
        <v>650</v>
      </c>
      <c r="V55" s="19"/>
      <c r="W55" s="3">
        <v>0.05</v>
      </c>
      <c r="X55" s="3">
        <f t="shared" si="86"/>
        <v>34.927037686240141</v>
      </c>
      <c r="Y55" s="3">
        <f t="shared" si="87"/>
        <v>35.148053135664853</v>
      </c>
      <c r="Z55" s="29">
        <f t="shared" si="88"/>
        <v>401039.28627793596</v>
      </c>
      <c r="AA55" s="30">
        <v>42949</v>
      </c>
    </row>
    <row r="56" spans="1:27" s="22" customFormat="1" x14ac:dyDescent="0.25">
      <c r="A56" s="109"/>
      <c r="B56" s="17" t="s">
        <v>26</v>
      </c>
      <c r="C56" s="18" t="s">
        <v>27</v>
      </c>
      <c r="D56" s="18" t="s">
        <v>27</v>
      </c>
      <c r="E56" s="19" t="s">
        <v>34</v>
      </c>
      <c r="F56" s="20">
        <f>40633*0.4536</f>
        <v>18431.128799999999</v>
      </c>
      <c r="G56" s="21">
        <v>18427.68</v>
      </c>
      <c r="H56" s="21">
        <f>G56-F56</f>
        <v>-3.4487999999983003</v>
      </c>
      <c r="I56" s="22" t="s">
        <v>508</v>
      </c>
      <c r="J56" s="23" t="s">
        <v>30</v>
      </c>
      <c r="K56" s="24">
        <v>42936</v>
      </c>
      <c r="L56" s="24">
        <v>42937</v>
      </c>
      <c r="M56" s="18" t="s">
        <v>49</v>
      </c>
      <c r="N56" s="18" t="s">
        <v>509</v>
      </c>
      <c r="O56" s="3"/>
      <c r="P56" s="25">
        <f>0.7983+0.095</f>
        <v>0.89329999999999998</v>
      </c>
      <c r="Q56" s="26">
        <v>23000</v>
      </c>
      <c r="R56" s="3">
        <v>9400</v>
      </c>
      <c r="S56" s="51">
        <v>17.95</v>
      </c>
      <c r="T56" s="27">
        <f>X56*F56*0.005</f>
        <v>3430.8073028716267</v>
      </c>
      <c r="V56" s="3">
        <v>0.12</v>
      </c>
      <c r="W56" s="3">
        <v>0.3</v>
      </c>
      <c r="X56" s="3">
        <f t="shared" ref="X56" si="89">IF(O56&gt;0,O56,((P56*2.2046*S56)+(Q56+R56)/G56)+V56)</f>
        <v>37.228401364886849</v>
      </c>
      <c r="Y56" s="3">
        <f t="shared" ref="Y56" si="90">IF(O56&gt;0,O56,((P56*2.2046*S56)+(Q56+R56+T56)/G56)+V56+W56)</f>
        <v>37.714578208790776</v>
      </c>
      <c r="Z56" s="29">
        <f t="shared" ref="Z56" si="91">Y56*F56</f>
        <v>695122.24860389601</v>
      </c>
      <c r="AA56" s="30">
        <v>42948</v>
      </c>
    </row>
    <row r="57" spans="1:27" s="22" customFormat="1" x14ac:dyDescent="0.25">
      <c r="A57" s="109"/>
      <c r="B57" s="17" t="s">
        <v>41</v>
      </c>
      <c r="C57" s="19" t="s">
        <v>42</v>
      </c>
      <c r="D57" s="18" t="s">
        <v>51</v>
      </c>
      <c r="E57" s="19">
        <v>200</v>
      </c>
      <c r="F57" s="20">
        <v>22500</v>
      </c>
      <c r="G57" s="21">
        <v>17780</v>
      </c>
      <c r="H57" s="21">
        <f t="shared" ref="H57:H59" si="92">G57-F57</f>
        <v>-4720</v>
      </c>
      <c r="I57" s="22" t="s">
        <v>510</v>
      </c>
      <c r="J57" s="19"/>
      <c r="K57" s="24"/>
      <c r="L57" s="24">
        <v>42937</v>
      </c>
      <c r="M57" s="18" t="s">
        <v>49</v>
      </c>
      <c r="N57" s="19"/>
      <c r="O57" s="3">
        <v>30.5</v>
      </c>
      <c r="P57" s="31"/>
      <c r="Q57" s="26">
        <v>19800</v>
      </c>
      <c r="R57" s="3">
        <f t="shared" ref="R57" si="93">65*E57</f>
        <v>13000</v>
      </c>
      <c r="S57" s="27">
        <f t="shared" ref="S57" si="94">-38*E57</f>
        <v>-7600</v>
      </c>
      <c r="T57" s="27">
        <f>X57*F57*0.0045</f>
        <v>4057.1182508436441</v>
      </c>
      <c r="U57" s="3">
        <f>E57*5</f>
        <v>1000</v>
      </c>
      <c r="V57" s="19"/>
      <c r="W57" s="3">
        <v>0.3</v>
      </c>
      <c r="X57" s="3">
        <f>((O57*F57)+Q57+R57+S57+U57)/G57</f>
        <v>40.070303712035994</v>
      </c>
      <c r="Y57" s="3">
        <f t="shared" ref="Y57" si="95">((O57*F57)+Q57+R57+S57+T57+U57)/G57+W57</f>
        <v>40.598488090598622</v>
      </c>
      <c r="Z57" s="29">
        <f t="shared" ref="Z57" si="96">Y57*G57</f>
        <v>721841.11825084349</v>
      </c>
      <c r="AA57" s="30">
        <v>42950</v>
      </c>
    </row>
    <row r="58" spans="1:27" s="22" customFormat="1" x14ac:dyDescent="0.25">
      <c r="A58" s="109"/>
      <c r="B58" s="17" t="s">
        <v>76</v>
      </c>
      <c r="C58" s="19" t="s">
        <v>33</v>
      </c>
      <c r="D58" s="18" t="s">
        <v>77</v>
      </c>
      <c r="E58" s="19">
        <v>4</v>
      </c>
      <c r="F58" s="20">
        <v>3686.3</v>
      </c>
      <c r="G58" s="21">
        <f>925.3+939.8+909+912.2</f>
        <v>3686.3</v>
      </c>
      <c r="H58" s="21">
        <v>0</v>
      </c>
      <c r="I58" s="22" t="s">
        <v>511</v>
      </c>
      <c r="J58" s="19" t="s">
        <v>512</v>
      </c>
      <c r="K58" s="24"/>
      <c r="L58" s="24">
        <v>42938</v>
      </c>
      <c r="M58" s="18" t="s">
        <v>98</v>
      </c>
      <c r="N58" s="19"/>
      <c r="O58" s="3">
        <v>20</v>
      </c>
      <c r="P58" s="31"/>
      <c r="Q58" s="3"/>
      <c r="R58" s="3"/>
      <c r="S58" s="27"/>
      <c r="T58" s="27"/>
      <c r="U58" s="3"/>
      <c r="V58" s="19"/>
      <c r="W58" s="3"/>
      <c r="X58" s="3"/>
      <c r="Y58" s="3">
        <f>IF(O58&gt;0,O58,((P58*2.2046*S58)+(Q58+R58+T58)/G58)+V58+W58)</f>
        <v>20</v>
      </c>
      <c r="Z58" s="29">
        <f>Y58*F58</f>
        <v>73726</v>
      </c>
      <c r="AA58" s="30">
        <v>42945</v>
      </c>
    </row>
    <row r="59" spans="1:27" s="22" customFormat="1" x14ac:dyDescent="0.25">
      <c r="A59" s="109"/>
      <c r="B59" s="17" t="s">
        <v>26</v>
      </c>
      <c r="C59" s="18" t="s">
        <v>33</v>
      </c>
      <c r="D59" s="18" t="s">
        <v>33</v>
      </c>
      <c r="E59" s="19" t="s">
        <v>34</v>
      </c>
      <c r="F59" s="20">
        <f>41936*0.4536</f>
        <v>19022.169600000001</v>
      </c>
      <c r="G59" s="21">
        <v>19021.5</v>
      </c>
      <c r="H59" s="21">
        <f t="shared" si="92"/>
        <v>-0.66960000000108266</v>
      </c>
      <c r="I59" s="22" t="s">
        <v>513</v>
      </c>
      <c r="J59" s="23" t="s">
        <v>30</v>
      </c>
      <c r="K59" s="24">
        <v>42937</v>
      </c>
      <c r="L59" s="24">
        <v>42938</v>
      </c>
      <c r="M59" s="18" t="s">
        <v>98</v>
      </c>
      <c r="N59" s="18" t="s">
        <v>514</v>
      </c>
      <c r="O59" s="3"/>
      <c r="P59" s="25">
        <f>0.805+0.105</f>
        <v>0.91</v>
      </c>
      <c r="Q59" s="26">
        <v>23000</v>
      </c>
      <c r="R59" s="3">
        <v>9400</v>
      </c>
      <c r="S59" s="51">
        <v>17.846</v>
      </c>
      <c r="T59" s="27">
        <f t="shared" ref="T59" si="97">X59*F59*0.005</f>
        <v>3578.6151872683422</v>
      </c>
      <c r="V59" s="3">
        <v>0.12</v>
      </c>
      <c r="W59" s="3">
        <v>0.3</v>
      </c>
      <c r="X59" s="3">
        <f t="shared" ref="X59" si="98">IF(O59&gt;0,O59,((P59*2.2046*S59)+(Q59+R59)/G59)+V59)</f>
        <v>37.625731055077352</v>
      </c>
      <c r="Y59" s="3">
        <f>IF(O59&gt;0,O59,((P59*2.2046*S59)+(Q59+R59+T59)/G59)+V59+W59)</f>
        <v>38.113866332908664</v>
      </c>
      <c r="Z59" s="29">
        <f>Y59*F59</f>
        <v>725008.42949631868</v>
      </c>
      <c r="AA59" s="30">
        <v>42933</v>
      </c>
    </row>
    <row r="60" spans="1:27" s="22" customFormat="1" ht="15.75" thickBot="1" x14ac:dyDescent="0.3">
      <c r="A60" s="110"/>
      <c r="B60" s="34"/>
      <c r="C60" s="6"/>
      <c r="D60" s="6"/>
      <c r="E60" s="6"/>
      <c r="F60" s="35"/>
      <c r="G60" s="35"/>
      <c r="H60" s="35"/>
      <c r="I60" s="9"/>
      <c r="J60" s="6"/>
      <c r="K60" s="10"/>
      <c r="L60" s="10"/>
      <c r="M60" s="6"/>
      <c r="N60" s="6"/>
      <c r="O60" s="11"/>
      <c r="P60" s="12"/>
      <c r="Q60" s="11"/>
      <c r="R60" s="11"/>
      <c r="S60" s="11"/>
      <c r="T60" s="11"/>
      <c r="U60" s="11"/>
      <c r="V60" s="11"/>
      <c r="W60" s="11"/>
      <c r="X60" s="11"/>
      <c r="Y60" s="11"/>
      <c r="Z60" s="15"/>
      <c r="AA60" s="36"/>
    </row>
    <row r="61" spans="1:27" s="22" customFormat="1" x14ac:dyDescent="0.25">
      <c r="A61" s="111"/>
      <c r="B61" s="38" t="s">
        <v>41</v>
      </c>
      <c r="C61" s="38" t="s">
        <v>42</v>
      </c>
      <c r="D61" s="39" t="s">
        <v>51</v>
      </c>
      <c r="E61" s="38">
        <v>210</v>
      </c>
      <c r="F61" s="40">
        <v>23350</v>
      </c>
      <c r="G61" s="41">
        <f>7110+11410</f>
        <v>18520</v>
      </c>
      <c r="H61" s="21">
        <f t="shared" ref="H61:H70" si="99">G61-F61</f>
        <v>-4830</v>
      </c>
      <c r="I61" s="39" t="s">
        <v>515</v>
      </c>
      <c r="J61" s="38"/>
      <c r="K61" s="42"/>
      <c r="L61" s="42">
        <v>42939</v>
      </c>
      <c r="M61" s="39" t="s">
        <v>57</v>
      </c>
      <c r="N61" s="38"/>
      <c r="O61" s="43">
        <v>30</v>
      </c>
      <c r="P61" s="44"/>
      <c r="Q61" s="45">
        <v>19800</v>
      </c>
      <c r="R61" s="43">
        <f t="shared" ref="R61:R62" si="100">65*E61</f>
        <v>13650</v>
      </c>
      <c r="S61" s="43">
        <f t="shared" ref="S61:S62" si="101">-38*E61</f>
        <v>-7980</v>
      </c>
      <c r="T61" s="46">
        <f>X61*F61*0.0045</f>
        <v>4124.8178455723537</v>
      </c>
      <c r="U61" s="43">
        <f>E61*5</f>
        <v>1050</v>
      </c>
      <c r="V61" s="38"/>
      <c r="W61" s="43">
        <v>0.3</v>
      </c>
      <c r="X61" s="43">
        <f>((O61*F61)+Q61+R61+S61+U61)/G61</f>
        <v>39.255939524838013</v>
      </c>
      <c r="Y61" s="47">
        <f t="shared" ref="Y61:Y62" si="102">((O61*F61)+Q61+R61+S61+T61+U61)/G61+W61</f>
        <v>39.778661870711247</v>
      </c>
      <c r="Z61" s="47">
        <f>Y61*G61</f>
        <v>736700.81784557225</v>
      </c>
      <c r="AA61" s="48">
        <v>42954</v>
      </c>
    </row>
    <row r="62" spans="1:27" s="22" customFormat="1" x14ac:dyDescent="0.25">
      <c r="A62" s="112"/>
      <c r="B62" s="17" t="s">
        <v>41</v>
      </c>
      <c r="C62" s="19" t="s">
        <v>42</v>
      </c>
      <c r="D62" s="18" t="s">
        <v>51</v>
      </c>
      <c r="E62" s="19">
        <v>200</v>
      </c>
      <c r="F62" s="20">
        <v>21455</v>
      </c>
      <c r="G62" s="21">
        <f>10080+6780</f>
        <v>16860</v>
      </c>
      <c r="H62" s="21">
        <f t="shared" si="99"/>
        <v>-4595</v>
      </c>
      <c r="I62" s="18" t="s">
        <v>516</v>
      </c>
      <c r="J62" s="50">
        <v>199</v>
      </c>
      <c r="K62" s="24"/>
      <c r="L62" s="24">
        <v>42940</v>
      </c>
      <c r="M62" s="18" t="s">
        <v>60</v>
      </c>
      <c r="N62" s="19"/>
      <c r="O62" s="3">
        <v>30</v>
      </c>
      <c r="P62" s="31"/>
      <c r="Q62" s="26">
        <v>19800</v>
      </c>
      <c r="R62" s="3">
        <f t="shared" si="100"/>
        <v>13000</v>
      </c>
      <c r="S62" s="27">
        <f t="shared" si="101"/>
        <v>-7600</v>
      </c>
      <c r="T62" s="27">
        <f>X62*F62*0.0045</f>
        <v>3835.8447731316724</v>
      </c>
      <c r="U62" s="3">
        <f>E62*5</f>
        <v>1000</v>
      </c>
      <c r="V62" s="19"/>
      <c r="W62" s="3">
        <v>0.3</v>
      </c>
      <c r="X62" s="3">
        <f>((O62*F62)+Q62+R62+S62+U62)/G62</f>
        <v>39.730130486358242</v>
      </c>
      <c r="Y62" s="3">
        <f t="shared" si="102"/>
        <v>40.257642038738531</v>
      </c>
      <c r="Z62" s="29">
        <f>Y62*G62</f>
        <v>678743.84477313166</v>
      </c>
      <c r="AA62" s="30">
        <v>42954</v>
      </c>
    </row>
    <row r="63" spans="1:27" s="22" customFormat="1" x14ac:dyDescent="0.25">
      <c r="A63" s="112"/>
      <c r="B63" s="17" t="s">
        <v>26</v>
      </c>
      <c r="C63" s="18" t="s">
        <v>27</v>
      </c>
      <c r="D63" s="18" t="s">
        <v>27</v>
      </c>
      <c r="E63" s="19" t="s">
        <v>34</v>
      </c>
      <c r="F63" s="20">
        <f>39861*0.4536</f>
        <v>18080.9496</v>
      </c>
      <c r="G63" s="21">
        <v>18080</v>
      </c>
      <c r="H63" s="21">
        <f t="shared" si="99"/>
        <v>-0.94959999999991851</v>
      </c>
      <c r="I63" s="22" t="s">
        <v>517</v>
      </c>
      <c r="J63" s="23" t="s">
        <v>518</v>
      </c>
      <c r="K63" s="24">
        <v>42940</v>
      </c>
      <c r="L63" s="24">
        <v>42941</v>
      </c>
      <c r="M63" s="18" t="s">
        <v>62</v>
      </c>
      <c r="N63" s="18" t="s">
        <v>519</v>
      </c>
      <c r="O63" s="3"/>
      <c r="P63" s="25">
        <f>0.7896+0.095</f>
        <v>0.88459999999999994</v>
      </c>
      <c r="Q63" s="104">
        <v>23000</v>
      </c>
      <c r="R63" s="3">
        <v>9400</v>
      </c>
      <c r="S63" s="51">
        <v>17.969000000000001</v>
      </c>
      <c r="T63" s="27">
        <f>X63*F63*0.005</f>
        <v>3340.9060533160145</v>
      </c>
      <c r="V63" s="3">
        <v>0.12</v>
      </c>
      <c r="W63" s="3">
        <v>0.3</v>
      </c>
      <c r="X63" s="3">
        <f>IF(O63&gt;0,O63,((P63*2.2046*S63)+(Q63+R63)/G63)+V63)</f>
        <v>36.954984414270086</v>
      </c>
      <c r="Y63" s="3">
        <f t="shared" ref="Y63:Y65" si="103">IF(O63&gt;0,O63,((P63*2.2046*S63)+(Q63+R63+T63)/G63)+V63+W63)</f>
        <v>37.439769041112783</v>
      </c>
      <c r="Z63" s="29">
        <f>Y63*F63</f>
        <v>676946.57706800057</v>
      </c>
      <c r="AA63" s="30">
        <v>42951</v>
      </c>
    </row>
    <row r="64" spans="1:27" s="22" customFormat="1" x14ac:dyDescent="0.25">
      <c r="A64" s="112"/>
      <c r="B64" s="17" t="s">
        <v>26</v>
      </c>
      <c r="C64" s="18" t="s">
        <v>37</v>
      </c>
      <c r="D64" s="18" t="s">
        <v>37</v>
      </c>
      <c r="E64" s="19" t="s">
        <v>28</v>
      </c>
      <c r="F64" s="20">
        <f>41705*0.4536</f>
        <v>18917.387999999999</v>
      </c>
      <c r="G64" s="21">
        <v>18916.98</v>
      </c>
      <c r="H64" s="21">
        <f t="shared" si="99"/>
        <v>-0.40799999999944703</v>
      </c>
      <c r="I64" s="22" t="s">
        <v>520</v>
      </c>
      <c r="J64" s="23" t="s">
        <v>518</v>
      </c>
      <c r="K64" s="24">
        <v>42940</v>
      </c>
      <c r="L64" s="24">
        <v>42941</v>
      </c>
      <c r="M64" s="18" t="s">
        <v>62</v>
      </c>
      <c r="N64" s="18" t="s">
        <v>521</v>
      </c>
      <c r="O64" s="3"/>
      <c r="P64" s="25">
        <f>0.8178+0.095</f>
        <v>0.91279999999999994</v>
      </c>
      <c r="Q64" s="104">
        <v>23000</v>
      </c>
      <c r="R64" s="3">
        <v>9400</v>
      </c>
      <c r="S64" s="51">
        <v>17.809999999999999</v>
      </c>
      <c r="T64" s="27">
        <f>X64*F64*0.005</f>
        <v>3563.3604173004937</v>
      </c>
      <c r="V64" s="3">
        <v>0.12</v>
      </c>
      <c r="W64" s="3">
        <v>0.3</v>
      </c>
      <c r="X64" s="3">
        <f t="shared" ref="X64:X65" si="104">IF(O64&gt;0,O64,((P64*2.2046*S64)+(Q64+R64)/G64)+V64)</f>
        <v>37.672858613467078</v>
      </c>
      <c r="Y64" s="3">
        <f t="shared" si="103"/>
        <v>38.161226969161298</v>
      </c>
      <c r="Z64" s="29">
        <f t="shared" ref="Z64:Z65" si="105">Y64*F64</f>
        <v>721910.73713168828</v>
      </c>
      <c r="AA64" s="30">
        <v>42935</v>
      </c>
    </row>
    <row r="65" spans="1:27" s="22" customFormat="1" x14ac:dyDescent="0.25">
      <c r="A65" s="112"/>
      <c r="B65" s="17" t="s">
        <v>26</v>
      </c>
      <c r="C65" s="18" t="s">
        <v>37</v>
      </c>
      <c r="D65" s="18" t="s">
        <v>37</v>
      </c>
      <c r="E65" s="19" t="s">
        <v>28</v>
      </c>
      <c r="F65" s="20">
        <f>41460*0.4536</f>
        <v>18806.256000000001</v>
      </c>
      <c r="G65" s="21">
        <v>18805.849999999999</v>
      </c>
      <c r="H65" s="21">
        <f t="shared" si="99"/>
        <v>-0.40600000000267755</v>
      </c>
      <c r="I65" s="22" t="s">
        <v>522</v>
      </c>
      <c r="J65" s="23" t="s">
        <v>518</v>
      </c>
      <c r="K65" s="24">
        <v>42940</v>
      </c>
      <c r="L65" s="24">
        <v>42941</v>
      </c>
      <c r="M65" s="18" t="s">
        <v>62</v>
      </c>
      <c r="N65" s="18" t="s">
        <v>521</v>
      </c>
      <c r="O65" s="3"/>
      <c r="P65" s="25">
        <v>0.91279999999999994</v>
      </c>
      <c r="Q65" s="104">
        <v>23000</v>
      </c>
      <c r="R65" s="3">
        <v>9400</v>
      </c>
      <c r="S65" s="51">
        <v>17.809999999999999</v>
      </c>
      <c r="T65" s="27">
        <f>X65*F65*0.005</f>
        <v>3543.3788250780444</v>
      </c>
      <c r="V65" s="3">
        <v>0.12</v>
      </c>
      <c r="W65" s="3">
        <v>0.3</v>
      </c>
      <c r="X65" s="3">
        <f t="shared" si="104"/>
        <v>37.682979802870321</v>
      </c>
      <c r="Y65" s="3">
        <f t="shared" si="103"/>
        <v>38.171398769578978</v>
      </c>
      <c r="Z65" s="29">
        <f t="shared" si="105"/>
        <v>717861.09713878727</v>
      </c>
      <c r="AA65" s="30">
        <v>42935</v>
      </c>
    </row>
    <row r="66" spans="1:27" s="22" customFormat="1" x14ac:dyDescent="0.25">
      <c r="A66" s="112"/>
      <c r="B66" s="17" t="s">
        <v>41</v>
      </c>
      <c r="C66" s="19" t="s">
        <v>42</v>
      </c>
      <c r="D66" s="18" t="s">
        <v>43</v>
      </c>
      <c r="E66" s="19">
        <v>200</v>
      </c>
      <c r="F66" s="20">
        <f>20305</f>
        <v>20305</v>
      </c>
      <c r="G66" s="21">
        <f>10270+5600</f>
        <v>15870</v>
      </c>
      <c r="H66" s="21">
        <f t="shared" si="99"/>
        <v>-4435</v>
      </c>
      <c r="I66" s="22" t="s">
        <v>523</v>
      </c>
      <c r="J66" s="113">
        <v>198</v>
      </c>
      <c r="K66" s="24"/>
      <c r="L66" s="24">
        <v>42941</v>
      </c>
      <c r="M66" s="18" t="s">
        <v>62</v>
      </c>
      <c r="N66" s="19"/>
      <c r="O66" s="3">
        <v>30</v>
      </c>
      <c r="P66" s="31"/>
      <c r="Q66" s="33">
        <v>19800</v>
      </c>
      <c r="R66" s="3">
        <f>65*E66</f>
        <v>13000</v>
      </c>
      <c r="S66" s="27">
        <f>-38*E66</f>
        <v>-7600</v>
      </c>
      <c r="T66" s="27">
        <f t="shared" ref="T66" si="106">X66*F66*0.005</f>
        <v>4064.5185097668559</v>
      </c>
      <c r="U66" s="3">
        <f>E66*5</f>
        <v>1000</v>
      </c>
      <c r="V66" s="19"/>
      <c r="W66" s="3">
        <v>0.3</v>
      </c>
      <c r="X66" s="3">
        <f>((O66*F66)+Q66+R66+S66+U66)/G66</f>
        <v>40.034656584751104</v>
      </c>
      <c r="Y66" s="3">
        <f>((O66*F66)+Q66+R66+S66+T66+U66)/G66+W66</f>
        <v>40.59076991239867</v>
      </c>
      <c r="Z66" s="29">
        <f>Y66*G66</f>
        <v>644175.5185097669</v>
      </c>
      <c r="AA66" s="30">
        <v>42954</v>
      </c>
    </row>
    <row r="67" spans="1:27" s="22" customFormat="1" x14ac:dyDescent="0.25">
      <c r="A67" s="112"/>
      <c r="B67" s="17" t="s">
        <v>41</v>
      </c>
      <c r="C67" s="19" t="s">
        <v>42</v>
      </c>
      <c r="D67" s="18" t="s">
        <v>51</v>
      </c>
      <c r="E67" s="19">
        <v>200</v>
      </c>
      <c r="F67" s="20">
        <v>22830</v>
      </c>
      <c r="G67" s="21">
        <f>11680+6300</f>
        <v>17980</v>
      </c>
      <c r="H67" s="21">
        <f t="shared" si="99"/>
        <v>-4850</v>
      </c>
      <c r="I67" s="22" t="s">
        <v>524</v>
      </c>
      <c r="J67" s="50">
        <v>199</v>
      </c>
      <c r="K67" s="24"/>
      <c r="L67" s="24">
        <v>42942</v>
      </c>
      <c r="M67" s="18" t="s">
        <v>31</v>
      </c>
      <c r="N67" s="19"/>
      <c r="O67" s="3">
        <v>30</v>
      </c>
      <c r="P67" s="31"/>
      <c r="Q67" s="26">
        <v>19800</v>
      </c>
      <c r="R67" s="3">
        <f>65*E67</f>
        <v>13000</v>
      </c>
      <c r="S67" s="27">
        <f>-38*E67</f>
        <v>-7600</v>
      </c>
      <c r="T67" s="27">
        <f>X67*F67*0.0045</f>
        <v>4063.1178253615126</v>
      </c>
      <c r="U67" s="3">
        <f>E67*5</f>
        <v>1000</v>
      </c>
      <c r="V67" s="19"/>
      <c r="W67" s="3">
        <v>0.3</v>
      </c>
      <c r="X67" s="3">
        <f>((O67*F67)+Q67+R67+S67+U67)/G67</f>
        <v>39.549499443826477</v>
      </c>
      <c r="Y67" s="3">
        <f>((O67*F67)+Q67+R67+S67+T67+U67)/G67+W67</f>
        <v>40.075479300631898</v>
      </c>
      <c r="Z67" s="29">
        <f>Y67*G67</f>
        <v>720557.11782536155</v>
      </c>
      <c r="AA67" s="30">
        <v>42955</v>
      </c>
    </row>
    <row r="68" spans="1:27" s="22" customFormat="1" x14ac:dyDescent="0.25">
      <c r="A68" s="112"/>
      <c r="B68" s="17" t="s">
        <v>26</v>
      </c>
      <c r="C68" s="18" t="s">
        <v>33</v>
      </c>
      <c r="D68" s="18" t="s">
        <v>33</v>
      </c>
      <c r="E68" s="19" t="s">
        <v>34</v>
      </c>
      <c r="F68" s="20">
        <f>37666*0.4536</f>
        <v>17085.297600000002</v>
      </c>
      <c r="G68" s="21">
        <v>17085</v>
      </c>
      <c r="H68" s="21">
        <f t="shared" si="99"/>
        <v>-0.29760000000169384</v>
      </c>
      <c r="I68" s="22" t="s">
        <v>525</v>
      </c>
      <c r="J68" s="23" t="s">
        <v>39</v>
      </c>
      <c r="K68" s="24">
        <v>42942</v>
      </c>
      <c r="L68" s="24">
        <v>42943</v>
      </c>
      <c r="M68" s="18" t="s">
        <v>47</v>
      </c>
      <c r="N68" s="18" t="s">
        <v>526</v>
      </c>
      <c r="O68" s="3"/>
      <c r="P68" s="25">
        <f>0.7868+0.105</f>
        <v>0.89180000000000004</v>
      </c>
      <c r="Q68" s="104">
        <v>23000</v>
      </c>
      <c r="R68" s="3">
        <v>9400</v>
      </c>
      <c r="S68" s="51">
        <v>17.619</v>
      </c>
      <c r="T68" s="27">
        <f>X68*F68*0.005</f>
        <v>3131.4319280695859</v>
      </c>
      <c r="V68" s="3">
        <v>0.12</v>
      </c>
      <c r="W68" s="3">
        <v>0.3</v>
      </c>
      <c r="X68" s="3">
        <f t="shared" ref="X68" si="107">IF(O68&gt;0,O68,((P68*2.2046*S68)+(Q68+R68)/G68)+V68)</f>
        <v>36.656451662505255</v>
      </c>
      <c r="Y68" s="3">
        <f t="shared" ref="Y68" si="108">IF(O68&gt;0,O68,((P68*2.2046*S68)+(Q68+R68+T68)/G68)+V68+W68)</f>
        <v>37.139737113372654</v>
      </c>
      <c r="Z68" s="29">
        <f t="shared" ref="Z68" si="109">Y68*F68</f>
        <v>634543.4613677368</v>
      </c>
      <c r="AA68" s="30">
        <v>42936</v>
      </c>
    </row>
    <row r="69" spans="1:27" s="22" customFormat="1" x14ac:dyDescent="0.25">
      <c r="A69" s="112"/>
      <c r="B69" s="17" t="s">
        <v>41</v>
      </c>
      <c r="C69" s="19" t="s">
        <v>42</v>
      </c>
      <c r="D69" s="18" t="s">
        <v>527</v>
      </c>
      <c r="E69" s="19">
        <v>250</v>
      </c>
      <c r="F69" s="20">
        <v>24900</v>
      </c>
      <c r="G69" s="21">
        <f>17780+2300</f>
        <v>20080</v>
      </c>
      <c r="H69" s="21">
        <f t="shared" si="99"/>
        <v>-4820</v>
      </c>
      <c r="I69" s="22" t="s">
        <v>528</v>
      </c>
      <c r="J69" s="114">
        <v>220</v>
      </c>
      <c r="K69" s="24"/>
      <c r="L69" s="24">
        <v>42943</v>
      </c>
      <c r="M69" s="18" t="s">
        <v>47</v>
      </c>
      <c r="N69" s="19"/>
      <c r="O69" s="3">
        <v>30</v>
      </c>
      <c r="P69" s="31"/>
      <c r="Q69" s="33">
        <v>19800</v>
      </c>
      <c r="R69" s="3">
        <f t="shared" ref="R69:R70" si="110">65*E69</f>
        <v>16250</v>
      </c>
      <c r="S69" s="27">
        <f t="shared" ref="S69:S70" si="111">-38*E69</f>
        <v>-9500</v>
      </c>
      <c r="T69" s="27">
        <f t="shared" ref="T69:T70" si="112">X69*F69*0.0045</f>
        <v>4323.5229083665336</v>
      </c>
      <c r="U69" s="3">
        <f t="shared" ref="U69:U70" si="113">E69*5</f>
        <v>1250</v>
      </c>
      <c r="V69" s="19"/>
      <c r="W69" s="3">
        <v>0.3</v>
      </c>
      <c r="X69" s="3">
        <f>((O69*F69)+Q69+R69+S69+U69)/G69</f>
        <v>38.585657370517929</v>
      </c>
      <c r="Y69" s="3">
        <f>((O69*F69)+Q69+R69+S69+T69+U69)/G69+W69</f>
        <v>39.100972256392751</v>
      </c>
      <c r="Z69" s="29">
        <f>Y69*G69</f>
        <v>785147.5229083664</v>
      </c>
      <c r="AA69" s="30">
        <v>42956</v>
      </c>
    </row>
    <row r="70" spans="1:27" s="22" customFormat="1" x14ac:dyDescent="0.25">
      <c r="A70" s="112"/>
      <c r="B70" s="17" t="s">
        <v>41</v>
      </c>
      <c r="C70" s="19" t="s">
        <v>42</v>
      </c>
      <c r="D70" s="18" t="s">
        <v>43</v>
      </c>
      <c r="E70" s="19">
        <f>100</f>
        <v>100</v>
      </c>
      <c r="F70" s="20">
        <f>11340</f>
        <v>11340</v>
      </c>
      <c r="G70" s="21">
        <f>11390-2300</f>
        <v>9090</v>
      </c>
      <c r="H70" s="21">
        <f t="shared" si="99"/>
        <v>-2250</v>
      </c>
      <c r="I70" s="22" t="s">
        <v>529</v>
      </c>
      <c r="J70" s="50">
        <v>130</v>
      </c>
      <c r="K70" s="24"/>
      <c r="L70" s="24">
        <v>42943</v>
      </c>
      <c r="M70" s="18" t="s">
        <v>47</v>
      </c>
      <c r="N70" s="19"/>
      <c r="O70" s="3">
        <v>30</v>
      </c>
      <c r="P70" s="31"/>
      <c r="Q70" s="26">
        <v>15700</v>
      </c>
      <c r="R70" s="3">
        <f t="shared" si="110"/>
        <v>6500</v>
      </c>
      <c r="S70" s="27">
        <f t="shared" si="111"/>
        <v>-3800</v>
      </c>
      <c r="T70" s="27">
        <f t="shared" si="112"/>
        <v>2015.9376237623762</v>
      </c>
      <c r="U70" s="3">
        <f t="shared" si="113"/>
        <v>500</v>
      </c>
      <c r="V70" s="19"/>
      <c r="W70" s="3">
        <v>0.3</v>
      </c>
      <c r="X70" s="3">
        <f t="shared" ref="X70" si="114">((O70*F70)+Q70+R70+S70+U70)/G70</f>
        <v>39.504950495049506</v>
      </c>
      <c r="Y70" s="3">
        <f t="shared" ref="Y70" si="115">((O70*F70)+Q70+R70+S70+T70+U70)/G70+W70</f>
        <v>40.026725811194979</v>
      </c>
      <c r="Z70" s="29">
        <f t="shared" ref="Z70" si="116">Y70*G70</f>
        <v>363842.93762376235</v>
      </c>
      <c r="AA70" s="30">
        <v>42956</v>
      </c>
    </row>
    <row r="71" spans="1:27" s="22" customFormat="1" x14ac:dyDescent="0.25">
      <c r="A71" s="112"/>
      <c r="B71" s="17" t="s">
        <v>26</v>
      </c>
      <c r="C71" s="18" t="s">
        <v>27</v>
      </c>
      <c r="D71" s="18" t="s">
        <v>27</v>
      </c>
      <c r="E71" s="19" t="s">
        <v>34</v>
      </c>
      <c r="F71" s="20">
        <f>41805*0.4536</f>
        <v>18962.748</v>
      </c>
      <c r="G71" s="21">
        <v>18959.21</v>
      </c>
      <c r="H71" s="21">
        <f>G71-F71</f>
        <v>-3.5380000000004657</v>
      </c>
      <c r="I71" s="22" t="s">
        <v>530</v>
      </c>
      <c r="J71" s="23" t="s">
        <v>518</v>
      </c>
      <c r="K71" s="24">
        <v>42943</v>
      </c>
      <c r="L71" s="24">
        <v>42944</v>
      </c>
      <c r="M71" s="18" t="s">
        <v>49</v>
      </c>
      <c r="N71" s="18" t="s">
        <v>531</v>
      </c>
      <c r="O71" s="3"/>
      <c r="P71" s="25">
        <f>0.7868+0.095</f>
        <v>0.88180000000000003</v>
      </c>
      <c r="Q71" s="104">
        <v>23000</v>
      </c>
      <c r="R71" s="3">
        <v>9400</v>
      </c>
      <c r="S71" s="51">
        <v>18</v>
      </c>
      <c r="T71" s="27">
        <f>X71*F71*0.005</f>
        <v>3491.1580541048306</v>
      </c>
      <c r="V71" s="3">
        <v>0.12</v>
      </c>
      <c r="W71" s="3">
        <v>0.3</v>
      </c>
      <c r="X71" s="3">
        <f t="shared" ref="X71" si="117">IF(O71&gt;0,O71,((P71*2.2046*S71)+(Q71+R71)/G71)+V71)</f>
        <v>36.821225004992215</v>
      </c>
      <c r="Y71" s="3">
        <f t="shared" ref="Y71" si="118">IF(O71&gt;0,O71,((P71*2.2046*S71)+(Q71+R71+T71)/G71)+V71+W71)</f>
        <v>37.305365486273068</v>
      </c>
      <c r="Z71" s="29">
        <f t="shared" ref="Z71" si="119">Y71*F71</f>
        <v>707412.24476409366</v>
      </c>
      <c r="AA71" s="30">
        <v>42954</v>
      </c>
    </row>
    <row r="72" spans="1:27" s="22" customFormat="1" x14ac:dyDescent="0.25">
      <c r="A72" s="112"/>
      <c r="B72" s="17" t="s">
        <v>41</v>
      </c>
      <c r="C72" s="19" t="s">
        <v>42</v>
      </c>
      <c r="D72" s="18" t="s">
        <v>51</v>
      </c>
      <c r="E72" s="19">
        <v>232</v>
      </c>
      <c r="F72" s="20">
        <v>26080</v>
      </c>
      <c r="G72" s="21">
        <f>17820+2800</f>
        <v>20620</v>
      </c>
      <c r="H72" s="21">
        <f t="shared" ref="H72:H75" si="120">G72-F72</f>
        <v>-5460</v>
      </c>
      <c r="I72" s="22" t="s">
        <v>532</v>
      </c>
      <c r="J72" s="115">
        <v>200</v>
      </c>
      <c r="K72" s="24"/>
      <c r="L72" s="24">
        <v>42944</v>
      </c>
      <c r="M72" s="18" t="s">
        <v>49</v>
      </c>
      <c r="N72" s="19"/>
      <c r="O72" s="3">
        <v>30</v>
      </c>
      <c r="P72" s="31"/>
      <c r="Q72" s="26">
        <v>19800</v>
      </c>
      <c r="R72" s="3">
        <f t="shared" ref="R72:R73" si="121">65*E72</f>
        <v>15080</v>
      </c>
      <c r="S72" s="27">
        <f t="shared" ref="S72:S73" si="122">-38*E72</f>
        <v>-8816</v>
      </c>
      <c r="T72" s="27">
        <f>X72*F72*0.0045</f>
        <v>4608.0248612997084</v>
      </c>
      <c r="U72" s="3">
        <f>E72*5</f>
        <v>1160</v>
      </c>
      <c r="V72" s="19"/>
      <c r="W72" s="3">
        <v>0.3</v>
      </c>
      <c r="X72" s="3">
        <f>((O72*F72)+Q72+R72+S72+U72)/G72</f>
        <v>39.264015518913673</v>
      </c>
      <c r="Y72" s="3">
        <f t="shared" ref="Y72:Y73" si="123">((O72*F72)+Q72+R72+S72+T72+U72)/G72+W72</f>
        <v>39.787489081537323</v>
      </c>
      <c r="Z72" s="29">
        <f t="shared" ref="Z72:Z73" si="124">Y72*G72</f>
        <v>820418.02486129967</v>
      </c>
      <c r="AA72" s="30">
        <v>42957</v>
      </c>
    </row>
    <row r="73" spans="1:27" s="22" customFormat="1" x14ac:dyDescent="0.25">
      <c r="A73" s="112"/>
      <c r="B73" s="17" t="s">
        <v>41</v>
      </c>
      <c r="C73" s="19" t="s">
        <v>42</v>
      </c>
      <c r="D73" s="18" t="s">
        <v>58</v>
      </c>
      <c r="E73" s="19">
        <v>100</v>
      </c>
      <c r="F73" s="20">
        <v>10930</v>
      </c>
      <c r="G73" s="21">
        <f>11520-2800</f>
        <v>8720</v>
      </c>
      <c r="H73" s="21">
        <f t="shared" si="120"/>
        <v>-2210</v>
      </c>
      <c r="I73" s="18" t="s">
        <v>533</v>
      </c>
      <c r="J73" s="115">
        <v>130</v>
      </c>
      <c r="K73" s="24"/>
      <c r="L73" s="24">
        <v>42944</v>
      </c>
      <c r="M73" s="18" t="s">
        <v>49</v>
      </c>
      <c r="N73" s="19"/>
      <c r="O73" s="3">
        <v>30</v>
      </c>
      <c r="P73" s="31"/>
      <c r="Q73" s="26">
        <v>15700</v>
      </c>
      <c r="R73" s="3">
        <f t="shared" si="121"/>
        <v>6500</v>
      </c>
      <c r="S73" s="27">
        <f t="shared" si="122"/>
        <v>-3800</v>
      </c>
      <c r="T73" s="27">
        <f>X73*F73*0.0045</f>
        <v>1956.1190366972473</v>
      </c>
      <c r="U73" s="3">
        <f>E73*5</f>
        <v>500</v>
      </c>
      <c r="V73" s="19"/>
      <c r="W73" s="3">
        <v>0.3</v>
      </c>
      <c r="X73" s="3">
        <f>((O73*F73)+Q73+R73+S73+U73)/G73</f>
        <v>39.77064220183486</v>
      </c>
      <c r="Y73" s="3">
        <f t="shared" si="123"/>
        <v>40.294967779437755</v>
      </c>
      <c r="Z73" s="29">
        <f t="shared" si="124"/>
        <v>351372.1190366972</v>
      </c>
      <c r="AA73" s="30">
        <v>42957</v>
      </c>
    </row>
    <row r="74" spans="1:27" s="22" customFormat="1" x14ac:dyDescent="0.25">
      <c r="A74" s="112"/>
      <c r="B74" s="17" t="s">
        <v>76</v>
      </c>
      <c r="C74" s="19" t="s">
        <v>33</v>
      </c>
      <c r="D74" s="18" t="s">
        <v>77</v>
      </c>
      <c r="E74" s="19">
        <v>4</v>
      </c>
      <c r="F74" s="20">
        <f>916.3+915.3+932.1+909.4</f>
        <v>3673.1</v>
      </c>
      <c r="G74" s="21">
        <f>916.3+915.3+932.1+909.4</f>
        <v>3673.1</v>
      </c>
      <c r="H74" s="21"/>
      <c r="I74" s="18" t="s">
        <v>534</v>
      </c>
      <c r="J74" s="19" t="s">
        <v>535</v>
      </c>
      <c r="K74" s="24"/>
      <c r="L74" s="24">
        <v>42944</v>
      </c>
      <c r="M74" s="18" t="s">
        <v>49</v>
      </c>
      <c r="N74" s="19"/>
      <c r="O74" s="3">
        <v>19.5</v>
      </c>
      <c r="P74" s="31"/>
      <c r="Q74" s="3"/>
      <c r="R74" s="3"/>
      <c r="S74" s="27"/>
      <c r="T74" s="27"/>
      <c r="U74" s="3">
        <f>E74*5</f>
        <v>20</v>
      </c>
      <c r="V74" s="19"/>
      <c r="W74" s="3"/>
      <c r="X74" s="3"/>
      <c r="Y74" s="3">
        <f>IF(O74&gt;0,O74,((P74*2.2046*S74)+(Q74+R74+T74)/G74)+V74+W74)</f>
        <v>19.5</v>
      </c>
      <c r="Z74" s="29">
        <f>Y74*F74</f>
        <v>71625.45</v>
      </c>
      <c r="AA74" s="30">
        <v>42951</v>
      </c>
    </row>
    <row r="75" spans="1:27" s="22" customFormat="1" x14ac:dyDescent="0.25">
      <c r="A75" s="112"/>
      <c r="B75" s="17" t="s">
        <v>26</v>
      </c>
      <c r="C75" s="18" t="s">
        <v>33</v>
      </c>
      <c r="D75" s="18" t="s">
        <v>33</v>
      </c>
      <c r="E75" s="19" t="s">
        <v>34</v>
      </c>
      <c r="F75" s="20">
        <f>42573*0.4536</f>
        <v>19311.112799999999</v>
      </c>
      <c r="G75" s="21">
        <v>19310.8</v>
      </c>
      <c r="H75" s="21">
        <f t="shared" si="120"/>
        <v>-0.31279999999969732</v>
      </c>
      <c r="I75" s="22" t="s">
        <v>536</v>
      </c>
      <c r="J75" s="23" t="s">
        <v>518</v>
      </c>
      <c r="K75" s="24">
        <v>42944</v>
      </c>
      <c r="L75" s="24">
        <v>42945</v>
      </c>
      <c r="M75" s="18" t="s">
        <v>98</v>
      </c>
      <c r="N75" s="18" t="s">
        <v>537</v>
      </c>
      <c r="O75" s="3"/>
      <c r="P75" s="25">
        <f>0.7524+0.105</f>
        <v>0.85739999999999994</v>
      </c>
      <c r="Q75" s="104">
        <v>23000</v>
      </c>
      <c r="R75" s="3">
        <v>9400</v>
      </c>
      <c r="S75" s="51">
        <v>17.529</v>
      </c>
      <c r="T75" s="27">
        <f t="shared" ref="T75" si="125">X75*F75*0.005</f>
        <v>3372.8359742862795</v>
      </c>
      <c r="V75" s="3">
        <v>0.12</v>
      </c>
      <c r="W75" s="3">
        <v>0.3</v>
      </c>
      <c r="X75" s="3">
        <f t="shared" ref="X75" si="126">IF(O75&gt;0,O75,((P75*2.2046*S75)+(Q75+R75)/G75)+V75)</f>
        <v>34.931554791459554</v>
      </c>
      <c r="Y75" s="3">
        <f>IF(O75&gt;0,O75,((P75*2.2046*S75)+(Q75+R75+T75)/G75)+V75+W75)</f>
        <v>35.40621539455659</v>
      </c>
      <c r="Z75" s="29">
        <f>Y75*F75</f>
        <v>683733.4193053788</v>
      </c>
      <c r="AA75" s="30">
        <v>42940</v>
      </c>
    </row>
    <row r="76" spans="1:27" s="22" customFormat="1" ht="15.75" thickBot="1" x14ac:dyDescent="0.3">
      <c r="A76" s="116"/>
      <c r="B76" s="34"/>
      <c r="C76" s="6"/>
      <c r="D76" s="6"/>
      <c r="E76" s="6"/>
      <c r="F76" s="35"/>
      <c r="G76" s="35"/>
      <c r="H76" s="35"/>
      <c r="I76" s="9"/>
      <c r="J76" s="6"/>
      <c r="K76" s="10"/>
      <c r="L76" s="10"/>
      <c r="M76" s="6"/>
      <c r="N76" s="6"/>
      <c r="O76" s="11"/>
      <c r="P76" s="12"/>
      <c r="Q76" s="11"/>
      <c r="R76" s="11"/>
      <c r="S76" s="11"/>
      <c r="T76" s="11"/>
      <c r="U76" s="11"/>
      <c r="V76" s="11"/>
      <c r="W76" s="11"/>
      <c r="X76" s="11"/>
      <c r="Y76" s="11"/>
      <c r="Z76" s="15"/>
      <c r="AA76" s="36"/>
    </row>
    <row r="77" spans="1:27" s="22" customFormat="1" x14ac:dyDescent="0.25">
      <c r="A77" s="75"/>
      <c r="B77" s="38" t="s">
        <v>41</v>
      </c>
      <c r="C77" s="38" t="s">
        <v>42</v>
      </c>
      <c r="D77" s="39" t="s">
        <v>51</v>
      </c>
      <c r="E77" s="38">
        <v>130</v>
      </c>
      <c r="F77" s="40">
        <f>13915-100</f>
        <v>13815</v>
      </c>
      <c r="G77" s="41">
        <f>7430+3390</f>
        <v>10820</v>
      </c>
      <c r="H77" s="21">
        <f t="shared" ref="H77:H79" si="127">G77-F77</f>
        <v>-2995</v>
      </c>
      <c r="I77" s="39" t="s">
        <v>538</v>
      </c>
      <c r="J77" s="108">
        <v>129</v>
      </c>
      <c r="K77" s="42"/>
      <c r="L77" s="42">
        <v>42946</v>
      </c>
      <c r="M77" s="39" t="s">
        <v>57</v>
      </c>
      <c r="N77" s="38"/>
      <c r="O77" s="43">
        <v>30</v>
      </c>
      <c r="P77" s="44"/>
      <c r="Q77" s="57">
        <v>15700</v>
      </c>
      <c r="R77" s="43">
        <f t="shared" ref="R77:R78" si="128">65*E77</f>
        <v>8450</v>
      </c>
      <c r="S77" s="43">
        <f t="shared" ref="S77:S78" si="129">-38*E77</f>
        <v>-4940</v>
      </c>
      <c r="T77" s="46">
        <f>X77*F77*0.0045</f>
        <v>2495.3758710720881</v>
      </c>
      <c r="U77" s="43">
        <f>E77*5</f>
        <v>650</v>
      </c>
      <c r="V77" s="38"/>
      <c r="W77" s="43">
        <v>0.3</v>
      </c>
      <c r="X77" s="43">
        <f>((O77*F77)+Q77+R77+S77+U77)/G77</f>
        <v>40.139556377079479</v>
      </c>
      <c r="Y77" s="47">
        <f t="shared" ref="Y77:Y78" si="130">((O77*F77)+Q77+R77+S77+T77+U77)/G77+W77</f>
        <v>40.670182612853246</v>
      </c>
      <c r="Z77" s="47">
        <f>Y77*G77</f>
        <v>440051.37587107212</v>
      </c>
      <c r="AA77" s="48">
        <v>42961</v>
      </c>
    </row>
    <row r="78" spans="1:27" s="22" customFormat="1" x14ac:dyDescent="0.25">
      <c r="A78" s="76"/>
      <c r="B78" s="17" t="s">
        <v>41</v>
      </c>
      <c r="C78" s="19" t="s">
        <v>42</v>
      </c>
      <c r="D78" s="18" t="s">
        <v>539</v>
      </c>
      <c r="E78" s="19">
        <v>199</v>
      </c>
      <c r="F78" s="20">
        <v>21055</v>
      </c>
      <c r="G78" s="21">
        <f>9930+6780</f>
        <v>16710</v>
      </c>
      <c r="H78" s="21">
        <f t="shared" si="127"/>
        <v>-4345</v>
      </c>
      <c r="I78" s="18" t="s">
        <v>540</v>
      </c>
      <c r="J78" s="19"/>
      <c r="K78" s="24"/>
      <c r="L78" s="24">
        <v>42947</v>
      </c>
      <c r="M78" s="18" t="s">
        <v>60</v>
      </c>
      <c r="N78" s="19"/>
      <c r="O78" s="3">
        <v>30</v>
      </c>
      <c r="P78" s="31"/>
      <c r="Q78" s="33">
        <v>19800</v>
      </c>
      <c r="R78" s="3">
        <f t="shared" si="128"/>
        <v>12935</v>
      </c>
      <c r="S78" s="27">
        <f t="shared" si="129"/>
        <v>-7562</v>
      </c>
      <c r="T78" s="27">
        <f>X78*F78*0.0045</f>
        <v>3729.8989201077197</v>
      </c>
      <c r="U78" s="3">
        <f>E78*5</f>
        <v>995</v>
      </c>
      <c r="V78" s="19"/>
      <c r="W78" s="3">
        <v>0.3</v>
      </c>
      <c r="X78" s="3">
        <f>((O78*F78)+Q78+R78+S78+U78)/G78</f>
        <v>39.366726511071214</v>
      </c>
      <c r="Y78" s="3">
        <f t="shared" si="130"/>
        <v>39.889940090969944</v>
      </c>
      <c r="Z78" s="29">
        <f>Y78*G78</f>
        <v>666560.89892010775</v>
      </c>
      <c r="AA78" s="30">
        <v>42961</v>
      </c>
    </row>
    <row r="79" spans="1:27" s="22" customFormat="1" x14ac:dyDescent="0.25">
      <c r="A79" s="76"/>
      <c r="B79" s="17" t="s">
        <v>126</v>
      </c>
      <c r="C79" s="19" t="s">
        <v>541</v>
      </c>
      <c r="D79" s="18" t="s">
        <v>89</v>
      </c>
      <c r="E79" s="19" t="s">
        <v>542</v>
      </c>
      <c r="F79" s="20">
        <v>17575.556</v>
      </c>
      <c r="G79" s="21">
        <v>17565.830000000002</v>
      </c>
      <c r="H79" s="21">
        <f t="shared" si="127"/>
        <v>-9.7259999999987485</v>
      </c>
      <c r="I79" s="18" t="s">
        <v>543</v>
      </c>
      <c r="J79" s="19"/>
      <c r="K79" s="24"/>
      <c r="L79" s="24">
        <v>42947</v>
      </c>
      <c r="M79" s="18" t="s">
        <v>60</v>
      </c>
      <c r="N79" s="19"/>
      <c r="O79" s="3">
        <v>86.5</v>
      </c>
      <c r="P79" s="31"/>
      <c r="Q79" s="3"/>
      <c r="R79" s="3"/>
      <c r="S79" s="27"/>
      <c r="T79" s="27"/>
      <c r="U79" s="3"/>
      <c r="V79" s="3"/>
      <c r="W79" s="3"/>
      <c r="X79" s="3">
        <f t="shared" ref="X79" si="131">IF(O79&gt;0,O79,((P79*2.2046*S79)+(Q79+R79)/G79)+V79)</f>
        <v>86.5</v>
      </c>
      <c r="Y79" s="3">
        <f t="shared" ref="Y79" si="132">IF(O79&gt;0,O79,((P79*2.2046*S79)+(Q79+R79+T79)/G79)+V79+W79)</f>
        <v>86.5</v>
      </c>
      <c r="Z79" s="29">
        <f t="shared" ref="Z79" si="133">Y79*F79</f>
        <v>1520285.594</v>
      </c>
      <c r="AA79" s="30">
        <v>42965</v>
      </c>
    </row>
    <row r="80" spans="1:27" ht="15.75" thickBot="1" x14ac:dyDescent="0.3">
      <c r="A80" s="117"/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9"/>
    </row>
  </sheetData>
  <pageMargins left="0.31496062992125984" right="0.11811023622047245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94"/>
  <sheetViews>
    <sheetView workbookViewId="0">
      <selection activeCell="Y3" sqref="Y3"/>
    </sheetView>
  </sheetViews>
  <sheetFormatPr baseColWidth="10" defaultRowHeight="15" x14ac:dyDescent="0.25"/>
  <cols>
    <col min="1" max="1" width="5" customWidth="1"/>
    <col min="2" max="2" width="16.42578125" customWidth="1"/>
    <col min="4" max="4" width="19.85546875" customWidth="1"/>
    <col min="5" max="5" width="10.140625" customWidth="1"/>
    <col min="8" max="8" width="11.140625" bestFit="1" customWidth="1"/>
    <col min="9" max="9" width="14" customWidth="1"/>
    <col min="10" max="11" width="0" hidden="1" customWidth="1"/>
    <col min="13" max="13" width="4" bestFit="1" customWidth="1"/>
    <col min="14" max="14" width="7.5703125" hidden="1" customWidth="1"/>
    <col min="15" max="15" width="9.5703125" hidden="1" customWidth="1"/>
    <col min="16" max="21" width="0" hidden="1" customWidth="1"/>
    <col min="22" max="22" width="6.140625" hidden="1" customWidth="1"/>
    <col min="23" max="23" width="8.5703125" hidden="1" customWidth="1"/>
    <col min="24" max="24" width="0.140625" hidden="1" customWidth="1"/>
    <col min="26" max="26" width="15.42578125" customWidth="1"/>
  </cols>
  <sheetData>
    <row r="2" spans="1:27" x14ac:dyDescent="0.25">
      <c r="A2" s="1" t="s">
        <v>544</v>
      </c>
      <c r="S2" s="2"/>
      <c r="W2" s="3"/>
      <c r="Z2" s="4"/>
    </row>
    <row r="3" spans="1:27" ht="30.75" thickBot="1" x14ac:dyDescent="0.3">
      <c r="A3" s="5"/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 t="s">
        <v>7</v>
      </c>
      <c r="I3" s="9" t="s">
        <v>8</v>
      </c>
      <c r="J3" s="6" t="s">
        <v>9</v>
      </c>
      <c r="K3" s="10" t="s">
        <v>10</v>
      </c>
      <c r="L3" s="10" t="s">
        <v>11</v>
      </c>
      <c r="M3" s="6" t="s">
        <v>12</v>
      </c>
      <c r="N3" s="6" t="s">
        <v>13</v>
      </c>
      <c r="O3" s="11" t="s">
        <v>14</v>
      </c>
      <c r="P3" s="12" t="s">
        <v>15</v>
      </c>
      <c r="Q3" s="11" t="s">
        <v>16</v>
      </c>
      <c r="R3" s="13" t="s">
        <v>17</v>
      </c>
      <c r="S3" s="13" t="s">
        <v>18</v>
      </c>
      <c r="T3" s="14" t="s">
        <v>19</v>
      </c>
      <c r="U3" s="11" t="s">
        <v>20</v>
      </c>
      <c r="V3" s="11" t="s">
        <v>21</v>
      </c>
      <c r="W3" s="14" t="s">
        <v>22</v>
      </c>
      <c r="X3" s="11" t="s">
        <v>23</v>
      </c>
      <c r="Y3" s="11" t="s">
        <v>24</v>
      </c>
      <c r="Z3" s="15" t="s">
        <v>25</v>
      </c>
      <c r="AA3" s="11"/>
    </row>
    <row r="4" spans="1:27" s="22" customFormat="1" x14ac:dyDescent="0.25">
      <c r="A4" s="109"/>
      <c r="B4" s="17" t="s">
        <v>26</v>
      </c>
      <c r="C4" s="18" t="s">
        <v>27</v>
      </c>
      <c r="D4" s="18" t="s">
        <v>27</v>
      </c>
      <c r="E4" s="19" t="s">
        <v>34</v>
      </c>
      <c r="F4" s="20">
        <f>41008*0.4536</f>
        <v>18601.228800000001</v>
      </c>
      <c r="G4" s="21">
        <v>18597.75</v>
      </c>
      <c r="H4" s="21">
        <f>G4-F4</f>
        <v>-3.4788000000007742</v>
      </c>
      <c r="I4" s="22" t="s">
        <v>545</v>
      </c>
      <c r="J4" s="23" t="s">
        <v>518</v>
      </c>
      <c r="K4" s="24">
        <v>42947</v>
      </c>
      <c r="L4" s="24">
        <v>42948</v>
      </c>
      <c r="M4" s="18" t="s">
        <v>62</v>
      </c>
      <c r="N4" s="18" t="s">
        <v>546</v>
      </c>
      <c r="O4" s="3"/>
      <c r="P4" s="25">
        <f>0.7287+0.095</f>
        <v>0.82369999999999999</v>
      </c>
      <c r="Q4" s="26">
        <v>23000</v>
      </c>
      <c r="R4" s="3">
        <v>9400</v>
      </c>
      <c r="S4" s="51">
        <v>17.899999999999999</v>
      </c>
      <c r="T4" s="28">
        <f>X4*F4*0.005</f>
        <v>3196.3677912808689</v>
      </c>
      <c r="V4" s="3">
        <v>0.12</v>
      </c>
      <c r="W4" s="3">
        <v>0.3</v>
      </c>
      <c r="X4" s="3">
        <f>IF(O4&gt;0,O4,((P4*2.2046*S4)+(Q4+R4)/G4)+V4)</f>
        <v>34.367275685366209</v>
      </c>
      <c r="Y4" s="3">
        <f t="shared" ref="Y4:Y5" si="0">IF(O4&gt;0,O4,((P4*2.2046*S4)+(Q4+R4+T4)/G4)+V4+W4)</f>
        <v>34.839144206627161</v>
      </c>
      <c r="Z4" s="29">
        <f>Y4*F4</f>
        <v>648050.89258366637</v>
      </c>
      <c r="AA4" s="30">
        <v>41865</v>
      </c>
    </row>
    <row r="5" spans="1:27" s="22" customFormat="1" x14ac:dyDescent="0.25">
      <c r="A5" s="109"/>
      <c r="B5" s="17" t="s">
        <v>26</v>
      </c>
      <c r="C5" s="18" t="s">
        <v>37</v>
      </c>
      <c r="D5" s="18" t="s">
        <v>37</v>
      </c>
      <c r="E5" s="19" t="s">
        <v>28</v>
      </c>
      <c r="F5" s="20">
        <f>41713*0.4536</f>
        <v>18921.016800000001</v>
      </c>
      <c r="G5" s="21">
        <v>18920.62</v>
      </c>
      <c r="H5" s="21">
        <f>G5-F5</f>
        <v>-0.39680000000225846</v>
      </c>
      <c r="I5" s="22" t="s">
        <v>547</v>
      </c>
      <c r="J5" s="23" t="s">
        <v>518</v>
      </c>
      <c r="K5" s="24">
        <v>42947</v>
      </c>
      <c r="L5" s="24">
        <v>42948</v>
      </c>
      <c r="M5" s="18" t="s">
        <v>62</v>
      </c>
      <c r="N5" s="18" t="s">
        <v>548</v>
      </c>
      <c r="O5" s="3"/>
      <c r="P5" s="25">
        <f>0.7492+0.095</f>
        <v>0.84419999999999995</v>
      </c>
      <c r="Q5" s="26">
        <v>23000</v>
      </c>
      <c r="R5" s="3">
        <v>9400</v>
      </c>
      <c r="S5" s="51">
        <v>17.529</v>
      </c>
      <c r="T5" s="28">
        <f>X5*F5*0.005</f>
        <v>3259.7173280306824</v>
      </c>
      <c r="V5" s="3">
        <v>0.12</v>
      </c>
      <c r="W5" s="3">
        <v>0.3</v>
      </c>
      <c r="X5" s="3">
        <f t="shared" ref="X5" si="1">IF(O5&gt;0,O5,((P5*2.2046*S5)+(Q5+R5)/G5)+V5)</f>
        <v>34.456048134058868</v>
      </c>
      <c r="Y5" s="3">
        <f t="shared" si="0"/>
        <v>34.928331987760842</v>
      </c>
      <c r="Z5" s="29">
        <f t="shared" ref="Z5" si="2">Y5*F5</f>
        <v>660879.55633640033</v>
      </c>
      <c r="AA5" s="30">
        <v>42941</v>
      </c>
    </row>
    <row r="6" spans="1:27" s="22" customFormat="1" x14ac:dyDescent="0.25">
      <c r="A6" s="109"/>
      <c r="B6" s="17" t="s">
        <v>41</v>
      </c>
      <c r="C6" s="19" t="s">
        <v>42</v>
      </c>
      <c r="D6" s="18" t="s">
        <v>51</v>
      </c>
      <c r="E6" s="19">
        <v>200</v>
      </c>
      <c r="F6" s="20">
        <f>21445-100</f>
        <v>21345</v>
      </c>
      <c r="G6" s="21">
        <f>10770+5900</f>
        <v>16670</v>
      </c>
      <c r="H6" s="21">
        <f>G6-F6</f>
        <v>-4675</v>
      </c>
      <c r="I6" s="22" t="s">
        <v>549</v>
      </c>
      <c r="J6" s="115">
        <v>199</v>
      </c>
      <c r="K6" s="24"/>
      <c r="L6" s="24">
        <v>42948</v>
      </c>
      <c r="M6" s="18" t="s">
        <v>62</v>
      </c>
      <c r="N6" s="19"/>
      <c r="O6" s="3">
        <v>30</v>
      </c>
      <c r="P6" s="31"/>
      <c r="Q6" s="26">
        <v>19800</v>
      </c>
      <c r="R6" s="3">
        <f>65*E6</f>
        <v>13000</v>
      </c>
      <c r="S6" s="32">
        <f>-38*E6</f>
        <v>-7600</v>
      </c>
      <c r="T6" s="28">
        <f t="shared" ref="T6" si="3">X6*F6*0.005</f>
        <v>4267.3994451109784</v>
      </c>
      <c r="U6" s="3">
        <f>E6*5</f>
        <v>1000</v>
      </c>
      <c r="V6" s="19"/>
      <c r="W6" s="3">
        <v>0.3</v>
      </c>
      <c r="X6" s="3">
        <f>((O6*F6)+Q6+R6+S6+U6)/G6</f>
        <v>39.985002999400123</v>
      </c>
      <c r="Y6" s="3">
        <f>((O6*F6)+Q6+R6+S6+T6+U6)/G6+W6</f>
        <v>40.540995767553142</v>
      </c>
      <c r="Z6" s="29">
        <f>Y6*G6</f>
        <v>675818.39944511082</v>
      </c>
      <c r="AA6" s="30">
        <v>42961</v>
      </c>
    </row>
    <row r="7" spans="1:27" s="22" customFormat="1" x14ac:dyDescent="0.25">
      <c r="A7" s="109"/>
      <c r="B7" s="17" t="s">
        <v>26</v>
      </c>
      <c r="C7" s="18" t="s">
        <v>37</v>
      </c>
      <c r="D7" s="18" t="s">
        <v>37</v>
      </c>
      <c r="E7" s="19" t="s">
        <v>28</v>
      </c>
      <c r="F7" s="20">
        <f>40870*0.4536</f>
        <v>18538.632000000001</v>
      </c>
      <c r="G7" s="21">
        <v>18538.2</v>
      </c>
      <c r="H7" s="21">
        <f>G7-F7</f>
        <v>-0.43200000000069849</v>
      </c>
      <c r="I7" s="22" t="s">
        <v>550</v>
      </c>
      <c r="J7" s="23" t="s">
        <v>39</v>
      </c>
      <c r="K7" s="24">
        <v>42948</v>
      </c>
      <c r="L7" s="24">
        <v>42949</v>
      </c>
      <c r="M7" s="18" t="s">
        <v>31</v>
      </c>
      <c r="N7" s="18" t="s">
        <v>546</v>
      </c>
      <c r="O7" s="3"/>
      <c r="P7" s="25">
        <f>0.7287+0.095</f>
        <v>0.82369999999999999</v>
      </c>
      <c r="Q7" s="26">
        <v>23000</v>
      </c>
      <c r="R7" s="3">
        <v>9400</v>
      </c>
      <c r="S7" s="51">
        <v>17.565999999999999</v>
      </c>
      <c r="T7" s="28">
        <f>X7*F7*0.005</f>
        <v>3129.9098374622718</v>
      </c>
      <c r="V7" s="3">
        <v>0.12</v>
      </c>
      <c r="W7" s="3">
        <v>0.3</v>
      </c>
      <c r="X7" s="3">
        <f t="shared" ref="X7" si="4">IF(O7&gt;0,O7,((P7*2.2046*S7)+(Q7+R7)/G7)+V7)</f>
        <v>33.766351664591774</v>
      </c>
      <c r="Y7" s="3">
        <f t="shared" ref="Y7" si="5">IF(O7&gt;0,O7,((P7*2.2046*S7)+(Q7+R7+T7)/G7)+V7+W7)</f>
        <v>34.235187357240584</v>
      </c>
      <c r="Z7" s="29">
        <f t="shared" ref="Z7" si="6">Y7*F7</f>
        <v>634673.53986693581</v>
      </c>
      <c r="AA7" s="30">
        <v>42942</v>
      </c>
    </row>
    <row r="8" spans="1:27" s="22" customFormat="1" x14ac:dyDescent="0.25">
      <c r="A8" s="109"/>
      <c r="B8" s="17" t="s">
        <v>41</v>
      </c>
      <c r="C8" s="19" t="s">
        <v>42</v>
      </c>
      <c r="D8" s="18" t="s">
        <v>51</v>
      </c>
      <c r="E8" s="19">
        <v>198</v>
      </c>
      <c r="F8" s="20">
        <v>21640</v>
      </c>
      <c r="G8" s="21">
        <f>10950+6000</f>
        <v>16950</v>
      </c>
      <c r="H8" s="21">
        <f t="shared" ref="H8" si="7">G8-F8</f>
        <v>-4690</v>
      </c>
      <c r="I8" s="22" t="s">
        <v>551</v>
      </c>
      <c r="J8" s="19"/>
      <c r="K8" s="24"/>
      <c r="L8" s="24">
        <v>42949</v>
      </c>
      <c r="M8" s="18" t="s">
        <v>31</v>
      </c>
      <c r="N8" s="19"/>
      <c r="O8" s="3">
        <v>30</v>
      </c>
      <c r="P8" s="31"/>
      <c r="Q8" s="33">
        <v>19800</v>
      </c>
      <c r="R8" s="3">
        <f>65*E8</f>
        <v>12870</v>
      </c>
      <c r="S8" s="27">
        <f>-38*E8</f>
        <v>-7524</v>
      </c>
      <c r="T8" s="28">
        <f>X8*F8*0.0045</f>
        <v>3879.8949663716812</v>
      </c>
      <c r="U8" s="3">
        <f>E8*5</f>
        <v>990</v>
      </c>
      <c r="V8" s="19"/>
      <c r="W8" s="3">
        <v>0.3</v>
      </c>
      <c r="X8" s="3">
        <f>((O8*F8)+Q8+R8+S8+U8)/G8</f>
        <v>39.842831858407081</v>
      </c>
      <c r="Y8" s="3">
        <f t="shared" ref="Y8" si="8">((O8*F8)+Q8+R8+S8+T8+U8)/G8+W8</f>
        <v>40.371734216305114</v>
      </c>
      <c r="Z8" s="29">
        <f>Y8*G8</f>
        <v>684300.89496637171</v>
      </c>
      <c r="AA8" s="30">
        <v>42962</v>
      </c>
    </row>
    <row r="9" spans="1:27" s="22" customFormat="1" x14ac:dyDescent="0.25">
      <c r="A9" s="109"/>
      <c r="B9" s="17" t="s">
        <v>26</v>
      </c>
      <c r="C9" s="18" t="s">
        <v>33</v>
      </c>
      <c r="D9" s="18" t="s">
        <v>33</v>
      </c>
      <c r="E9" s="19" t="s">
        <v>34</v>
      </c>
      <c r="F9" s="20">
        <f>42209*0.4536</f>
        <v>19146.002400000001</v>
      </c>
      <c r="G9" s="21">
        <v>18972.400000000001</v>
      </c>
      <c r="H9" s="21">
        <f>G9-F9</f>
        <v>-173.60239999999976</v>
      </c>
      <c r="I9" s="22" t="s">
        <v>552</v>
      </c>
      <c r="J9" s="23" t="s">
        <v>518</v>
      </c>
      <c r="K9" s="24">
        <v>42949</v>
      </c>
      <c r="L9" s="24">
        <v>42952</v>
      </c>
      <c r="M9" s="18" t="s">
        <v>98</v>
      </c>
      <c r="N9" s="18" t="s">
        <v>553</v>
      </c>
      <c r="O9" s="3"/>
      <c r="P9" s="25">
        <f>0.7354+0.105</f>
        <v>0.84040000000000004</v>
      </c>
      <c r="Q9" s="26">
        <v>23000</v>
      </c>
      <c r="R9" s="3">
        <v>9400</v>
      </c>
      <c r="S9" s="51">
        <v>17.597999999999999</v>
      </c>
      <c r="T9" s="28">
        <f>X9*F9*0.005</f>
        <v>3296.2107311905229</v>
      </c>
      <c r="V9" s="3">
        <v>0.12</v>
      </c>
      <c r="W9" s="3">
        <v>0.3</v>
      </c>
      <c r="X9" s="3">
        <f t="shared" ref="X9" si="9">IF(O9&gt;0,O9,((P9*2.2046*S9)+(Q9+R9)/G9)+V9)</f>
        <v>34.432365172904426</v>
      </c>
      <c r="Y9" s="3">
        <f t="shared" ref="Y9" si="10">IF(O9&gt;0,O9,((P9*2.2046*S9)+(Q9+R9+T9)/G9)+V9+W9)</f>
        <v>34.906102324302793</v>
      </c>
      <c r="Z9" s="29">
        <f t="shared" ref="Z9" si="11">Y9*F9</f>
        <v>668312.31887574692</v>
      </c>
      <c r="AA9" s="30">
        <v>42943</v>
      </c>
    </row>
    <row r="10" spans="1:27" s="22" customFormat="1" x14ac:dyDescent="0.25">
      <c r="A10" s="109"/>
      <c r="B10" s="17" t="s">
        <v>41</v>
      </c>
      <c r="C10" s="19" t="s">
        <v>42</v>
      </c>
      <c r="D10" s="18" t="s">
        <v>45</v>
      </c>
      <c r="E10" s="19">
        <v>230</v>
      </c>
      <c r="F10" s="20">
        <v>24750</v>
      </c>
      <c r="G10" s="21">
        <f>16870+2400</f>
        <v>19270</v>
      </c>
      <c r="H10" s="21">
        <f t="shared" ref="H10:H11" si="12">G10-F10</f>
        <v>-5480</v>
      </c>
      <c r="I10" s="22" t="s">
        <v>554</v>
      </c>
      <c r="J10" s="50">
        <v>200</v>
      </c>
      <c r="K10" s="24"/>
      <c r="L10" s="24">
        <v>42950</v>
      </c>
      <c r="M10" s="18" t="s">
        <v>47</v>
      </c>
      <c r="N10" s="19"/>
      <c r="O10" s="3">
        <v>30</v>
      </c>
      <c r="P10" s="31"/>
      <c r="Q10" s="26">
        <v>19800</v>
      </c>
      <c r="R10" s="3">
        <f t="shared" ref="R10:R11" si="13">65*E10</f>
        <v>14950</v>
      </c>
      <c r="S10" s="27">
        <f t="shared" ref="S10:S11" si="14">-38*E10</f>
        <v>-8740</v>
      </c>
      <c r="T10" s="28">
        <f t="shared" ref="T10:T11" si="15">X10*F10*0.0045</f>
        <v>4448.4111312921632</v>
      </c>
      <c r="U10" s="3">
        <f t="shared" ref="U10:U11" si="16">E10*5</f>
        <v>1150</v>
      </c>
      <c r="V10" s="19"/>
      <c r="W10" s="3">
        <v>0.3</v>
      </c>
      <c r="X10" s="3">
        <f t="shared" ref="X10:X11" si="17">((O10*F10)+Q10+R10+S10+U10)/G10</f>
        <v>39.940840685002591</v>
      </c>
      <c r="Y10" s="3">
        <f t="shared" ref="Y10:Y11" si="18">((O10*F10)+Q10+R10+S10+T10+U10)/G10+W10</f>
        <v>40.471687137067569</v>
      </c>
      <c r="Z10" s="29">
        <f t="shared" ref="Z10:Z11" si="19">Y10*G10</f>
        <v>779889.411131292</v>
      </c>
      <c r="AA10" s="30">
        <v>42963</v>
      </c>
    </row>
    <row r="11" spans="1:27" s="22" customFormat="1" x14ac:dyDescent="0.25">
      <c r="A11" s="109"/>
      <c r="B11" s="17" t="s">
        <v>41</v>
      </c>
      <c r="C11" s="19" t="s">
        <v>42</v>
      </c>
      <c r="D11" s="18" t="s">
        <v>51</v>
      </c>
      <c r="E11" s="19">
        <v>100</v>
      </c>
      <c r="F11" s="20">
        <v>10570</v>
      </c>
      <c r="G11" s="21">
        <f>10860-2400</f>
        <v>8460</v>
      </c>
      <c r="H11" s="21">
        <f t="shared" si="12"/>
        <v>-2110</v>
      </c>
      <c r="I11" s="22" t="s">
        <v>555</v>
      </c>
      <c r="J11" s="50">
        <v>130</v>
      </c>
      <c r="K11" s="24"/>
      <c r="L11" s="24">
        <v>42950</v>
      </c>
      <c r="M11" s="18" t="s">
        <v>47</v>
      </c>
      <c r="N11" s="19"/>
      <c r="O11" s="3">
        <v>30</v>
      </c>
      <c r="P11" s="31"/>
      <c r="Q11" s="26">
        <v>15700</v>
      </c>
      <c r="R11" s="3">
        <f t="shared" si="13"/>
        <v>6500</v>
      </c>
      <c r="S11" s="27">
        <f t="shared" si="14"/>
        <v>-3800</v>
      </c>
      <c r="T11" s="28">
        <f t="shared" si="15"/>
        <v>1889.1063829787231</v>
      </c>
      <c r="U11" s="3">
        <f t="shared" si="16"/>
        <v>500</v>
      </c>
      <c r="V11" s="19"/>
      <c r="W11" s="3">
        <v>0.3</v>
      </c>
      <c r="X11" s="3">
        <f t="shared" si="17"/>
        <v>39.716312056737586</v>
      </c>
      <c r="Y11" s="3">
        <f t="shared" si="18"/>
        <v>40.239610683567221</v>
      </c>
      <c r="Z11" s="29">
        <f t="shared" si="19"/>
        <v>340427.10638297867</v>
      </c>
      <c r="AA11" s="30">
        <v>42963</v>
      </c>
    </row>
    <row r="12" spans="1:27" s="22" customFormat="1" x14ac:dyDescent="0.25">
      <c r="A12" s="109"/>
      <c r="B12" s="17" t="s">
        <v>26</v>
      </c>
      <c r="C12" s="18" t="s">
        <v>27</v>
      </c>
      <c r="D12" s="18" t="s">
        <v>27</v>
      </c>
      <c r="E12" s="19" t="s">
        <v>34</v>
      </c>
      <c r="F12" s="20">
        <f>41617*0.4536</f>
        <v>18877.4712</v>
      </c>
      <c r="G12" s="21">
        <v>18835.98</v>
      </c>
      <c r="H12" s="21">
        <f>G12-F12</f>
        <v>-41.49120000000039</v>
      </c>
      <c r="I12" s="22" t="s">
        <v>556</v>
      </c>
      <c r="J12" s="23" t="s">
        <v>518</v>
      </c>
      <c r="K12" s="24">
        <v>42950</v>
      </c>
      <c r="L12" s="24">
        <v>42951</v>
      </c>
      <c r="M12" s="18" t="s">
        <v>49</v>
      </c>
      <c r="N12" s="18" t="s">
        <v>557</v>
      </c>
      <c r="O12" s="3"/>
      <c r="P12" s="25">
        <f>0.7354+0.1</f>
        <v>0.83540000000000003</v>
      </c>
      <c r="Q12" s="26">
        <v>23000</v>
      </c>
      <c r="R12" s="3">
        <v>9400</v>
      </c>
      <c r="S12" s="51">
        <v>17.933</v>
      </c>
      <c r="T12" s="28">
        <f>X12*F12*0.005</f>
        <v>3291.0726502643979</v>
      </c>
      <c r="V12" s="3">
        <v>0.12</v>
      </c>
      <c r="W12" s="3">
        <v>0.3</v>
      </c>
      <c r="X12" s="3">
        <f t="shared" ref="X12" si="20">IF(O12&gt;0,O12,((P12*2.2046*S12)+(Q12+R12)/G12)+V12)</f>
        <v>34.867727942971491</v>
      </c>
      <c r="Y12" s="3">
        <f t="shared" ref="Y12" si="21">IF(O12&gt;0,O12,((P12*2.2046*S12)+(Q12+R12+T12)/G12)+V12+W12)</f>
        <v>35.342450609393111</v>
      </c>
      <c r="Z12" s="29">
        <f t="shared" ref="Z12" si="22">Y12*F12</f>
        <v>667176.09351624094</v>
      </c>
      <c r="AA12" s="30">
        <v>42962</v>
      </c>
    </row>
    <row r="13" spans="1:27" s="22" customFormat="1" x14ac:dyDescent="0.25">
      <c r="A13" s="109"/>
      <c r="B13" s="17" t="s">
        <v>41</v>
      </c>
      <c r="C13" s="19" t="s">
        <v>42</v>
      </c>
      <c r="D13" s="18" t="s">
        <v>558</v>
      </c>
      <c r="E13" s="19">
        <v>200</v>
      </c>
      <c r="F13" s="20">
        <v>20695</v>
      </c>
      <c r="G13" s="21">
        <f>16770-600</f>
        <v>16170</v>
      </c>
      <c r="H13" s="21">
        <f t="shared" ref="H13:H15" si="23">G13-F13</f>
        <v>-4525</v>
      </c>
      <c r="I13" s="22" t="s">
        <v>559</v>
      </c>
      <c r="J13" s="19"/>
      <c r="K13" s="24"/>
      <c r="L13" s="24">
        <v>42951</v>
      </c>
      <c r="M13" s="18" t="s">
        <v>49</v>
      </c>
      <c r="N13" s="19"/>
      <c r="O13" s="3">
        <v>30</v>
      </c>
      <c r="P13" s="31"/>
      <c r="Q13" s="33">
        <v>19800</v>
      </c>
      <c r="R13" s="3">
        <f t="shared" ref="R13:R14" si="24">65*E13</f>
        <v>13000</v>
      </c>
      <c r="S13" s="27">
        <f t="shared" ref="S13:S14" si="25">-38*E13</f>
        <v>-7600</v>
      </c>
      <c r="T13" s="28">
        <f>X13*F13*0.0045</f>
        <v>3726.5398191094614</v>
      </c>
      <c r="U13" s="3">
        <f>E13*5</f>
        <v>1000</v>
      </c>
      <c r="V13" s="19"/>
      <c r="W13" s="3">
        <v>0.3</v>
      </c>
      <c r="X13" s="3">
        <f>((O13*F13)+Q13+R13+S13+U13)/G13</f>
        <v>40.015460729746444</v>
      </c>
      <c r="Y13" s="3">
        <f t="shared" ref="Y13:Y14" si="26">((O13*F13)+Q13+R13+S13+T13+U13)/G13+W13</f>
        <v>40.545920829876898</v>
      </c>
      <c r="Z13" s="29">
        <f t="shared" ref="Z13:Z14" si="27">Y13*G13</f>
        <v>655627.53981910949</v>
      </c>
      <c r="AA13" s="30">
        <v>42964</v>
      </c>
    </row>
    <row r="14" spans="1:27" s="22" customFormat="1" x14ac:dyDescent="0.25">
      <c r="A14" s="109"/>
      <c r="B14" s="17" t="s">
        <v>41</v>
      </c>
      <c r="C14" s="19" t="s">
        <v>42</v>
      </c>
      <c r="D14" s="18" t="s">
        <v>198</v>
      </c>
      <c r="E14" s="19">
        <v>130</v>
      </c>
      <c r="F14" s="20">
        <v>14075</v>
      </c>
      <c r="G14" s="21">
        <f>10460+600</f>
        <v>11060</v>
      </c>
      <c r="H14" s="21">
        <f t="shared" si="23"/>
        <v>-3015</v>
      </c>
      <c r="I14" s="18" t="s">
        <v>560</v>
      </c>
      <c r="J14" s="19"/>
      <c r="K14" s="24"/>
      <c r="L14" s="24">
        <v>42951</v>
      </c>
      <c r="M14" s="18" t="s">
        <v>49</v>
      </c>
      <c r="N14" s="19"/>
      <c r="O14" s="3">
        <v>30</v>
      </c>
      <c r="P14" s="31"/>
      <c r="Q14" s="26">
        <v>15700</v>
      </c>
      <c r="R14" s="3">
        <f t="shared" si="24"/>
        <v>8450</v>
      </c>
      <c r="S14" s="27">
        <f t="shared" si="25"/>
        <v>-4940</v>
      </c>
      <c r="T14" s="28">
        <f>X14*F14*0.0045</f>
        <v>2531.8392518083183</v>
      </c>
      <c r="U14" s="3">
        <f>E14*5</f>
        <v>650</v>
      </c>
      <c r="V14" s="19"/>
      <c r="W14" s="3">
        <v>0.3</v>
      </c>
      <c r="X14" s="3">
        <f>((O14*F14)+Q14+R14+S14+U14)/G14</f>
        <v>39.973779385171788</v>
      </c>
      <c r="Y14" s="3">
        <f t="shared" si="26"/>
        <v>40.502697943201468</v>
      </c>
      <c r="Z14" s="29">
        <f t="shared" si="27"/>
        <v>447959.83925180824</v>
      </c>
      <c r="AA14" s="30">
        <v>42964</v>
      </c>
    </row>
    <row r="15" spans="1:27" s="22" customFormat="1" x14ac:dyDescent="0.25">
      <c r="A15" s="109"/>
      <c r="B15" s="17" t="s">
        <v>26</v>
      </c>
      <c r="C15" s="18" t="s">
        <v>33</v>
      </c>
      <c r="D15" s="18" t="s">
        <v>33</v>
      </c>
      <c r="E15" s="19" t="s">
        <v>34</v>
      </c>
      <c r="F15" s="20">
        <f>42690*0.4536</f>
        <v>19364.184000000001</v>
      </c>
      <c r="G15" s="21">
        <v>19301.95</v>
      </c>
      <c r="H15" s="21">
        <f t="shared" si="23"/>
        <v>-62.234000000000378</v>
      </c>
      <c r="I15" s="22" t="s">
        <v>561</v>
      </c>
      <c r="J15" s="23" t="s">
        <v>518</v>
      </c>
      <c r="K15" s="24">
        <v>42951</v>
      </c>
      <c r="L15" s="24">
        <v>42952</v>
      </c>
      <c r="M15" s="18" t="s">
        <v>98</v>
      </c>
      <c r="N15" s="18" t="s">
        <v>562</v>
      </c>
      <c r="O15" s="3"/>
      <c r="P15" s="25">
        <f>0.6903+0.105</f>
        <v>0.79530000000000001</v>
      </c>
      <c r="Q15" s="26">
        <v>23000</v>
      </c>
      <c r="R15" s="3">
        <v>9400</v>
      </c>
      <c r="S15" s="51">
        <v>17.73</v>
      </c>
      <c r="T15" s="28">
        <f t="shared" ref="T15" si="28">X15*F15*0.005</f>
        <v>3183.9483785369475</v>
      </c>
      <c r="V15" s="3">
        <v>0.12</v>
      </c>
      <c r="W15" s="3">
        <v>0.3</v>
      </c>
      <c r="X15" s="3">
        <f t="shared" ref="X15" si="29">IF(O15&gt;0,O15,((P15*2.2046*S15)+(Q15+R15)/G15)+V15)</f>
        <v>32.88492175592782</v>
      </c>
      <c r="Y15" s="3">
        <f t="shared" ref="Y15" si="30">IF(O15&gt;0,O15,((P15*2.2046*S15)+(Q15+R15+T15)/G15)+V15+W15)</f>
        <v>33.349876508092073</v>
      </c>
      <c r="Z15" s="29">
        <f t="shared" ref="Z15" si="31">Y15*F15</f>
        <v>645793.14507997246</v>
      </c>
      <c r="AA15" s="30">
        <v>42947</v>
      </c>
    </row>
    <row r="16" spans="1:27" s="22" customFormat="1" ht="15.75" thickBot="1" x14ac:dyDescent="0.3">
      <c r="A16" s="110"/>
      <c r="B16" s="34"/>
      <c r="C16" s="6"/>
      <c r="D16" s="6"/>
      <c r="E16" s="6"/>
      <c r="F16" s="35"/>
      <c r="G16" s="35"/>
      <c r="H16" s="35"/>
      <c r="I16" s="9"/>
      <c r="J16" s="6"/>
      <c r="K16" s="10"/>
      <c r="L16" s="10"/>
      <c r="M16" s="6"/>
      <c r="N16" s="6"/>
      <c r="O16" s="11"/>
      <c r="P16" s="12"/>
      <c r="Q16" s="11"/>
      <c r="R16" s="11"/>
      <c r="S16" s="11"/>
      <c r="T16" s="11"/>
      <c r="U16" s="11"/>
      <c r="V16" s="11"/>
      <c r="W16" s="11"/>
      <c r="X16" s="11"/>
      <c r="Y16" s="11"/>
      <c r="Z16" s="15"/>
      <c r="AA16" s="36"/>
    </row>
    <row r="17" spans="1:27" s="22" customFormat="1" x14ac:dyDescent="0.25">
      <c r="A17" s="120"/>
      <c r="B17" s="38" t="s">
        <v>41</v>
      </c>
      <c r="C17" s="38" t="s">
        <v>42</v>
      </c>
      <c r="D17" s="39" t="s">
        <v>45</v>
      </c>
      <c r="E17" s="38">
        <v>199</v>
      </c>
      <c r="F17" s="40">
        <v>20890</v>
      </c>
      <c r="G17" s="41">
        <f>12940+3240</f>
        <v>16180</v>
      </c>
      <c r="H17" s="21">
        <f t="shared" ref="H17:H36" si="32">G17-F17</f>
        <v>-4710</v>
      </c>
      <c r="I17" s="39" t="s">
        <v>563</v>
      </c>
      <c r="J17" s="121">
        <v>198</v>
      </c>
      <c r="K17" s="42"/>
      <c r="L17" s="42">
        <v>42953</v>
      </c>
      <c r="M17" s="39" t="s">
        <v>57</v>
      </c>
      <c r="N17" s="38"/>
      <c r="O17" s="43">
        <v>29.5</v>
      </c>
      <c r="P17" s="44"/>
      <c r="Q17" s="45">
        <v>19800</v>
      </c>
      <c r="R17" s="43">
        <f t="shared" ref="R17:R18" si="33">65*E17</f>
        <v>12935</v>
      </c>
      <c r="S17" s="43">
        <f t="shared" ref="S17:S18" si="34">-38*E17</f>
        <v>-7562</v>
      </c>
      <c r="T17" s="72">
        <f>X17*F17*0.0045</f>
        <v>3732.4458661928302</v>
      </c>
      <c r="U17" s="43">
        <f>E17*5</f>
        <v>995</v>
      </c>
      <c r="V17" s="38"/>
      <c r="W17" s="43">
        <v>0.3</v>
      </c>
      <c r="X17" s="43">
        <f>((O17*F17)+Q17+R17+S17+U17)/G17</f>
        <v>39.704758961681087</v>
      </c>
      <c r="Y17" s="47">
        <f t="shared" ref="Y17:Y18" si="35">((O17*F17)+Q17+R17+S17+T17+U17)/G17+W17</f>
        <v>40.235441648095971</v>
      </c>
      <c r="Z17" s="47">
        <f>Y17*G17</f>
        <v>651009.44586619281</v>
      </c>
      <c r="AA17" s="48">
        <v>42968</v>
      </c>
    </row>
    <row r="18" spans="1:27" s="22" customFormat="1" x14ac:dyDescent="0.25">
      <c r="A18" s="122"/>
      <c r="B18" s="17" t="s">
        <v>41</v>
      </c>
      <c r="C18" s="19" t="s">
        <v>42</v>
      </c>
      <c r="D18" s="18" t="s">
        <v>43</v>
      </c>
      <c r="E18" s="19">
        <v>210</v>
      </c>
      <c r="F18" s="20">
        <v>23250</v>
      </c>
      <c r="G18" s="21">
        <f>11440+6830</f>
        <v>18270</v>
      </c>
      <c r="H18" s="21">
        <f t="shared" si="32"/>
        <v>-4980</v>
      </c>
      <c r="I18" s="18" t="s">
        <v>564</v>
      </c>
      <c r="J18" s="50">
        <v>209</v>
      </c>
      <c r="K18" s="24"/>
      <c r="L18" s="24">
        <v>42954</v>
      </c>
      <c r="M18" s="18" t="s">
        <v>60</v>
      </c>
      <c r="N18" s="19"/>
      <c r="O18" s="3">
        <v>29.5</v>
      </c>
      <c r="P18" s="31"/>
      <c r="Q18" s="26">
        <v>19800</v>
      </c>
      <c r="R18" s="3">
        <f t="shared" si="33"/>
        <v>13650</v>
      </c>
      <c r="S18" s="27">
        <f t="shared" si="34"/>
        <v>-7980</v>
      </c>
      <c r="T18" s="28">
        <f>X18*F18*0.0045</f>
        <v>4079.6019088669955</v>
      </c>
      <c r="U18" s="3">
        <f>E18*5</f>
        <v>1050</v>
      </c>
      <c r="V18" s="19"/>
      <c r="W18" s="3">
        <v>0.3</v>
      </c>
      <c r="X18" s="3">
        <f>((O18*F18)+Q18+R18+S18+U18)/G18</f>
        <v>38.992610837438427</v>
      </c>
      <c r="Y18" s="3">
        <f t="shared" si="35"/>
        <v>39.515905961076463</v>
      </c>
      <c r="Z18" s="29">
        <f>Y18*G18</f>
        <v>721955.60190886701</v>
      </c>
      <c r="AA18" s="30">
        <v>42968</v>
      </c>
    </row>
    <row r="19" spans="1:27" s="22" customFormat="1" x14ac:dyDescent="0.25">
      <c r="A19" s="122"/>
      <c r="B19" s="17" t="s">
        <v>26</v>
      </c>
      <c r="C19" s="18" t="s">
        <v>27</v>
      </c>
      <c r="D19" s="18" t="s">
        <v>27</v>
      </c>
      <c r="E19" s="19" t="s">
        <v>34</v>
      </c>
      <c r="F19" s="20">
        <f>40992*0.4536</f>
        <v>18593.9712</v>
      </c>
      <c r="G19" s="21">
        <v>18568.36</v>
      </c>
      <c r="H19" s="21">
        <f t="shared" si="32"/>
        <v>-25.611199999999371</v>
      </c>
      <c r="I19" s="18" t="s">
        <v>565</v>
      </c>
      <c r="J19" s="23" t="s">
        <v>30</v>
      </c>
      <c r="K19" s="24">
        <v>42954</v>
      </c>
      <c r="L19" s="24">
        <v>42955</v>
      </c>
      <c r="M19" s="18" t="s">
        <v>62</v>
      </c>
      <c r="N19" s="18" t="s">
        <v>566</v>
      </c>
      <c r="O19" s="3"/>
      <c r="P19" s="25">
        <f>0.6679+0.095</f>
        <v>0.76290000000000002</v>
      </c>
      <c r="Q19" s="26">
        <v>23000</v>
      </c>
      <c r="R19" s="3">
        <v>9400</v>
      </c>
      <c r="S19" s="51">
        <v>17.876000000000001</v>
      </c>
      <c r="T19" s="28">
        <f>X19*F19*0.005</f>
        <v>2968.5607423582574</v>
      </c>
      <c r="V19" s="3">
        <v>0.12</v>
      </c>
      <c r="W19" s="3">
        <v>0.3</v>
      </c>
      <c r="X19" s="3">
        <f>IF(O19&gt;0,O19,((P19*2.2046*S19)+(Q19+R19)/G19)+V19)</f>
        <v>31.930357538235377</v>
      </c>
      <c r="Y19" s="3">
        <f t="shared" ref="Y19:Y22" si="36">IF(O19&gt;0,O19,((P19*2.2046*S19)+(Q19+R19+T19)/G19)+V19+W19)</f>
        <v>32.390229532442632</v>
      </c>
      <c r="Z19" s="29">
        <f>Y19*F19</f>
        <v>602262.99508762779</v>
      </c>
      <c r="AA19" s="30">
        <v>42965</v>
      </c>
    </row>
    <row r="20" spans="1:27" s="22" customFormat="1" x14ac:dyDescent="0.25">
      <c r="A20" s="122"/>
      <c r="B20" s="17" t="s">
        <v>26</v>
      </c>
      <c r="C20" s="18" t="s">
        <v>37</v>
      </c>
      <c r="D20" s="18" t="s">
        <v>37</v>
      </c>
      <c r="E20" s="19" t="s">
        <v>28</v>
      </c>
      <c r="F20" s="20">
        <f>41237*0.4536</f>
        <v>18705.103200000001</v>
      </c>
      <c r="G20" s="21">
        <v>18611.439999999999</v>
      </c>
      <c r="H20" s="21">
        <f t="shared" si="32"/>
        <v>-93.663200000002689</v>
      </c>
      <c r="I20" s="22" t="s">
        <v>567</v>
      </c>
      <c r="J20" s="23" t="s">
        <v>30</v>
      </c>
      <c r="K20" s="24">
        <v>42954</v>
      </c>
      <c r="L20" s="24">
        <v>42955</v>
      </c>
      <c r="M20" s="18" t="s">
        <v>62</v>
      </c>
      <c r="N20" s="18" t="s">
        <v>568</v>
      </c>
      <c r="O20" s="3"/>
      <c r="P20" s="25">
        <f>0.685+0.095</f>
        <v>0.78</v>
      </c>
      <c r="Q20" s="26">
        <v>23000</v>
      </c>
      <c r="R20" s="3">
        <v>9400</v>
      </c>
      <c r="S20" s="51">
        <v>17.95</v>
      </c>
      <c r="T20" s="28">
        <f>X20*F20*0.005</f>
        <v>3060.8534591231914</v>
      </c>
      <c r="V20" s="3">
        <v>0.12</v>
      </c>
      <c r="W20" s="3">
        <v>0.3</v>
      </c>
      <c r="X20" s="3">
        <f t="shared" ref="X20:X22" si="37">IF(O20&gt;0,O20,((P20*2.2046*S20)+(Q20+R20)/G20)+V20)</f>
        <v>32.727469358449639</v>
      </c>
      <c r="Y20" s="3">
        <f t="shared" si="36"/>
        <v>33.191930220109093</v>
      </c>
      <c r="Z20" s="29">
        <f t="shared" ref="Z20:Z22" si="38">Y20*F20</f>
        <v>620858.48017433938</v>
      </c>
      <c r="AA20" s="30">
        <v>42948</v>
      </c>
    </row>
    <row r="21" spans="1:27" s="22" customFormat="1" x14ac:dyDescent="0.25">
      <c r="A21" s="122"/>
      <c r="B21" s="17" t="s">
        <v>147</v>
      </c>
      <c r="C21" s="18" t="s">
        <v>33</v>
      </c>
      <c r="D21" s="18" t="s">
        <v>77</v>
      </c>
      <c r="E21" s="19" t="s">
        <v>569</v>
      </c>
      <c r="F21" s="20">
        <f>932.1+938</f>
        <v>1870.1</v>
      </c>
      <c r="G21" s="21">
        <v>1870.1</v>
      </c>
      <c r="H21" s="21">
        <f t="shared" si="32"/>
        <v>0</v>
      </c>
      <c r="I21" s="18" t="s">
        <v>570</v>
      </c>
      <c r="J21" s="19"/>
      <c r="K21" s="24"/>
      <c r="L21" s="24"/>
      <c r="M21" s="18"/>
      <c r="N21" s="18"/>
      <c r="O21" s="3">
        <v>19.5</v>
      </c>
      <c r="P21" s="25"/>
      <c r="Q21" s="3"/>
      <c r="R21" s="3"/>
      <c r="S21" s="51"/>
      <c r="T21" s="27"/>
      <c r="V21" s="3"/>
      <c r="W21" s="3">
        <v>1.3</v>
      </c>
      <c r="X21" s="3">
        <f t="shared" si="37"/>
        <v>19.5</v>
      </c>
      <c r="Y21" s="3">
        <f t="shared" si="36"/>
        <v>19.5</v>
      </c>
      <c r="Z21" s="29">
        <f t="shared" si="38"/>
        <v>36466.949999999997</v>
      </c>
      <c r="AA21" s="30">
        <v>42962</v>
      </c>
    </row>
    <row r="22" spans="1:27" s="22" customFormat="1" x14ac:dyDescent="0.25">
      <c r="A22" s="122"/>
      <c r="B22" s="17" t="s">
        <v>26</v>
      </c>
      <c r="C22" s="18" t="s">
        <v>27</v>
      </c>
      <c r="D22" s="18" t="s">
        <v>27</v>
      </c>
      <c r="E22" s="19" t="s">
        <v>34</v>
      </c>
      <c r="F22" s="20">
        <f>41380*0.4536</f>
        <v>18769.968000000001</v>
      </c>
      <c r="G22" s="21">
        <v>18702.05</v>
      </c>
      <c r="H22" s="21">
        <f t="shared" si="32"/>
        <v>-67.918000000001484</v>
      </c>
      <c r="I22" s="22" t="s">
        <v>571</v>
      </c>
      <c r="J22" s="23" t="s">
        <v>30</v>
      </c>
      <c r="K22" s="24">
        <v>42954</v>
      </c>
      <c r="L22" s="24">
        <v>42956</v>
      </c>
      <c r="M22" s="18" t="s">
        <v>31</v>
      </c>
      <c r="N22" s="18" t="s">
        <v>566</v>
      </c>
      <c r="O22" s="3"/>
      <c r="P22" s="25">
        <v>0.76290000000000002</v>
      </c>
      <c r="Q22" s="26">
        <v>23000</v>
      </c>
      <c r="R22" s="3">
        <v>9400</v>
      </c>
      <c r="S22" s="51">
        <v>17.885000000000002</v>
      </c>
      <c r="T22" s="28">
        <f>X22*F22*0.005</f>
        <v>2996.9089348334005</v>
      </c>
      <c r="V22" s="3">
        <v>0.12</v>
      </c>
      <c r="W22" s="3">
        <v>0.3</v>
      </c>
      <c r="X22" s="3">
        <f t="shared" si="37"/>
        <v>31.933021247914759</v>
      </c>
      <c r="Y22" s="3">
        <f t="shared" si="36"/>
        <v>32.39326619083991</v>
      </c>
      <c r="Z22" s="29">
        <f t="shared" si="38"/>
        <v>608020.56981754699</v>
      </c>
      <c r="AA22" s="30">
        <v>42965</v>
      </c>
    </row>
    <row r="23" spans="1:27" s="22" customFormat="1" x14ac:dyDescent="0.25">
      <c r="A23" s="122"/>
      <c r="B23" s="17" t="s">
        <v>41</v>
      </c>
      <c r="C23" s="19" t="s">
        <v>42</v>
      </c>
      <c r="D23" s="18" t="s">
        <v>43</v>
      </c>
      <c r="E23" s="19">
        <v>250</v>
      </c>
      <c r="F23" s="20">
        <v>28170</v>
      </c>
      <c r="G23" s="21">
        <f>9820+12240</f>
        <v>22060</v>
      </c>
      <c r="H23" s="21">
        <f t="shared" si="32"/>
        <v>-6110</v>
      </c>
      <c r="I23" s="18" t="s">
        <v>572</v>
      </c>
      <c r="J23" s="19"/>
      <c r="K23" s="24"/>
      <c r="L23" s="24">
        <v>42955</v>
      </c>
      <c r="M23" s="18" t="s">
        <v>62</v>
      </c>
      <c r="N23" s="19"/>
      <c r="O23" s="3">
        <v>29.5</v>
      </c>
      <c r="P23" s="31"/>
      <c r="Q23" s="33">
        <v>19800</v>
      </c>
      <c r="R23" s="3">
        <f>65*E23</f>
        <v>16250</v>
      </c>
      <c r="S23" s="27">
        <f>-38*E23</f>
        <v>-9500</v>
      </c>
      <c r="T23" s="28">
        <f t="shared" ref="T23" si="39">X23*F23*0.005</f>
        <v>5483.4130893019037</v>
      </c>
      <c r="U23" s="3">
        <f>E23*5</f>
        <v>1250</v>
      </c>
      <c r="V23" s="19"/>
      <c r="W23" s="3">
        <v>0.3</v>
      </c>
      <c r="X23" s="3">
        <f>((O23*F23)+Q23+R23+S23+U23)/G23</f>
        <v>38.930870353581142</v>
      </c>
      <c r="Y23" s="3">
        <f>((O23*F23)+Q23+R23+S23+T23+U23)/G23+W23</f>
        <v>39.479438489995552</v>
      </c>
      <c r="Z23" s="29">
        <f>Y23*G23</f>
        <v>870916.4130893019</v>
      </c>
      <c r="AA23" s="30">
        <v>42968</v>
      </c>
    </row>
    <row r="24" spans="1:27" s="22" customFormat="1" x14ac:dyDescent="0.25">
      <c r="A24" s="122"/>
      <c r="B24" s="17" t="s">
        <v>26</v>
      </c>
      <c r="C24" s="18" t="s">
        <v>37</v>
      </c>
      <c r="D24" s="18" t="s">
        <v>37</v>
      </c>
      <c r="E24" s="19" t="s">
        <v>28</v>
      </c>
      <c r="F24" s="20">
        <f>41602*0.4536</f>
        <v>18870.6672</v>
      </c>
      <c r="G24" s="21">
        <v>18826.009999999998</v>
      </c>
      <c r="H24" s="21">
        <f t="shared" si="32"/>
        <v>-44.657200000001467</v>
      </c>
      <c r="I24" s="22" t="s">
        <v>573</v>
      </c>
      <c r="J24" s="23" t="s">
        <v>39</v>
      </c>
      <c r="K24" s="24">
        <v>42955</v>
      </c>
      <c r="L24" s="24">
        <v>42956</v>
      </c>
      <c r="M24" s="18" t="s">
        <v>31</v>
      </c>
      <c r="N24" s="18" t="s">
        <v>566</v>
      </c>
      <c r="O24" s="3"/>
      <c r="P24" s="25">
        <f>0.6679+0.095</f>
        <v>0.76290000000000002</v>
      </c>
      <c r="Q24" s="26">
        <v>23000</v>
      </c>
      <c r="R24" s="3">
        <v>9400</v>
      </c>
      <c r="S24" s="51">
        <v>17.86</v>
      </c>
      <c r="T24" s="28">
        <f>X24*F24*0.005</f>
        <v>3007.9434791179815</v>
      </c>
      <c r="V24" s="3">
        <v>0.12</v>
      </c>
      <c r="W24" s="3">
        <v>0.3</v>
      </c>
      <c r="X24" s="3">
        <f t="shared" ref="X24:X29" si="40">IF(O24&gt;0,O24,((P24*2.2046*S24)+(Q24+R24)/G24)+V24)</f>
        <v>31.879566813811241</v>
      </c>
      <c r="Y24" s="3">
        <f t="shared" ref="Y24:Y29" si="41">IF(O24&gt;0,O24,((P24*2.2046*S24)+(Q24+R24+T24)/G24)+V24+W24)</f>
        <v>32.339342755666046</v>
      </c>
      <c r="Z24" s="29">
        <f t="shared" ref="Z24:Z29" si="42">Y24*F24</f>
        <v>610264.9746089048</v>
      </c>
      <c r="AA24" s="30">
        <v>42949</v>
      </c>
    </row>
    <row r="25" spans="1:27" s="22" customFormat="1" x14ac:dyDescent="0.25">
      <c r="A25" s="122"/>
      <c r="B25" s="17" t="s">
        <v>92</v>
      </c>
      <c r="C25" s="18" t="s">
        <v>574</v>
      </c>
      <c r="D25" s="18" t="s">
        <v>94</v>
      </c>
      <c r="E25" s="19" t="s">
        <v>352</v>
      </c>
      <c r="F25" s="20">
        <v>2000</v>
      </c>
      <c r="G25" s="21">
        <v>2000</v>
      </c>
      <c r="H25" s="21">
        <f t="shared" si="32"/>
        <v>0</v>
      </c>
      <c r="I25" s="73" t="s">
        <v>575</v>
      </c>
      <c r="J25" s="19"/>
      <c r="K25" s="24"/>
      <c r="L25" s="24">
        <v>42956</v>
      </c>
      <c r="M25" s="18" t="s">
        <v>31</v>
      </c>
      <c r="N25" s="18"/>
      <c r="O25" s="3">
        <v>36</v>
      </c>
      <c r="P25" s="25"/>
      <c r="Q25" s="3"/>
      <c r="R25" s="3"/>
      <c r="S25" s="51"/>
      <c r="T25" s="27"/>
      <c r="V25" s="3"/>
      <c r="W25" s="3">
        <v>1.3</v>
      </c>
      <c r="X25" s="3">
        <f t="shared" si="40"/>
        <v>36</v>
      </c>
      <c r="Y25" s="3">
        <f t="shared" si="41"/>
        <v>36</v>
      </c>
      <c r="Z25" s="29">
        <f t="shared" si="42"/>
        <v>72000</v>
      </c>
      <c r="AA25" s="30">
        <v>42956</v>
      </c>
    </row>
    <row r="26" spans="1:27" s="22" customFormat="1" x14ac:dyDescent="0.25">
      <c r="A26" s="122"/>
      <c r="B26" s="17" t="s">
        <v>398</v>
      </c>
      <c r="C26" s="18" t="s">
        <v>399</v>
      </c>
      <c r="D26" s="18" t="s">
        <v>94</v>
      </c>
      <c r="E26" s="19" t="s">
        <v>251</v>
      </c>
      <c r="F26" s="20">
        <v>200</v>
      </c>
      <c r="G26" s="21">
        <v>200</v>
      </c>
      <c r="H26" s="21">
        <f t="shared" si="32"/>
        <v>0</v>
      </c>
      <c r="I26" s="73" t="s">
        <v>575</v>
      </c>
      <c r="J26" s="19"/>
      <c r="K26" s="24"/>
      <c r="L26" s="24">
        <v>42956</v>
      </c>
      <c r="M26" s="18" t="s">
        <v>31</v>
      </c>
      <c r="N26" s="18"/>
      <c r="O26" s="3">
        <v>165</v>
      </c>
      <c r="P26" s="25"/>
      <c r="Q26" s="3"/>
      <c r="R26" s="3"/>
      <c r="S26" s="51"/>
      <c r="T26" s="27"/>
      <c r="V26" s="3"/>
      <c r="W26" s="3">
        <v>2.2999999999999998</v>
      </c>
      <c r="X26" s="3">
        <f t="shared" si="40"/>
        <v>165</v>
      </c>
      <c r="Y26" s="3">
        <f t="shared" si="41"/>
        <v>165</v>
      </c>
      <c r="Z26" s="29">
        <f t="shared" si="42"/>
        <v>33000</v>
      </c>
      <c r="AA26" s="30">
        <v>42956</v>
      </c>
    </row>
    <row r="27" spans="1:27" s="22" customFormat="1" x14ac:dyDescent="0.25">
      <c r="A27" s="122"/>
      <c r="B27" s="17" t="s">
        <v>210</v>
      </c>
      <c r="C27" s="18" t="s">
        <v>576</v>
      </c>
      <c r="D27" s="18" t="s">
        <v>94</v>
      </c>
      <c r="E27" s="19" t="s">
        <v>251</v>
      </c>
      <c r="F27" s="20">
        <v>45.4</v>
      </c>
      <c r="G27" s="21">
        <v>45.4</v>
      </c>
      <c r="H27" s="21">
        <f t="shared" si="32"/>
        <v>0</v>
      </c>
      <c r="I27" s="73" t="s">
        <v>575</v>
      </c>
      <c r="J27" s="19"/>
      <c r="K27" s="24"/>
      <c r="L27" s="24">
        <v>42956</v>
      </c>
      <c r="M27" s="18" t="s">
        <v>31</v>
      </c>
      <c r="N27" s="18"/>
      <c r="O27" s="3">
        <v>180</v>
      </c>
      <c r="P27" s="25"/>
      <c r="Q27" s="3"/>
      <c r="R27" s="3"/>
      <c r="S27" s="51"/>
      <c r="T27" s="27"/>
      <c r="V27" s="3"/>
      <c r="W27" s="3">
        <v>3.3</v>
      </c>
      <c r="X27" s="3">
        <f t="shared" si="40"/>
        <v>180</v>
      </c>
      <c r="Y27" s="3">
        <f t="shared" si="41"/>
        <v>180</v>
      </c>
      <c r="Z27" s="29">
        <f t="shared" si="42"/>
        <v>8172</v>
      </c>
      <c r="AA27" s="30">
        <v>42956</v>
      </c>
    </row>
    <row r="28" spans="1:27" s="22" customFormat="1" x14ac:dyDescent="0.25">
      <c r="A28" s="122"/>
      <c r="B28" s="17" t="s">
        <v>213</v>
      </c>
      <c r="C28" s="123" t="s">
        <v>576</v>
      </c>
      <c r="D28" s="18" t="s">
        <v>94</v>
      </c>
      <c r="E28" s="19" t="s">
        <v>251</v>
      </c>
      <c r="F28" s="20">
        <v>100</v>
      </c>
      <c r="G28" s="21">
        <v>100</v>
      </c>
      <c r="H28" s="21">
        <f t="shared" si="32"/>
        <v>0</v>
      </c>
      <c r="I28" s="73" t="s">
        <v>575</v>
      </c>
      <c r="J28" s="19"/>
      <c r="K28" s="24"/>
      <c r="L28" s="24">
        <v>42956</v>
      </c>
      <c r="M28" s="18" t="s">
        <v>31</v>
      </c>
      <c r="N28" s="18"/>
      <c r="O28" s="3">
        <v>170</v>
      </c>
      <c r="P28" s="25"/>
      <c r="Q28" s="3"/>
      <c r="R28" s="3"/>
      <c r="S28" s="51"/>
      <c r="T28" s="27"/>
      <c r="V28" s="3"/>
      <c r="W28" s="3">
        <v>4.3</v>
      </c>
      <c r="X28" s="3">
        <f t="shared" si="40"/>
        <v>170</v>
      </c>
      <c r="Y28" s="3">
        <f t="shared" si="41"/>
        <v>170</v>
      </c>
      <c r="Z28" s="29">
        <f t="shared" si="42"/>
        <v>17000</v>
      </c>
      <c r="AA28" s="30">
        <v>42956</v>
      </c>
    </row>
    <row r="29" spans="1:27" s="22" customFormat="1" x14ac:dyDescent="0.25">
      <c r="A29" s="122"/>
      <c r="B29" s="17" t="s">
        <v>26</v>
      </c>
      <c r="C29" s="18" t="s">
        <v>33</v>
      </c>
      <c r="D29" s="18" t="s">
        <v>33</v>
      </c>
      <c r="E29" s="19" t="s">
        <v>34</v>
      </c>
      <c r="F29" s="20">
        <f>42228*0.4536</f>
        <v>19154.620800000001</v>
      </c>
      <c r="G29" s="21">
        <v>19126.48</v>
      </c>
      <c r="H29" s="21">
        <f t="shared" si="32"/>
        <v>-28.140800000001036</v>
      </c>
      <c r="I29" s="22" t="s">
        <v>577</v>
      </c>
      <c r="J29" s="23" t="s">
        <v>30</v>
      </c>
      <c r="K29" s="24">
        <v>42956</v>
      </c>
      <c r="L29" s="24">
        <v>42957</v>
      </c>
      <c r="M29" s="18" t="s">
        <v>47</v>
      </c>
      <c r="N29" s="18" t="s">
        <v>578</v>
      </c>
      <c r="O29" s="3"/>
      <c r="P29" s="25">
        <f>0.672+0.105</f>
        <v>0.77700000000000002</v>
      </c>
      <c r="Q29" s="26">
        <v>23000</v>
      </c>
      <c r="R29" s="3">
        <v>9400</v>
      </c>
      <c r="S29" s="51">
        <v>17.86</v>
      </c>
      <c r="T29" s="28">
        <f>X29*F29*0.005</f>
        <v>3103.7865750021701</v>
      </c>
      <c r="V29" s="3">
        <v>0.12</v>
      </c>
      <c r="W29" s="3">
        <v>0.3</v>
      </c>
      <c r="X29" s="3">
        <f t="shared" si="40"/>
        <v>32.407705768857298</v>
      </c>
      <c r="Y29" s="3">
        <f t="shared" si="41"/>
        <v>32.869982705073582</v>
      </c>
      <c r="Z29" s="29">
        <f t="shared" si="42"/>
        <v>629612.05441824277</v>
      </c>
      <c r="AA29" s="30">
        <v>42950</v>
      </c>
    </row>
    <row r="30" spans="1:27" s="22" customFormat="1" x14ac:dyDescent="0.25">
      <c r="A30" s="122"/>
      <c r="B30" s="17" t="s">
        <v>41</v>
      </c>
      <c r="C30" s="19" t="s">
        <v>42</v>
      </c>
      <c r="D30" s="18" t="s">
        <v>51</v>
      </c>
      <c r="E30" s="19">
        <v>199</v>
      </c>
      <c r="F30" s="20">
        <v>22050</v>
      </c>
      <c r="G30" s="21">
        <v>17620</v>
      </c>
      <c r="H30" s="21">
        <f t="shared" si="32"/>
        <v>-4430</v>
      </c>
      <c r="I30" s="22" t="s">
        <v>579</v>
      </c>
      <c r="J30" s="19"/>
      <c r="K30" s="24"/>
      <c r="L30" s="24">
        <v>42957</v>
      </c>
      <c r="M30" s="18" t="s">
        <v>47</v>
      </c>
      <c r="N30" s="19"/>
      <c r="O30" s="3">
        <v>29.5</v>
      </c>
      <c r="P30" s="31"/>
      <c r="Q30" s="33">
        <v>19800</v>
      </c>
      <c r="R30" s="3">
        <f t="shared" ref="R30:R31" si="43">65*E30</f>
        <v>12935</v>
      </c>
      <c r="S30" s="27">
        <f t="shared" ref="S30:S31" si="44">-38*E30</f>
        <v>-7562</v>
      </c>
      <c r="T30" s="28">
        <f t="shared" ref="T30:T31" si="45">X30*F30*0.0045</f>
        <v>3810.4370984676498</v>
      </c>
      <c r="U30" s="3">
        <f t="shared" ref="U30:U31" si="46">E30*5</f>
        <v>995</v>
      </c>
      <c r="V30" s="19"/>
      <c r="W30" s="3">
        <v>0</v>
      </c>
      <c r="X30" s="3">
        <f t="shared" ref="X30:X31" si="47">((O30*F30)+Q30+R30+S30+U30)/G30</f>
        <v>38.401986379114639</v>
      </c>
      <c r="Y30" s="3">
        <f t="shared" ref="Y30:Y31" si="48">((O30*F30)+Q30+R30+S30+T30+U30)/G30+W30</f>
        <v>38.618242741116212</v>
      </c>
      <c r="Z30" s="29">
        <f t="shared" ref="Z30:Z31" si="49">Y30*G30</f>
        <v>680453.43709846761</v>
      </c>
      <c r="AA30" s="30">
        <v>42970</v>
      </c>
    </row>
    <row r="31" spans="1:27" s="22" customFormat="1" x14ac:dyDescent="0.25">
      <c r="A31" s="122"/>
      <c r="B31" s="17" t="s">
        <v>41</v>
      </c>
      <c r="C31" s="19" t="s">
        <v>42</v>
      </c>
      <c r="D31" s="18" t="s">
        <v>198</v>
      </c>
      <c r="E31" s="19">
        <v>130</v>
      </c>
      <c r="F31" s="20">
        <v>14870</v>
      </c>
      <c r="G31" s="21">
        <v>11110</v>
      </c>
      <c r="H31" s="21">
        <f t="shared" si="32"/>
        <v>-3760</v>
      </c>
      <c r="I31" s="22" t="s">
        <v>580</v>
      </c>
      <c r="J31" s="19"/>
      <c r="K31" s="24"/>
      <c r="L31" s="24">
        <v>42957</v>
      </c>
      <c r="M31" s="18" t="s">
        <v>47</v>
      </c>
      <c r="N31" s="19"/>
      <c r="O31" s="3">
        <v>29.5</v>
      </c>
      <c r="P31" s="31"/>
      <c r="Q31" s="26">
        <v>15700</v>
      </c>
      <c r="R31" s="3">
        <f t="shared" si="43"/>
        <v>8450</v>
      </c>
      <c r="S31" s="27">
        <f t="shared" si="44"/>
        <v>-4940</v>
      </c>
      <c r="T31" s="28">
        <f t="shared" si="45"/>
        <v>2761.6742011701167</v>
      </c>
      <c r="U31" s="3">
        <f t="shared" si="46"/>
        <v>650</v>
      </c>
      <c r="V31" s="19"/>
      <c r="W31" s="3">
        <v>0.1</v>
      </c>
      <c r="X31" s="3">
        <f t="shared" si="47"/>
        <v>41.27137713771377</v>
      </c>
      <c r="Y31" s="3">
        <f t="shared" si="48"/>
        <v>41.619952673372644</v>
      </c>
      <c r="Z31" s="29">
        <f t="shared" si="49"/>
        <v>462397.6742011701</v>
      </c>
      <c r="AA31" s="30">
        <v>42970</v>
      </c>
    </row>
    <row r="32" spans="1:27" s="22" customFormat="1" x14ac:dyDescent="0.25">
      <c r="A32" s="122"/>
      <c r="B32" s="17" t="s">
        <v>276</v>
      </c>
      <c r="C32" s="19" t="s">
        <v>581</v>
      </c>
      <c r="D32" s="18" t="s">
        <v>94</v>
      </c>
      <c r="E32" s="19" t="s">
        <v>582</v>
      </c>
      <c r="F32" s="20">
        <f>45.4+22.7</f>
        <v>68.099999999999994</v>
      </c>
      <c r="G32" s="21">
        <v>68.099999999999994</v>
      </c>
      <c r="H32" s="21">
        <f t="shared" si="32"/>
        <v>0</v>
      </c>
      <c r="I32" s="22" t="s">
        <v>583</v>
      </c>
      <c r="J32" s="19"/>
      <c r="K32" s="24"/>
      <c r="L32" s="24">
        <v>42958</v>
      </c>
      <c r="M32" s="18" t="s">
        <v>49</v>
      </c>
      <c r="N32" s="19"/>
      <c r="O32" s="3" t="s">
        <v>584</v>
      </c>
      <c r="P32" s="31"/>
      <c r="Q32" s="3"/>
      <c r="R32" s="3"/>
      <c r="S32" s="27"/>
      <c r="T32" s="27"/>
      <c r="U32" s="3"/>
      <c r="V32" s="19"/>
      <c r="W32" s="3"/>
      <c r="X32" s="3"/>
      <c r="Y32" s="3"/>
      <c r="Z32" s="29">
        <v>3178</v>
      </c>
      <c r="AA32" s="30">
        <v>42958</v>
      </c>
    </row>
    <row r="33" spans="1:27" s="22" customFormat="1" x14ac:dyDescent="0.25">
      <c r="A33" s="122"/>
      <c r="B33" s="17" t="s">
        <v>41</v>
      </c>
      <c r="C33" s="19" t="s">
        <v>42</v>
      </c>
      <c r="D33" s="18" t="s">
        <v>585</v>
      </c>
      <c r="E33" s="19">
        <v>199</v>
      </c>
      <c r="F33" s="20">
        <f>24210-120</f>
        <v>24090</v>
      </c>
      <c r="G33" s="21">
        <v>17500</v>
      </c>
      <c r="H33" s="21">
        <f t="shared" si="32"/>
        <v>-6590</v>
      </c>
      <c r="I33" s="22" t="s">
        <v>586</v>
      </c>
      <c r="J33" s="105">
        <v>198</v>
      </c>
      <c r="K33" s="24"/>
      <c r="L33" s="24">
        <v>42958</v>
      </c>
      <c r="M33" s="18" t="s">
        <v>49</v>
      </c>
      <c r="N33" s="19"/>
      <c r="O33" s="3">
        <v>29.5</v>
      </c>
      <c r="P33" s="31"/>
      <c r="Q33" s="26">
        <v>19800</v>
      </c>
      <c r="R33" s="3">
        <f t="shared" ref="R33:R34" si="50">65*E33</f>
        <v>12935</v>
      </c>
      <c r="S33" s="27">
        <f t="shared" ref="S33:S34" si="51">-38*E33</f>
        <v>-7562</v>
      </c>
      <c r="T33" s="28">
        <f>X33*F33*0.0045</f>
        <v>4564.3027037142856</v>
      </c>
      <c r="U33" s="3">
        <f>E33*5</f>
        <v>995</v>
      </c>
      <c r="V33" s="19"/>
      <c r="W33" s="3">
        <v>0.3</v>
      </c>
      <c r="X33" s="3">
        <f>((O33*F33)+Q33+R33+S33+U33)/G33</f>
        <v>42.104171428571426</v>
      </c>
      <c r="Y33" s="3">
        <f t="shared" ref="Y33:Y34" si="52">((O33*F33)+Q33+R33+S33+T33+U33)/G33+W33</f>
        <v>42.664988725926527</v>
      </c>
      <c r="Z33" s="29">
        <f t="shared" ref="Z33:Z34" si="53">Y33*G33</f>
        <v>746637.30270371423</v>
      </c>
      <c r="AA33" s="30">
        <v>42971</v>
      </c>
    </row>
    <row r="34" spans="1:27" s="22" customFormat="1" x14ac:dyDescent="0.25">
      <c r="A34" s="122"/>
      <c r="B34" s="17" t="s">
        <v>41</v>
      </c>
      <c r="C34" s="19" t="s">
        <v>42</v>
      </c>
      <c r="D34" s="18" t="s">
        <v>45</v>
      </c>
      <c r="E34" s="19">
        <v>130</v>
      </c>
      <c r="F34" s="20">
        <f>14230-229</f>
        <v>14001</v>
      </c>
      <c r="G34" s="21">
        <v>12280</v>
      </c>
      <c r="H34" s="21">
        <f t="shared" si="32"/>
        <v>-1721</v>
      </c>
      <c r="I34" s="18" t="s">
        <v>587</v>
      </c>
      <c r="J34" s="105">
        <v>128</v>
      </c>
      <c r="K34" s="24"/>
      <c r="L34" s="24">
        <v>42958</v>
      </c>
      <c r="M34" s="18" t="s">
        <v>49</v>
      </c>
      <c r="N34" s="19"/>
      <c r="O34" s="3">
        <v>29.5</v>
      </c>
      <c r="P34" s="31"/>
      <c r="Q34" s="26">
        <v>15700</v>
      </c>
      <c r="R34" s="3">
        <f t="shared" si="50"/>
        <v>8450</v>
      </c>
      <c r="S34" s="27">
        <f t="shared" si="51"/>
        <v>-4940</v>
      </c>
      <c r="T34" s="28">
        <f>X34*F34*0.0045</f>
        <v>2221.0086728623774</v>
      </c>
      <c r="U34" s="3">
        <f>E34*5</f>
        <v>650</v>
      </c>
      <c r="V34" s="19"/>
      <c r="W34" s="3">
        <v>0.3</v>
      </c>
      <c r="X34" s="3">
        <f>((O34*F34)+Q34+R34+S34+U34)/G34</f>
        <v>35.251587947882733</v>
      </c>
      <c r="Y34" s="3">
        <f t="shared" si="52"/>
        <v>35.732451846324295</v>
      </c>
      <c r="Z34" s="29">
        <f t="shared" si="53"/>
        <v>438794.50867286237</v>
      </c>
      <c r="AA34" s="30">
        <v>42971</v>
      </c>
    </row>
    <row r="35" spans="1:27" s="22" customFormat="1" x14ac:dyDescent="0.25">
      <c r="A35" s="122"/>
      <c r="B35" s="17" t="s">
        <v>26</v>
      </c>
      <c r="C35" s="18" t="s">
        <v>33</v>
      </c>
      <c r="D35" s="18" t="s">
        <v>33</v>
      </c>
      <c r="E35" s="19" t="s">
        <v>34</v>
      </c>
      <c r="F35" s="20">
        <f>42151*0.4536</f>
        <v>19119.693599999999</v>
      </c>
      <c r="G35" s="21">
        <v>19049.18</v>
      </c>
      <c r="H35" s="21">
        <f t="shared" si="32"/>
        <v>-70.513599999998405</v>
      </c>
      <c r="I35" s="22" t="s">
        <v>588</v>
      </c>
      <c r="J35" s="23" t="s">
        <v>30</v>
      </c>
      <c r="K35" s="24">
        <v>42958</v>
      </c>
      <c r="L35" s="24">
        <v>42959</v>
      </c>
      <c r="M35" s="18" t="s">
        <v>98</v>
      </c>
      <c r="N35" s="18" t="s">
        <v>589</v>
      </c>
      <c r="O35" s="3"/>
      <c r="P35" s="25">
        <f>0.674+0.105</f>
        <v>0.77900000000000003</v>
      </c>
      <c r="Q35" s="26">
        <v>23000</v>
      </c>
      <c r="R35" s="3">
        <v>9400</v>
      </c>
      <c r="S35" s="51">
        <v>18</v>
      </c>
      <c r="T35" s="28">
        <f t="shared" ref="T35" si="54">X35*F35*0.005</f>
        <v>3129.2974813404849</v>
      </c>
      <c r="V35" s="3">
        <v>0.12</v>
      </c>
      <c r="W35" s="3">
        <v>0.3</v>
      </c>
      <c r="X35" s="3">
        <f t="shared" ref="X35:X36" si="55">IF(O35&gt;0,O35,((P35*2.2046*S35)+(Q35+R35)/G35)+V35)</f>
        <v>32.733761814472643</v>
      </c>
      <c r="Y35" s="3">
        <f t="shared" ref="Y35:Y36" si="56">IF(O35&gt;0,O35,((P35*2.2046*S35)+(Q35+R35+T35)/G35)+V35+W35)</f>
        <v>33.198036469934998</v>
      </c>
      <c r="Z35" s="29">
        <f t="shared" ref="Z35:Z36" si="57">Y35*F35</f>
        <v>634736.28542678268</v>
      </c>
      <c r="AA35" s="30">
        <v>42954</v>
      </c>
    </row>
    <row r="36" spans="1:27" s="22" customFormat="1" x14ac:dyDescent="0.25">
      <c r="A36" s="122"/>
      <c r="B36" s="17" t="s">
        <v>276</v>
      </c>
      <c r="C36" s="18" t="s">
        <v>590</v>
      </c>
      <c r="D36" s="18" t="s">
        <v>94</v>
      </c>
      <c r="E36" s="19" t="s">
        <v>591</v>
      </c>
      <c r="F36" s="20">
        <v>408.6</v>
      </c>
      <c r="G36" s="21">
        <v>408.6</v>
      </c>
      <c r="H36" s="21">
        <f t="shared" si="32"/>
        <v>0</v>
      </c>
      <c r="I36" s="22" t="s">
        <v>592</v>
      </c>
      <c r="J36" s="19"/>
      <c r="K36" s="24"/>
      <c r="L36" s="24">
        <v>42959</v>
      </c>
      <c r="M36" s="18" t="s">
        <v>98</v>
      </c>
      <c r="N36" s="18"/>
      <c r="O36" s="3">
        <v>47</v>
      </c>
      <c r="P36" s="25"/>
      <c r="Q36" s="3"/>
      <c r="R36" s="3"/>
      <c r="S36" s="51"/>
      <c r="T36" s="27"/>
      <c r="V36" s="3">
        <v>0.12</v>
      </c>
      <c r="W36" s="3">
        <v>0.3</v>
      </c>
      <c r="X36" s="3">
        <f t="shared" si="55"/>
        <v>47</v>
      </c>
      <c r="Y36" s="3">
        <f t="shared" si="56"/>
        <v>47</v>
      </c>
      <c r="Z36" s="29">
        <f t="shared" si="57"/>
        <v>19204.2</v>
      </c>
      <c r="AA36" s="30">
        <v>42961</v>
      </c>
    </row>
    <row r="37" spans="1:27" s="22" customFormat="1" ht="15.75" thickBot="1" x14ac:dyDescent="0.3">
      <c r="A37" s="124"/>
      <c r="B37" s="34"/>
      <c r="C37" s="6"/>
      <c r="D37" s="6"/>
      <c r="E37" s="6"/>
      <c r="F37" s="35"/>
      <c r="G37" s="35"/>
      <c r="H37" s="35"/>
      <c r="I37" s="9"/>
      <c r="J37" s="6"/>
      <c r="K37" s="10"/>
      <c r="L37" s="10"/>
      <c r="M37" s="6"/>
      <c r="N37" s="6"/>
      <c r="O37" s="11"/>
      <c r="P37" s="12"/>
      <c r="Q37" s="11"/>
      <c r="R37" s="11"/>
      <c r="S37" s="11"/>
      <c r="T37" s="11"/>
      <c r="U37" s="11"/>
      <c r="V37" s="11"/>
      <c r="W37" s="11"/>
      <c r="X37" s="11"/>
      <c r="Y37" s="11"/>
      <c r="Z37" s="15"/>
      <c r="AA37" s="36"/>
    </row>
    <row r="38" spans="1:27" s="22" customFormat="1" x14ac:dyDescent="0.25">
      <c r="A38" s="125"/>
      <c r="B38" s="38" t="s">
        <v>41</v>
      </c>
      <c r="C38" s="38" t="s">
        <v>42</v>
      </c>
      <c r="D38" s="39" t="s">
        <v>45</v>
      </c>
      <c r="E38" s="38">
        <v>220</v>
      </c>
      <c r="F38" s="40">
        <v>23740</v>
      </c>
      <c r="G38" s="41">
        <f>12910+6030</f>
        <v>18940</v>
      </c>
      <c r="H38" s="21">
        <f t="shared" ref="H38:H42" si="58">G38-F38</f>
        <v>-4800</v>
      </c>
      <c r="I38" s="39" t="s">
        <v>593</v>
      </c>
      <c r="J38" s="108">
        <v>219</v>
      </c>
      <c r="K38" s="42"/>
      <c r="L38" s="42">
        <v>42960</v>
      </c>
      <c r="M38" s="39" t="s">
        <v>57</v>
      </c>
      <c r="N38" s="38"/>
      <c r="O38" s="43">
        <v>29.5</v>
      </c>
      <c r="P38" s="44"/>
      <c r="Q38" s="45">
        <v>19800</v>
      </c>
      <c r="R38" s="43">
        <f t="shared" ref="R38:R39" si="59">65*E38</f>
        <v>14300</v>
      </c>
      <c r="S38" s="43">
        <f t="shared" ref="S38:S39" si="60">-38*E38</f>
        <v>-8360</v>
      </c>
      <c r="T38" s="72">
        <f>X38*F38*0.0045</f>
        <v>4101.5613041182678</v>
      </c>
      <c r="U38" s="43">
        <f>E38*5</f>
        <v>1100</v>
      </c>
      <c r="V38" s="38"/>
      <c r="W38" s="43">
        <v>0.3</v>
      </c>
      <c r="X38" s="43">
        <f>((O38*F38)+Q38+R38+S38+U38)/G38</f>
        <v>38.39334741288279</v>
      </c>
      <c r="Y38" s="47">
        <f t="shared" ref="Y38:Y39" si="61">((O38*F38)+Q38+R38+S38+T38+U38)/G38+W38</f>
        <v>38.909902919964004</v>
      </c>
      <c r="Z38" s="47">
        <f>Y38*G38</f>
        <v>736953.56130411825</v>
      </c>
      <c r="AA38" s="48">
        <v>42975</v>
      </c>
    </row>
    <row r="39" spans="1:27" s="22" customFormat="1" x14ac:dyDescent="0.25">
      <c r="A39" s="126"/>
      <c r="B39" s="17" t="s">
        <v>41</v>
      </c>
      <c r="C39" s="19" t="s">
        <v>42</v>
      </c>
      <c r="D39" s="18" t="s">
        <v>43</v>
      </c>
      <c r="E39" s="19">
        <v>200</v>
      </c>
      <c r="F39" s="20">
        <v>22665</v>
      </c>
      <c r="G39" s="21">
        <f>10840+7220</f>
        <v>18060</v>
      </c>
      <c r="H39" s="21">
        <f t="shared" si="58"/>
        <v>-4605</v>
      </c>
      <c r="I39" s="18" t="s">
        <v>594</v>
      </c>
      <c r="J39" s="50">
        <v>199</v>
      </c>
      <c r="K39" s="24" t="s">
        <v>128</v>
      </c>
      <c r="L39" s="24">
        <v>42961</v>
      </c>
      <c r="M39" s="18" t="s">
        <v>60</v>
      </c>
      <c r="N39" s="19"/>
      <c r="O39" s="3">
        <v>29.5</v>
      </c>
      <c r="P39" s="31"/>
      <c r="Q39" s="26">
        <v>19800</v>
      </c>
      <c r="R39" s="3">
        <f t="shared" si="59"/>
        <v>13000</v>
      </c>
      <c r="S39" s="27">
        <f t="shared" si="60"/>
        <v>-7600</v>
      </c>
      <c r="T39" s="28">
        <f>X39*F39*0.0045</f>
        <v>3923.9298930647838</v>
      </c>
      <c r="U39" s="3">
        <f>E39*5</f>
        <v>1000</v>
      </c>
      <c r="V39" s="19"/>
      <c r="W39" s="3">
        <v>0.3</v>
      </c>
      <c r="X39" s="3">
        <f>((O39*F39)+Q39+R39+S39+U39)/G39</f>
        <v>38.472729789590254</v>
      </c>
      <c r="Y39" s="3">
        <f t="shared" si="61"/>
        <v>38.990001655208459</v>
      </c>
      <c r="Z39" s="29">
        <f>Y39*G39</f>
        <v>704159.42989306478</v>
      </c>
      <c r="AA39" s="30">
        <v>42975</v>
      </c>
    </row>
    <row r="40" spans="1:27" s="22" customFormat="1" x14ac:dyDescent="0.25">
      <c r="A40" s="126"/>
      <c r="B40" s="17" t="s">
        <v>595</v>
      </c>
      <c r="C40" s="19" t="s">
        <v>440</v>
      </c>
      <c r="D40" s="18" t="s">
        <v>596</v>
      </c>
      <c r="E40" s="19" t="s">
        <v>597</v>
      </c>
      <c r="F40" s="20">
        <v>3014.37</v>
      </c>
      <c r="G40" s="21">
        <v>3014.37</v>
      </c>
      <c r="H40" s="21">
        <f t="shared" si="58"/>
        <v>0</v>
      </c>
      <c r="I40" s="18" t="s">
        <v>598</v>
      </c>
      <c r="J40" s="19"/>
      <c r="K40" s="24"/>
      <c r="L40" s="24">
        <v>42961</v>
      </c>
      <c r="M40" s="18" t="s">
        <v>60</v>
      </c>
      <c r="N40" s="19"/>
      <c r="O40" s="3">
        <v>19</v>
      </c>
      <c r="P40" s="31"/>
      <c r="Q40" s="3"/>
      <c r="R40" s="3"/>
      <c r="S40" s="27"/>
      <c r="T40" s="27"/>
      <c r="U40" s="3"/>
      <c r="V40" s="3"/>
      <c r="W40" s="3"/>
      <c r="X40" s="3">
        <f>IF(O40&gt;0,O40,((P40*2.2046*S40)+(Q40+R40)/G40)+V40)</f>
        <v>19</v>
      </c>
      <c r="Y40" s="3">
        <f t="shared" ref="Y40:Y43" si="62">IF(O40&gt;0,O40,((P40*2.2046*S40)+(Q40+R40+T40)/G40)+V40+W40)</f>
        <v>19</v>
      </c>
      <c r="Z40" s="29">
        <f>Y40*F40</f>
        <v>57273.03</v>
      </c>
      <c r="AA40" s="30">
        <v>42968</v>
      </c>
    </row>
    <row r="41" spans="1:27" s="22" customFormat="1" x14ac:dyDescent="0.25">
      <c r="A41" s="126"/>
      <c r="B41" s="17" t="s">
        <v>76</v>
      </c>
      <c r="C41" s="19" t="s">
        <v>33</v>
      </c>
      <c r="D41" s="18" t="s">
        <v>77</v>
      </c>
      <c r="E41" s="19" t="s">
        <v>78</v>
      </c>
      <c r="F41" s="20">
        <v>3720.7</v>
      </c>
      <c r="G41" s="21">
        <v>3720.7</v>
      </c>
      <c r="H41" s="21">
        <f t="shared" si="58"/>
        <v>0</v>
      </c>
      <c r="I41" s="18" t="s">
        <v>599</v>
      </c>
      <c r="J41" s="19"/>
      <c r="K41" s="24"/>
      <c r="L41" s="24">
        <v>42961</v>
      </c>
      <c r="M41" s="18" t="s">
        <v>60</v>
      </c>
      <c r="N41" s="19"/>
      <c r="O41" s="3">
        <v>19.5</v>
      </c>
      <c r="P41" s="31"/>
      <c r="Q41" s="3"/>
      <c r="R41" s="3"/>
      <c r="S41" s="27"/>
      <c r="T41" s="27"/>
      <c r="U41" s="3"/>
      <c r="V41" s="3"/>
      <c r="W41" s="3"/>
      <c r="X41" s="3">
        <f>IF(O41&gt;0,O41,((P41*2.2046*S41)+(Q41+R41)/G41)+V41)</f>
        <v>19.5</v>
      </c>
      <c r="Y41" s="3">
        <f t="shared" si="62"/>
        <v>19.5</v>
      </c>
      <c r="Z41" s="29">
        <f>Y41*F41</f>
        <v>72553.649999999994</v>
      </c>
      <c r="AA41" s="30">
        <v>42968</v>
      </c>
    </row>
    <row r="42" spans="1:27" s="22" customFormat="1" x14ac:dyDescent="0.25">
      <c r="A42" s="126"/>
      <c r="B42" s="17" t="s">
        <v>26</v>
      </c>
      <c r="C42" s="18" t="s">
        <v>27</v>
      </c>
      <c r="D42" s="18" t="s">
        <v>27</v>
      </c>
      <c r="E42" s="19" t="s">
        <v>34</v>
      </c>
      <c r="F42" s="20">
        <f>41862*0.4536</f>
        <v>18988.603200000001</v>
      </c>
      <c r="G42" s="21">
        <v>18951.14</v>
      </c>
      <c r="H42" s="21">
        <f t="shared" si="58"/>
        <v>-37.463200000001962</v>
      </c>
      <c r="I42" s="22" t="s">
        <v>600</v>
      </c>
      <c r="J42" s="23" t="s">
        <v>30</v>
      </c>
      <c r="K42" s="24">
        <v>42961</v>
      </c>
      <c r="L42" s="24">
        <v>42962</v>
      </c>
      <c r="M42" s="18" t="s">
        <v>62</v>
      </c>
      <c r="N42" s="18" t="s">
        <v>601</v>
      </c>
      <c r="O42" s="3"/>
      <c r="P42" s="25">
        <f>0.6334+0.095</f>
        <v>0.72839999999999994</v>
      </c>
      <c r="Q42" s="26">
        <v>23000</v>
      </c>
      <c r="R42" s="3">
        <v>9400</v>
      </c>
      <c r="S42" s="51">
        <v>17.786000000000001</v>
      </c>
      <c r="T42" s="28">
        <f>X42*F42*0.005</f>
        <v>2885.4097286883002</v>
      </c>
      <c r="V42" s="3">
        <v>0.12</v>
      </c>
      <c r="W42" s="3">
        <v>0.3</v>
      </c>
      <c r="X42" s="3">
        <f>IF(O42&gt;0,O42,((P42*2.2046*S42)+(Q42+R42)/G42)+V42)</f>
        <v>30.390963445782045</v>
      </c>
      <c r="Y42" s="3">
        <f t="shared" si="62"/>
        <v>30.843218651995933</v>
      </c>
      <c r="Z42" s="29">
        <f>Y42*F42</f>
        <v>585669.64039358974</v>
      </c>
      <c r="AA42" s="30">
        <v>42968</v>
      </c>
    </row>
    <row r="43" spans="1:27" s="22" customFormat="1" x14ac:dyDescent="0.25">
      <c r="A43" s="126"/>
      <c r="B43" s="17" t="s">
        <v>26</v>
      </c>
      <c r="C43" s="18" t="s">
        <v>37</v>
      </c>
      <c r="D43" s="18" t="s">
        <v>37</v>
      </c>
      <c r="E43" s="19" t="s">
        <v>28</v>
      </c>
      <c r="F43" s="20">
        <f>41802*0.4536</f>
        <v>18961.387200000001</v>
      </c>
      <c r="G43" s="21">
        <v>18904.18</v>
      </c>
      <c r="H43" s="21">
        <f>G43-F43</f>
        <v>-57.207200000000739</v>
      </c>
      <c r="I43" s="22" t="s">
        <v>602</v>
      </c>
      <c r="J43" s="23" t="s">
        <v>30</v>
      </c>
      <c r="K43" s="24">
        <v>42961</v>
      </c>
      <c r="L43" s="24">
        <v>42962</v>
      </c>
      <c r="M43" s="18" t="s">
        <v>62</v>
      </c>
      <c r="N43" s="18" t="s">
        <v>603</v>
      </c>
      <c r="O43" s="3"/>
      <c r="P43" s="25">
        <f>0.6585+0.095</f>
        <v>0.75349999999999995</v>
      </c>
      <c r="Q43" s="26">
        <v>23000</v>
      </c>
      <c r="R43" s="3">
        <v>9400</v>
      </c>
      <c r="S43" s="51">
        <v>17.920000000000002</v>
      </c>
      <c r="T43" s="28">
        <f>X43*F43*0.005</f>
        <v>2996.0890921803493</v>
      </c>
      <c r="V43" s="3">
        <v>0.12</v>
      </c>
      <c r="W43" s="3">
        <v>0.3</v>
      </c>
      <c r="X43" s="3">
        <f t="shared" ref="X43" si="63">IF(O43&gt;0,O43,((P43*2.2046*S43)+(Q43+R43)/G43)+V43)</f>
        <v>31.602003171796937</v>
      </c>
      <c r="Y43" s="3">
        <f t="shared" si="62"/>
        <v>32.060491352304126</v>
      </c>
      <c r="Z43" s="29">
        <f t="shared" ref="Z43" si="64">Y43*F43</f>
        <v>607911.39035329013</v>
      </c>
      <c r="AA43" s="30">
        <v>42955</v>
      </c>
    </row>
    <row r="44" spans="1:27" s="22" customFormat="1" x14ac:dyDescent="0.25">
      <c r="A44" s="126"/>
      <c r="B44" s="17" t="s">
        <v>41</v>
      </c>
      <c r="C44" s="19" t="s">
        <v>42</v>
      </c>
      <c r="D44" s="18" t="s">
        <v>51</v>
      </c>
      <c r="E44" s="19">
        <v>200</v>
      </c>
      <c r="F44" s="20">
        <v>22080</v>
      </c>
      <c r="G44" s="21">
        <f>6190+11510</f>
        <v>17700</v>
      </c>
      <c r="H44" s="21">
        <f>G44-F44</f>
        <v>-4380</v>
      </c>
      <c r="I44" s="22" t="s">
        <v>604</v>
      </c>
      <c r="J44" s="19"/>
      <c r="K44" s="24"/>
      <c r="L44" s="24">
        <v>42962</v>
      </c>
      <c r="M44" s="18" t="s">
        <v>62</v>
      </c>
      <c r="N44" s="19"/>
      <c r="O44" s="3">
        <v>29.5</v>
      </c>
      <c r="P44" s="31"/>
      <c r="Q44" s="33">
        <v>19800</v>
      </c>
      <c r="R44" s="3">
        <f>65*E44</f>
        <v>13000</v>
      </c>
      <c r="S44" s="27">
        <f>-38*E44</f>
        <v>-7600</v>
      </c>
      <c r="T44" s="28">
        <f t="shared" ref="T44" si="65">X44*F44*0.005</f>
        <v>4226.1369491525429</v>
      </c>
      <c r="U44" s="3">
        <f>E44*5</f>
        <v>1000</v>
      </c>
      <c r="V44" s="19"/>
      <c r="W44" s="3">
        <v>0.3</v>
      </c>
      <c r="X44" s="3">
        <f>((O44*F44)+Q44+R44+S44+U44)/G44</f>
        <v>38.280225988700565</v>
      </c>
      <c r="Y44" s="3">
        <f>((O44*F44)+Q44+R44+S44+T44+U44)/G44+W44</f>
        <v>38.81899078808771</v>
      </c>
      <c r="Z44" s="29">
        <f>Y44*G44</f>
        <v>687096.13694915245</v>
      </c>
      <c r="AA44" s="30">
        <v>42975</v>
      </c>
    </row>
    <row r="45" spans="1:27" s="22" customFormat="1" x14ac:dyDescent="0.25">
      <c r="A45" s="126"/>
      <c r="B45" s="17" t="s">
        <v>26</v>
      </c>
      <c r="C45" s="18" t="s">
        <v>37</v>
      </c>
      <c r="D45" s="18" t="s">
        <v>37</v>
      </c>
      <c r="E45" s="19" t="s">
        <v>28</v>
      </c>
      <c r="F45" s="20">
        <f>41881*0.4536</f>
        <v>18997.221600000001</v>
      </c>
      <c r="G45" s="21">
        <v>18936.86</v>
      </c>
      <c r="H45" s="21">
        <f>G45-F45</f>
        <v>-60.36160000000018</v>
      </c>
      <c r="I45" s="22" t="s">
        <v>605</v>
      </c>
      <c r="J45" s="23" t="s">
        <v>39</v>
      </c>
      <c r="K45" s="24">
        <v>42962</v>
      </c>
      <c r="L45" s="24">
        <v>42963</v>
      </c>
      <c r="M45" s="18" t="s">
        <v>31</v>
      </c>
      <c r="N45" s="18" t="s">
        <v>601</v>
      </c>
      <c r="O45" s="3"/>
      <c r="P45" s="25">
        <f>0.6334+0.095</f>
        <v>0.72839999999999994</v>
      </c>
      <c r="Q45" s="26">
        <v>23000</v>
      </c>
      <c r="R45" s="3">
        <v>9400</v>
      </c>
      <c r="S45" s="51">
        <v>18.015000000000001</v>
      </c>
      <c r="T45" s="28">
        <f>X45*F45*0.005</f>
        <v>2921.7715318815103</v>
      </c>
      <c r="V45" s="3">
        <v>0.12</v>
      </c>
      <c r="W45" s="3">
        <v>0.3</v>
      </c>
      <c r="X45" s="3">
        <f t="shared" ref="X45" si="66">IF(O45&gt;0,O45,((P45*2.2046*S45)+(Q45+R45)/G45)+V45)</f>
        <v>30.75998789087674</v>
      </c>
      <c r="Y45" s="3">
        <f t="shared" ref="Y45" si="67">IF(O45&gt;0,O45,((P45*2.2046*S45)+(Q45+R45+T45)/G45)+V45+W45)</f>
        <v>31.214278070551803</v>
      </c>
      <c r="Z45" s="29">
        <f t="shared" ref="Z45" si="68">Y45*F45</f>
        <v>592984.557590293</v>
      </c>
      <c r="AA45" s="30">
        <v>42956</v>
      </c>
    </row>
    <row r="46" spans="1:27" s="22" customFormat="1" x14ac:dyDescent="0.25">
      <c r="A46" s="126"/>
      <c r="B46" s="17" t="s">
        <v>41</v>
      </c>
      <c r="C46" s="19" t="s">
        <v>42</v>
      </c>
      <c r="D46" s="18" t="s">
        <v>606</v>
      </c>
      <c r="E46" s="19">
        <v>200</v>
      </c>
      <c r="F46" s="20">
        <v>23605</v>
      </c>
      <c r="G46" s="21">
        <f>12150+6530</f>
        <v>18680</v>
      </c>
      <c r="H46" s="21">
        <f t="shared" ref="H46:H49" si="69">G46-F46</f>
        <v>-4925</v>
      </c>
      <c r="I46" s="22" t="s">
        <v>607</v>
      </c>
      <c r="J46" s="19"/>
      <c r="K46" s="24"/>
      <c r="L46" s="24">
        <v>42963</v>
      </c>
      <c r="M46" s="18" t="s">
        <v>31</v>
      </c>
      <c r="N46" s="19"/>
      <c r="O46" s="3">
        <v>29.5</v>
      </c>
      <c r="P46" s="31"/>
      <c r="Q46" s="26">
        <v>19800</v>
      </c>
      <c r="R46" s="3">
        <f>65*E46</f>
        <v>13000</v>
      </c>
      <c r="S46" s="27">
        <f>-38*E46</f>
        <v>-7600</v>
      </c>
      <c r="T46" s="28">
        <f>X46*F46*0.0045</f>
        <v>4108.715300789615</v>
      </c>
      <c r="U46" s="3">
        <f>E46*5</f>
        <v>1000</v>
      </c>
      <c r="V46" s="19"/>
      <c r="W46" s="3">
        <v>0.3</v>
      </c>
      <c r="X46" s="3">
        <f>((O46*F46)+Q46+R46+S46+U46)/G46</f>
        <v>38.680273019271951</v>
      </c>
      <c r="Y46" s="3">
        <f t="shared" ref="Y46" si="70">((O46*F46)+Q46+R46+S46+T46+U46)/G46+W46</f>
        <v>39.200225658500507</v>
      </c>
      <c r="Z46" s="29">
        <f>Y46*G46</f>
        <v>732260.21530078945</v>
      </c>
      <c r="AA46" s="30">
        <v>42976</v>
      </c>
    </row>
    <row r="47" spans="1:27" s="22" customFormat="1" x14ac:dyDescent="0.25">
      <c r="A47" s="126"/>
      <c r="B47" s="17" t="s">
        <v>323</v>
      </c>
      <c r="C47" s="18" t="s">
        <v>163</v>
      </c>
      <c r="D47" s="18" t="s">
        <v>324</v>
      </c>
      <c r="E47" s="19" t="s">
        <v>421</v>
      </c>
      <c r="F47" s="20">
        <v>4999.3999999999996</v>
      </c>
      <c r="G47" s="21">
        <v>4999.18</v>
      </c>
      <c r="H47" s="21">
        <f t="shared" si="69"/>
        <v>-0.21999999999934516</v>
      </c>
      <c r="I47" s="22" t="s">
        <v>608</v>
      </c>
      <c r="J47" s="19"/>
      <c r="K47" s="24"/>
      <c r="L47" s="24">
        <v>42963</v>
      </c>
      <c r="M47" s="18" t="s">
        <v>31</v>
      </c>
      <c r="N47" s="19"/>
      <c r="O47" s="3">
        <v>92</v>
      </c>
      <c r="P47" s="31"/>
      <c r="Q47" s="3"/>
      <c r="R47" s="3"/>
      <c r="S47" s="27"/>
      <c r="T47" s="27"/>
      <c r="U47" s="3"/>
      <c r="V47" s="19"/>
      <c r="W47" s="3"/>
      <c r="X47" s="3">
        <f t="shared" ref="X47:X50" si="71">IF(O47&gt;0,O47,((P47*2.2046*S47)+(Q47+R47)/G47)+V47)</f>
        <v>92</v>
      </c>
      <c r="Y47" s="3">
        <f t="shared" ref="Y47:Y50" si="72">IF(O47&gt;0,O47,((P47*2.2046*S47)+(Q47+R47+T47)/G47)+V47+W47)</f>
        <v>92</v>
      </c>
      <c r="Z47" s="29">
        <f t="shared" ref="Z47:Z50" si="73">Y47*F47</f>
        <v>459944.8</v>
      </c>
      <c r="AA47" s="30">
        <v>42972</v>
      </c>
    </row>
    <row r="48" spans="1:27" s="22" customFormat="1" x14ac:dyDescent="0.25">
      <c r="A48" s="126"/>
      <c r="B48" s="17" t="s">
        <v>87</v>
      </c>
      <c r="C48" s="19" t="s">
        <v>609</v>
      </c>
      <c r="D48" s="18" t="s">
        <v>324</v>
      </c>
      <c r="E48" s="19" t="s">
        <v>610</v>
      </c>
      <c r="F48" s="20">
        <v>500.52</v>
      </c>
      <c r="G48" s="21">
        <v>500.52</v>
      </c>
      <c r="H48" s="21">
        <f t="shared" si="69"/>
        <v>0</v>
      </c>
      <c r="I48" s="22" t="s">
        <v>608</v>
      </c>
      <c r="J48" s="19"/>
      <c r="K48" s="24"/>
      <c r="L48" s="24">
        <v>42963</v>
      </c>
      <c r="M48" s="18" t="s">
        <v>31</v>
      </c>
      <c r="N48" s="19"/>
      <c r="O48" s="3">
        <v>89</v>
      </c>
      <c r="P48" s="31"/>
      <c r="Q48" s="3"/>
      <c r="R48" s="3"/>
      <c r="S48" s="27"/>
      <c r="T48" s="27"/>
      <c r="U48" s="3"/>
      <c r="V48" s="19"/>
      <c r="W48" s="3"/>
      <c r="X48" s="3">
        <f t="shared" si="71"/>
        <v>89</v>
      </c>
      <c r="Y48" s="3">
        <f t="shared" si="72"/>
        <v>89</v>
      </c>
      <c r="Z48" s="29">
        <f t="shared" si="73"/>
        <v>44546.28</v>
      </c>
      <c r="AA48" s="30">
        <v>42972</v>
      </c>
    </row>
    <row r="49" spans="1:27" s="22" customFormat="1" x14ac:dyDescent="0.25">
      <c r="A49" s="126"/>
      <c r="B49" s="17" t="s">
        <v>611</v>
      </c>
      <c r="C49" s="18" t="s">
        <v>127</v>
      </c>
      <c r="D49" s="18" t="s">
        <v>324</v>
      </c>
      <c r="E49" s="19" t="s">
        <v>612</v>
      </c>
      <c r="F49" s="20">
        <v>2046.39</v>
      </c>
      <c r="G49" s="21">
        <v>2046.34</v>
      </c>
      <c r="H49" s="21">
        <f t="shared" si="69"/>
        <v>-5.0000000000181899E-2</v>
      </c>
      <c r="I49" s="22" t="s">
        <v>608</v>
      </c>
      <c r="J49" s="19"/>
      <c r="K49" s="24"/>
      <c r="L49" s="24">
        <v>42963</v>
      </c>
      <c r="M49" s="18" t="s">
        <v>31</v>
      </c>
      <c r="N49" s="19"/>
      <c r="O49" s="3">
        <v>44.5</v>
      </c>
      <c r="P49" s="31"/>
      <c r="Q49" s="3"/>
      <c r="R49" s="3"/>
      <c r="S49" s="27"/>
      <c r="T49" s="27"/>
      <c r="U49" s="3"/>
      <c r="V49" s="19"/>
      <c r="W49" s="3"/>
      <c r="X49" s="3">
        <f t="shared" si="71"/>
        <v>44.5</v>
      </c>
      <c r="Y49" s="3">
        <f t="shared" si="72"/>
        <v>44.5</v>
      </c>
      <c r="Z49" s="29">
        <f t="shared" si="73"/>
        <v>91064.35500000001</v>
      </c>
      <c r="AA49" s="30">
        <v>42972</v>
      </c>
    </row>
    <row r="50" spans="1:27" s="22" customFormat="1" x14ac:dyDescent="0.25">
      <c r="A50" s="126"/>
      <c r="B50" s="17" t="s">
        <v>26</v>
      </c>
      <c r="C50" s="18" t="s">
        <v>33</v>
      </c>
      <c r="D50" s="18" t="s">
        <v>33</v>
      </c>
      <c r="E50" s="19" t="s">
        <v>34</v>
      </c>
      <c r="F50" s="20">
        <f>42167*0.4536</f>
        <v>19126.9512</v>
      </c>
      <c r="G50" s="21">
        <v>19091.04</v>
      </c>
      <c r="H50" s="21">
        <f>G50-F50</f>
        <v>-35.911199999998644</v>
      </c>
      <c r="I50" s="22" t="s">
        <v>613</v>
      </c>
      <c r="J50" s="23" t="s">
        <v>30</v>
      </c>
      <c r="K50" s="24">
        <v>42963</v>
      </c>
      <c r="L50" s="24">
        <v>42964</v>
      </c>
      <c r="M50" s="18" t="s">
        <v>47</v>
      </c>
      <c r="N50" s="18" t="s">
        <v>614</v>
      </c>
      <c r="O50" s="3"/>
      <c r="P50" s="25">
        <f>0.646+0.105</f>
        <v>0.751</v>
      </c>
      <c r="Q50" s="26">
        <v>23000</v>
      </c>
      <c r="R50" s="3">
        <v>9400</v>
      </c>
      <c r="S50" s="51">
        <v>17.969000000000001</v>
      </c>
      <c r="T50" s="28">
        <f>X50*F50*0.005</f>
        <v>3018.958645421847</v>
      </c>
      <c r="V50" s="3">
        <v>0.12</v>
      </c>
      <c r="W50" s="3">
        <v>0.3</v>
      </c>
      <c r="X50" s="3">
        <f t="shared" si="71"/>
        <v>31.567588727071641</v>
      </c>
      <c r="Y50" s="3">
        <f t="shared" si="72"/>
        <v>32.025723571764324</v>
      </c>
      <c r="Z50" s="29">
        <f t="shared" si="73"/>
        <v>612554.45190182596</v>
      </c>
      <c r="AA50" s="30">
        <v>42957</v>
      </c>
    </row>
    <row r="51" spans="1:27" s="22" customFormat="1" x14ac:dyDescent="0.25">
      <c r="A51" s="126"/>
      <c r="B51" s="17" t="s">
        <v>41</v>
      </c>
      <c r="C51" s="19" t="s">
        <v>42</v>
      </c>
      <c r="D51" s="18" t="s">
        <v>51</v>
      </c>
      <c r="E51" s="19">
        <f>229</f>
        <v>229</v>
      </c>
      <c r="F51" s="20">
        <f>25690</f>
        <v>25690</v>
      </c>
      <c r="G51" s="21">
        <f>18050</f>
        <v>18050</v>
      </c>
      <c r="H51" s="21">
        <f t="shared" ref="H51:H59" si="74">G51-F51</f>
        <v>-7640</v>
      </c>
      <c r="I51" s="22" t="s">
        <v>615</v>
      </c>
      <c r="J51" s="50">
        <v>200</v>
      </c>
      <c r="K51" s="24"/>
      <c r="L51" s="24">
        <v>42964</v>
      </c>
      <c r="M51" s="18" t="s">
        <v>47</v>
      </c>
      <c r="N51" s="19"/>
      <c r="O51" s="3">
        <v>29.5</v>
      </c>
      <c r="P51" s="31"/>
      <c r="Q51" s="33">
        <f>19800</f>
        <v>19800</v>
      </c>
      <c r="R51" s="3">
        <f t="shared" ref="R51:R54" si="75">65*E51</f>
        <v>14885</v>
      </c>
      <c r="S51" s="27">
        <f t="shared" ref="S51:S54" si="76">-38*E51</f>
        <v>-8702</v>
      </c>
      <c r="T51" s="28">
        <f t="shared" ref="T51:T52" si="77">X51*F51*0.0045</f>
        <v>5027.5877958448746</v>
      </c>
      <c r="U51" s="3">
        <f t="shared" ref="U51:U52" si="78">E51*5</f>
        <v>1145</v>
      </c>
      <c r="V51" s="19"/>
      <c r="W51" s="3">
        <v>0.3</v>
      </c>
      <c r="X51" s="3">
        <f t="shared" ref="X51:X52" si="79">((O51*F51)+Q51+R51+S51+U51)/G51</f>
        <v>43.489362880886425</v>
      </c>
      <c r="Y51" s="3">
        <f t="shared" ref="Y51:Y54" si="80">((O51*F51)+Q51+R51+S51+T51+U51)/G51+W51</f>
        <v>44.06789960087783</v>
      </c>
      <c r="Z51" s="29">
        <f t="shared" ref="Z51:Z54" si="81">Y51*G51</f>
        <v>795425.58779584488</v>
      </c>
      <c r="AA51" s="30">
        <v>42977</v>
      </c>
    </row>
    <row r="52" spans="1:27" s="22" customFormat="1" x14ac:dyDescent="0.25">
      <c r="A52" s="126"/>
      <c r="B52" s="17" t="s">
        <v>41</v>
      </c>
      <c r="C52" s="19" t="s">
        <v>42</v>
      </c>
      <c r="D52" s="18" t="s">
        <v>58</v>
      </c>
      <c r="E52" s="19">
        <v>100</v>
      </c>
      <c r="F52" s="20">
        <v>11060</v>
      </c>
      <c r="G52" s="21">
        <v>11260</v>
      </c>
      <c r="H52" s="21">
        <f t="shared" si="74"/>
        <v>200</v>
      </c>
      <c r="I52" s="22" t="s">
        <v>616</v>
      </c>
      <c r="J52" s="50">
        <v>129</v>
      </c>
      <c r="K52" s="24"/>
      <c r="L52" s="24">
        <v>42964</v>
      </c>
      <c r="M52" s="18" t="s">
        <v>47</v>
      </c>
      <c r="N52" s="19"/>
      <c r="O52" s="3">
        <v>29.5</v>
      </c>
      <c r="P52" s="31"/>
      <c r="Q52" s="26">
        <v>15700</v>
      </c>
      <c r="R52" s="3">
        <f t="shared" si="75"/>
        <v>6500</v>
      </c>
      <c r="S52" s="27">
        <f t="shared" si="76"/>
        <v>-3800</v>
      </c>
      <c r="T52" s="28">
        <f t="shared" si="77"/>
        <v>1525.6759236234457</v>
      </c>
      <c r="U52" s="3">
        <f t="shared" si="78"/>
        <v>500</v>
      </c>
      <c r="V52" s="19"/>
      <c r="W52" s="3">
        <v>0.3</v>
      </c>
      <c r="X52" s="3">
        <f t="shared" si="79"/>
        <v>30.654529307282417</v>
      </c>
      <c r="Y52" s="3">
        <f t="shared" si="80"/>
        <v>31.090024504762294</v>
      </c>
      <c r="Z52" s="29">
        <f t="shared" si="81"/>
        <v>350073.67592362344</v>
      </c>
      <c r="AA52" s="30">
        <v>42977</v>
      </c>
    </row>
    <row r="53" spans="1:27" s="22" customFormat="1" x14ac:dyDescent="0.25">
      <c r="A53" s="126"/>
      <c r="B53" s="17" t="s">
        <v>41</v>
      </c>
      <c r="C53" s="19" t="s">
        <v>42</v>
      </c>
      <c r="D53" s="18" t="s">
        <v>43</v>
      </c>
      <c r="E53" s="19">
        <v>200</v>
      </c>
      <c r="F53" s="20">
        <v>23100</v>
      </c>
      <c r="G53" s="21">
        <v>18710</v>
      </c>
      <c r="H53" s="21">
        <f t="shared" si="74"/>
        <v>-4390</v>
      </c>
      <c r="I53" s="22" t="s">
        <v>617</v>
      </c>
      <c r="J53" s="127">
        <v>200</v>
      </c>
      <c r="K53" s="24"/>
      <c r="L53" s="24">
        <v>42965</v>
      </c>
      <c r="M53" s="18" t="s">
        <v>49</v>
      </c>
      <c r="N53" s="19"/>
      <c r="O53" s="3">
        <v>29.5</v>
      </c>
      <c r="P53" s="31"/>
      <c r="Q53" s="26">
        <v>19800</v>
      </c>
      <c r="R53" s="3">
        <f t="shared" si="75"/>
        <v>13000</v>
      </c>
      <c r="S53" s="27">
        <f t="shared" si="76"/>
        <v>-7600</v>
      </c>
      <c r="T53" s="28">
        <f>X53*F53*0.0045</f>
        <v>3931.5990112239442</v>
      </c>
      <c r="U53" s="3">
        <f>E53*5</f>
        <v>1000</v>
      </c>
      <c r="V53" s="19"/>
      <c r="W53" s="3">
        <v>0.3</v>
      </c>
      <c r="X53" s="3">
        <f>((O53*F53)+Q53+R53+S53+U53)/G53</f>
        <v>37.822020309994656</v>
      </c>
      <c r="Y53" s="3">
        <f t="shared" si="80"/>
        <v>38.332153875533081</v>
      </c>
      <c r="Z53" s="29">
        <f t="shared" si="81"/>
        <v>717194.599011224</v>
      </c>
      <c r="AA53" s="30">
        <v>42978</v>
      </c>
    </row>
    <row r="54" spans="1:27" s="22" customFormat="1" x14ac:dyDescent="0.25">
      <c r="A54" s="126"/>
      <c r="B54" s="17" t="s">
        <v>41</v>
      </c>
      <c r="C54" s="19" t="s">
        <v>42</v>
      </c>
      <c r="D54" s="18" t="s">
        <v>198</v>
      </c>
      <c r="E54" s="19">
        <v>130</v>
      </c>
      <c r="F54" s="20">
        <v>14810</v>
      </c>
      <c r="G54" s="21">
        <v>11810</v>
      </c>
      <c r="H54" s="21">
        <f t="shared" si="74"/>
        <v>-3000</v>
      </c>
      <c r="I54" s="18" t="s">
        <v>618</v>
      </c>
      <c r="J54" s="127">
        <v>131</v>
      </c>
      <c r="K54" s="24"/>
      <c r="L54" s="24">
        <v>42965</v>
      </c>
      <c r="M54" s="18" t="s">
        <v>49</v>
      </c>
      <c r="N54" s="19"/>
      <c r="O54" s="3">
        <v>29.5</v>
      </c>
      <c r="P54" s="31"/>
      <c r="Q54" s="26">
        <v>15700</v>
      </c>
      <c r="R54" s="3">
        <f t="shared" si="75"/>
        <v>8450</v>
      </c>
      <c r="S54" s="27">
        <f t="shared" si="76"/>
        <v>-4940</v>
      </c>
      <c r="T54" s="28">
        <f>X54*F54*0.0045</f>
        <v>2577.5137150719725</v>
      </c>
      <c r="U54" s="3">
        <f>E54*5</f>
        <v>650</v>
      </c>
      <c r="V54" s="19"/>
      <c r="W54" s="3">
        <v>0.3</v>
      </c>
      <c r="X54" s="3">
        <f>((O54*F54)+Q54+R54+S54+U54)/G54</f>
        <v>38.675275190516508</v>
      </c>
      <c r="Y54" s="3">
        <f t="shared" si="80"/>
        <v>39.193523599921413</v>
      </c>
      <c r="Z54" s="29">
        <f t="shared" si="81"/>
        <v>462875.51371507189</v>
      </c>
      <c r="AA54" s="30">
        <v>42978</v>
      </c>
    </row>
    <row r="55" spans="1:27" s="22" customFormat="1" x14ac:dyDescent="0.25">
      <c r="A55" s="126"/>
      <c r="B55" s="17" t="s">
        <v>26</v>
      </c>
      <c r="C55" s="18" t="s">
        <v>27</v>
      </c>
      <c r="D55" s="18" t="s">
        <v>27</v>
      </c>
      <c r="E55" s="19" t="s">
        <v>34</v>
      </c>
      <c r="F55" s="20">
        <f>41578*0.4536</f>
        <v>18859.7808</v>
      </c>
      <c r="G55" s="21">
        <v>18832.96</v>
      </c>
      <c r="H55" s="21">
        <f>G55-F55</f>
        <v>-26.820800000001327</v>
      </c>
      <c r="I55" s="22" t="s">
        <v>619</v>
      </c>
      <c r="J55" s="23" t="s">
        <v>30</v>
      </c>
      <c r="K55" s="24">
        <v>42965</v>
      </c>
      <c r="L55" s="24">
        <v>42966</v>
      </c>
      <c r="M55" s="18" t="s">
        <v>98</v>
      </c>
      <c r="N55" s="18" t="s">
        <v>620</v>
      </c>
      <c r="O55" s="3"/>
      <c r="P55" s="25">
        <f>0.6421+0.095</f>
        <v>0.73709999999999998</v>
      </c>
      <c r="Q55" s="26">
        <v>23000</v>
      </c>
      <c r="R55" s="3">
        <v>9400</v>
      </c>
      <c r="S55" s="51">
        <v>17.672999999999998</v>
      </c>
      <c r="T55" s="28">
        <f>X55*F55*0.005</f>
        <v>2881.6992066555213</v>
      </c>
      <c r="V55" s="3">
        <v>0.12</v>
      </c>
      <c r="W55" s="3">
        <v>0.3</v>
      </c>
      <c r="X55" s="3">
        <f t="shared" ref="X55:X59" si="82">IF(O55&gt;0,O55,((P55*2.2046*S55)+(Q55+R55)/G55)+V55)</f>
        <v>30.559201479749131</v>
      </c>
      <c r="Y55" s="3">
        <f t="shared" ref="Y55:Y59" si="83">IF(O55&gt;0,O55,((P55*2.2046*S55)+(Q55+R55+T55)/G55)+V55+W55)</f>
        <v>31.012215090283828</v>
      </c>
      <c r="Z55" s="29">
        <f t="shared" ref="Z55:Z59" si="84">Y55*F55</f>
        <v>584883.57872520527</v>
      </c>
      <c r="AA55" s="30">
        <v>42977</v>
      </c>
    </row>
    <row r="56" spans="1:27" s="22" customFormat="1" x14ac:dyDescent="0.25">
      <c r="A56" s="126"/>
      <c r="B56" s="17" t="s">
        <v>26</v>
      </c>
      <c r="C56" s="18" t="s">
        <v>33</v>
      </c>
      <c r="D56" s="18" t="s">
        <v>33</v>
      </c>
      <c r="E56" s="19" t="s">
        <v>34</v>
      </c>
      <c r="F56" s="20">
        <f>42403*0.4536</f>
        <v>19234.000800000002</v>
      </c>
      <c r="G56" s="21">
        <v>19181.47</v>
      </c>
      <c r="H56" s="21">
        <f t="shared" si="74"/>
        <v>-52.530800000000454</v>
      </c>
      <c r="I56" s="22" t="s">
        <v>621</v>
      </c>
      <c r="J56" s="23" t="s">
        <v>30</v>
      </c>
      <c r="K56" s="24">
        <v>42965</v>
      </c>
      <c r="L56" s="24">
        <v>42966</v>
      </c>
      <c r="M56" s="18" t="s">
        <v>98</v>
      </c>
      <c r="N56" s="18" t="s">
        <v>622</v>
      </c>
      <c r="O56" s="3"/>
      <c r="P56" s="25">
        <f>0.6461+0.105</f>
        <v>0.75109999999999999</v>
      </c>
      <c r="Q56" s="26">
        <v>23000</v>
      </c>
      <c r="R56" s="3">
        <v>9400</v>
      </c>
      <c r="S56" s="51">
        <v>17.933</v>
      </c>
      <c r="T56" s="28">
        <f t="shared" ref="T56" si="85">X56*F56*0.005</f>
        <v>3029.7338086200029</v>
      </c>
      <c r="V56" s="3">
        <v>0.12</v>
      </c>
      <c r="W56" s="3">
        <v>0.3</v>
      </c>
      <c r="X56" s="3">
        <f t="shared" si="82"/>
        <v>31.503937637561112</v>
      </c>
      <c r="Y56" s="3">
        <f t="shared" si="83"/>
        <v>31.961888712667452</v>
      </c>
      <c r="Z56" s="29">
        <f t="shared" si="84"/>
        <v>614754.99306895677</v>
      </c>
      <c r="AA56" s="30">
        <v>42961</v>
      </c>
    </row>
    <row r="57" spans="1:27" s="22" customFormat="1" x14ac:dyDescent="0.25">
      <c r="A57" s="126"/>
      <c r="B57" s="17" t="s">
        <v>76</v>
      </c>
      <c r="C57" s="18" t="s">
        <v>33</v>
      </c>
      <c r="D57" s="18" t="s">
        <v>77</v>
      </c>
      <c r="E57" s="19" t="s">
        <v>78</v>
      </c>
      <c r="F57" s="20">
        <f>950.7+920.8+938.5+951.2</f>
        <v>3761.2</v>
      </c>
      <c r="G57" s="21">
        <v>3761.2</v>
      </c>
      <c r="H57" s="21">
        <f t="shared" si="74"/>
        <v>0</v>
      </c>
      <c r="I57" s="73" t="s">
        <v>623</v>
      </c>
      <c r="J57" s="19"/>
      <c r="K57" s="24"/>
      <c r="L57" s="24">
        <v>42966</v>
      </c>
      <c r="M57" s="18" t="s">
        <v>98</v>
      </c>
      <c r="N57" s="18"/>
      <c r="O57" s="3">
        <v>19.5</v>
      </c>
      <c r="P57" s="25"/>
      <c r="Q57" s="3"/>
      <c r="R57" s="3"/>
      <c r="S57" s="51"/>
      <c r="T57" s="27"/>
      <c r="V57" s="3"/>
      <c r="W57" s="3"/>
      <c r="X57" s="3">
        <f t="shared" si="82"/>
        <v>19.5</v>
      </c>
      <c r="Y57" s="3">
        <f t="shared" si="83"/>
        <v>19.5</v>
      </c>
      <c r="Z57" s="29">
        <f t="shared" si="84"/>
        <v>73343.399999999994</v>
      </c>
      <c r="AA57" s="30">
        <v>42975</v>
      </c>
    </row>
    <row r="58" spans="1:27" s="22" customFormat="1" x14ac:dyDescent="0.25">
      <c r="A58" s="126"/>
      <c r="B58" s="17" t="s">
        <v>26</v>
      </c>
      <c r="C58" s="18" t="s">
        <v>624</v>
      </c>
      <c r="D58" s="18" t="s">
        <v>77</v>
      </c>
      <c r="E58" s="19" t="s">
        <v>625</v>
      </c>
      <c r="F58" s="20">
        <f>1046+1025+992+974+1002+1011+1008+976</f>
        <v>8034</v>
      </c>
      <c r="G58" s="21">
        <v>8044</v>
      </c>
      <c r="H58" s="21">
        <f t="shared" si="74"/>
        <v>10</v>
      </c>
      <c r="I58" s="73" t="s">
        <v>626</v>
      </c>
      <c r="J58" s="19"/>
      <c r="K58" s="24"/>
      <c r="L58" s="24">
        <v>42966</v>
      </c>
      <c r="M58" s="18" t="s">
        <v>98</v>
      </c>
      <c r="N58" s="18"/>
      <c r="O58" s="3">
        <v>32.5</v>
      </c>
      <c r="P58" s="25"/>
      <c r="Q58" s="3"/>
      <c r="R58" s="3"/>
      <c r="S58" s="51"/>
      <c r="T58" s="27"/>
      <c r="V58" s="3"/>
      <c r="W58" s="3"/>
      <c r="X58" s="3">
        <f t="shared" si="82"/>
        <v>32.5</v>
      </c>
      <c r="Y58" s="3">
        <f t="shared" si="83"/>
        <v>32.5</v>
      </c>
      <c r="Z58" s="29">
        <f t="shared" si="84"/>
        <v>261105</v>
      </c>
      <c r="AA58" s="30">
        <v>42975</v>
      </c>
    </row>
    <row r="59" spans="1:27" s="22" customFormat="1" x14ac:dyDescent="0.25">
      <c r="A59" s="126"/>
      <c r="B59" s="17" t="s">
        <v>26</v>
      </c>
      <c r="C59" s="18" t="s">
        <v>624</v>
      </c>
      <c r="D59" s="18" t="s">
        <v>627</v>
      </c>
      <c r="E59" s="19" t="s">
        <v>625</v>
      </c>
      <c r="F59" s="20">
        <v>7838</v>
      </c>
      <c r="G59" s="21">
        <v>7838</v>
      </c>
      <c r="H59" s="21">
        <f t="shared" si="74"/>
        <v>0</v>
      </c>
      <c r="I59" s="73" t="s">
        <v>628</v>
      </c>
      <c r="J59" s="19"/>
      <c r="K59" s="24"/>
      <c r="L59" s="24">
        <v>42966</v>
      </c>
      <c r="M59" s="18" t="s">
        <v>98</v>
      </c>
      <c r="N59" s="18"/>
      <c r="O59" s="3">
        <v>32.5</v>
      </c>
      <c r="P59" s="25"/>
      <c r="Q59" s="3"/>
      <c r="R59" s="3"/>
      <c r="S59" s="51"/>
      <c r="T59" s="27"/>
      <c r="V59" s="3"/>
      <c r="W59" s="3"/>
      <c r="X59" s="3">
        <f t="shared" si="82"/>
        <v>32.5</v>
      </c>
      <c r="Y59" s="3">
        <f t="shared" si="83"/>
        <v>32.5</v>
      </c>
      <c r="Z59" s="29">
        <f t="shared" si="84"/>
        <v>254735</v>
      </c>
      <c r="AA59" s="30">
        <v>42975</v>
      </c>
    </row>
    <row r="60" spans="1:27" s="22" customFormat="1" ht="15.75" thickBot="1" x14ac:dyDescent="0.3">
      <c r="A60" s="128"/>
      <c r="B60" s="34"/>
      <c r="C60" s="6"/>
      <c r="D60" s="6"/>
      <c r="E60" s="6"/>
      <c r="F60" s="35"/>
      <c r="G60" s="35"/>
      <c r="H60" s="35"/>
      <c r="I60" s="9"/>
      <c r="J60" s="6"/>
      <c r="K60" s="10"/>
      <c r="L60" s="10"/>
      <c r="M60" s="6"/>
      <c r="N60" s="6"/>
      <c r="O60" s="11"/>
      <c r="P60" s="12"/>
      <c r="Q60" s="11"/>
      <c r="R60" s="11"/>
      <c r="S60" s="11"/>
      <c r="T60" s="11"/>
      <c r="U60" s="11"/>
      <c r="V60" s="11"/>
      <c r="W60" s="11"/>
      <c r="X60" s="11"/>
      <c r="Y60" s="11"/>
      <c r="Z60" s="15"/>
      <c r="AA60" s="36"/>
    </row>
    <row r="61" spans="1:27" s="22" customFormat="1" x14ac:dyDescent="0.25">
      <c r="A61" s="129"/>
      <c r="B61" s="38" t="s">
        <v>41</v>
      </c>
      <c r="C61" s="38" t="s">
        <v>42</v>
      </c>
      <c r="D61" s="39" t="s">
        <v>43</v>
      </c>
      <c r="E61" s="38">
        <v>220</v>
      </c>
      <c r="F61" s="40">
        <v>25400</v>
      </c>
      <c r="G61" s="41">
        <f>13990+6580</f>
        <v>20570</v>
      </c>
      <c r="H61" s="21">
        <f t="shared" ref="H61:H63" si="86">G61-F61</f>
        <v>-4830</v>
      </c>
      <c r="I61" s="39" t="s">
        <v>629</v>
      </c>
      <c r="J61" s="38"/>
      <c r="K61" s="42"/>
      <c r="L61" s="42">
        <v>42967</v>
      </c>
      <c r="M61" s="39" t="s">
        <v>57</v>
      </c>
      <c r="N61" s="38"/>
      <c r="O61" s="43">
        <v>29</v>
      </c>
      <c r="P61" s="44"/>
      <c r="Q61" s="45">
        <v>19800</v>
      </c>
      <c r="R61" s="43">
        <f t="shared" ref="R61:R62" si="87">65*E61</f>
        <v>14300</v>
      </c>
      <c r="S61" s="43">
        <f t="shared" ref="S61:S62" si="88">-38*E61</f>
        <v>-8360</v>
      </c>
      <c r="T61" s="72">
        <f>X61*F61*0.0045</f>
        <v>4242.1580943121044</v>
      </c>
      <c r="U61" s="43">
        <f>E61*5</f>
        <v>1100</v>
      </c>
      <c r="V61" s="38"/>
      <c r="W61" s="43">
        <v>0.3</v>
      </c>
      <c r="X61" s="43">
        <f>((O61*F61)+Q61+R61+S61+U61)/G61</f>
        <v>37.114244044725325</v>
      </c>
      <c r="Y61" s="47">
        <f t="shared" ref="Y61:Y62" si="89">((O61*F61)+Q61+R61+S61+T61+U61)/G61+W61</f>
        <v>37.620474384750217</v>
      </c>
      <c r="Z61" s="47">
        <f>Y61*G61</f>
        <v>773853.15809431195</v>
      </c>
      <c r="AA61" s="48">
        <v>42982</v>
      </c>
    </row>
    <row r="62" spans="1:27" s="22" customFormat="1" x14ac:dyDescent="0.25">
      <c r="A62" s="130"/>
      <c r="B62" s="17" t="s">
        <v>41</v>
      </c>
      <c r="C62" s="19" t="s">
        <v>42</v>
      </c>
      <c r="D62" s="18" t="s">
        <v>45</v>
      </c>
      <c r="E62" s="19">
        <v>200</v>
      </c>
      <c r="F62" s="20">
        <v>21920</v>
      </c>
      <c r="G62" s="21">
        <f>10580+7050</f>
        <v>17630</v>
      </c>
      <c r="H62" s="21">
        <f t="shared" si="86"/>
        <v>-4290</v>
      </c>
      <c r="I62" s="18" t="s">
        <v>630</v>
      </c>
      <c r="J62" s="19"/>
      <c r="K62" s="24"/>
      <c r="L62" s="24">
        <v>42968</v>
      </c>
      <c r="M62" s="18" t="s">
        <v>60</v>
      </c>
      <c r="N62" s="19"/>
      <c r="O62" s="3">
        <v>29</v>
      </c>
      <c r="P62" s="31"/>
      <c r="Q62" s="26">
        <v>19800</v>
      </c>
      <c r="R62" s="3">
        <f t="shared" si="87"/>
        <v>13000</v>
      </c>
      <c r="S62" s="27">
        <f t="shared" si="88"/>
        <v>-7600</v>
      </c>
      <c r="T62" s="28">
        <f>X62*F62*0.0045</f>
        <v>3703.2242314237096</v>
      </c>
      <c r="U62" s="3">
        <f>E62*5</f>
        <v>1000</v>
      </c>
      <c r="V62" s="19"/>
      <c r="W62" s="3">
        <v>0.3</v>
      </c>
      <c r="X62" s="3">
        <f>((O62*F62)+Q62+R62+S62+U62)/G62</f>
        <v>37.542824730572889</v>
      </c>
      <c r="Y62" s="3">
        <f t="shared" si="89"/>
        <v>38.052877154363223</v>
      </c>
      <c r="Z62" s="29">
        <f>Y62*G62</f>
        <v>670872.22423142358</v>
      </c>
      <c r="AA62" s="30">
        <v>42982</v>
      </c>
    </row>
    <row r="63" spans="1:27" s="22" customFormat="1" x14ac:dyDescent="0.25">
      <c r="A63" s="130"/>
      <c r="B63" s="17" t="s">
        <v>126</v>
      </c>
      <c r="C63" s="19" t="s">
        <v>631</v>
      </c>
      <c r="D63" s="18" t="s">
        <v>324</v>
      </c>
      <c r="E63" s="19" t="s">
        <v>632</v>
      </c>
      <c r="F63" s="20">
        <v>7518.78</v>
      </c>
      <c r="G63" s="21">
        <v>7518.78</v>
      </c>
      <c r="H63" s="21">
        <f t="shared" si="86"/>
        <v>0</v>
      </c>
      <c r="I63" s="18" t="s">
        <v>633</v>
      </c>
      <c r="J63" s="19"/>
      <c r="K63" s="24"/>
      <c r="L63" s="24">
        <v>42968</v>
      </c>
      <c r="M63" s="18" t="s">
        <v>60</v>
      </c>
      <c r="N63" s="19"/>
      <c r="O63" s="3">
        <v>85.5</v>
      </c>
      <c r="P63" s="31"/>
      <c r="Q63" s="3"/>
      <c r="R63" s="3"/>
      <c r="S63" s="27"/>
      <c r="T63" s="27"/>
      <c r="U63" s="3"/>
      <c r="V63" s="19"/>
      <c r="W63" s="3"/>
      <c r="X63" s="3">
        <f>IF(O63&gt;0,O63,((P64*2.2046*S63)+(Q63+R63)/G63)+V63)</f>
        <v>85.5</v>
      </c>
      <c r="Y63" s="3">
        <f>IF(O63&gt;0,O63,((P64*2.2046*S63)+(Q63+R63+T63)/G63)+V63+W63)</f>
        <v>85.5</v>
      </c>
      <c r="Z63" s="29">
        <f>Y63*F63</f>
        <v>642855.68999999994</v>
      </c>
      <c r="AA63" s="30">
        <v>42977</v>
      </c>
    </row>
    <row r="64" spans="1:27" s="22" customFormat="1" x14ac:dyDescent="0.25">
      <c r="A64" s="130"/>
      <c r="B64" s="17" t="s">
        <v>26</v>
      </c>
      <c r="C64" s="18" t="s">
        <v>27</v>
      </c>
      <c r="D64" s="18" t="s">
        <v>27</v>
      </c>
      <c r="E64" s="19" t="s">
        <v>34</v>
      </c>
      <c r="F64" s="20">
        <f>41198*0.4536</f>
        <v>18687.412800000002</v>
      </c>
      <c r="G64" s="21">
        <v>18662.939999999999</v>
      </c>
      <c r="H64" s="21">
        <f>G64-F64</f>
        <v>-24.47280000000319</v>
      </c>
      <c r="I64" s="22" t="s">
        <v>634</v>
      </c>
      <c r="J64" s="23" t="s">
        <v>30</v>
      </c>
      <c r="K64" s="24">
        <v>42968</v>
      </c>
      <c r="L64" s="24">
        <v>42969</v>
      </c>
      <c r="M64" s="18" t="s">
        <v>62</v>
      </c>
      <c r="N64" s="18" t="s">
        <v>635</v>
      </c>
      <c r="O64" s="3"/>
      <c r="P64" s="25">
        <f>0.666+0.095</f>
        <v>0.76100000000000001</v>
      </c>
      <c r="Q64" s="26">
        <v>23000</v>
      </c>
      <c r="R64" s="3">
        <v>9400</v>
      </c>
      <c r="S64" s="51">
        <v>17.664999999999999</v>
      </c>
      <c r="T64" s="28">
        <f>X64*F64*0.005</f>
        <v>2886.9057944462943</v>
      </c>
      <c r="V64" s="3">
        <v>0.12</v>
      </c>
      <c r="W64" s="3">
        <v>0.3</v>
      </c>
      <c r="X64" s="3">
        <f>IF(O64&gt;0,O64,((P65*2.2046*S64)+(Q64+R64)/G64)+V64)</f>
        <v>30.896794814168114</v>
      </c>
      <c r="Y64" s="3">
        <f>IF(O64&gt;0,O64,((P65*2.2046*S64)+(Q64+R64+T64)/G64)+V64+W64)</f>
        <v>31.351481363792466</v>
      </c>
      <c r="Z64" s="29">
        <f>Y64*F64</f>
        <v>585878.07413669687</v>
      </c>
      <c r="AA64" s="30">
        <v>42979</v>
      </c>
    </row>
    <row r="65" spans="1:27" s="22" customFormat="1" x14ac:dyDescent="0.25">
      <c r="A65" s="130"/>
      <c r="B65" s="17" t="s">
        <v>26</v>
      </c>
      <c r="C65" s="18" t="s">
        <v>37</v>
      </c>
      <c r="D65" s="18" t="s">
        <v>37</v>
      </c>
      <c r="E65" s="19" t="s">
        <v>28</v>
      </c>
      <c r="F65" s="20">
        <f>41590*0.4536</f>
        <v>18865.223999999998</v>
      </c>
      <c r="G65" s="21">
        <v>18829.599999999999</v>
      </c>
      <c r="H65" s="21">
        <f>G65-F65</f>
        <v>-35.623999999999796</v>
      </c>
      <c r="I65" s="22" t="s">
        <v>636</v>
      </c>
      <c r="J65" s="23" t="s">
        <v>30</v>
      </c>
      <c r="K65" s="24">
        <v>42968</v>
      </c>
      <c r="L65" s="24">
        <v>42969</v>
      </c>
      <c r="M65" s="18" t="s">
        <v>62</v>
      </c>
      <c r="N65" s="18" t="s">
        <v>637</v>
      </c>
      <c r="O65" s="3"/>
      <c r="P65" s="25">
        <f>0.6507+0.095</f>
        <v>0.74569999999999992</v>
      </c>
      <c r="Q65" s="26">
        <v>23000</v>
      </c>
      <c r="R65" s="3">
        <v>9400</v>
      </c>
      <c r="S65" s="51">
        <v>17.87</v>
      </c>
      <c r="T65" s="28">
        <f>X65*F65*0.005</f>
        <v>3001.5707823054468</v>
      </c>
      <c r="V65" s="3">
        <v>0.12</v>
      </c>
      <c r="W65" s="3">
        <v>0.3</v>
      </c>
      <c r="X65" s="3">
        <f>IF(O65&gt;0,O65,((P64*2.2046*S65)+(Q65+R65)/G65)+V65)</f>
        <v>31.821204797838046</v>
      </c>
      <c r="Y65" s="3">
        <f>IF(O65&gt;0,O65,((P64*2.2046*S65)+(Q65+R65+T65)/G65)+V65+W65)</f>
        <v>32.280611836877931</v>
      </c>
      <c r="Z65" s="29">
        <f t="shared" ref="Z65" si="90">Y65*F65</f>
        <v>608980.9731597536</v>
      </c>
      <c r="AA65" s="30">
        <v>42962</v>
      </c>
    </row>
    <row r="66" spans="1:27" s="22" customFormat="1" x14ac:dyDescent="0.25">
      <c r="A66" s="130"/>
      <c r="B66" s="17" t="s">
        <v>41</v>
      </c>
      <c r="C66" s="19" t="s">
        <v>42</v>
      </c>
      <c r="D66" s="18" t="s">
        <v>43</v>
      </c>
      <c r="E66" s="19">
        <v>200</v>
      </c>
      <c r="F66" s="20">
        <v>22120</v>
      </c>
      <c r="G66" s="21">
        <f>11300+6090</f>
        <v>17390</v>
      </c>
      <c r="H66" s="21">
        <f>G66-F66</f>
        <v>-4730</v>
      </c>
      <c r="I66" s="22" t="s">
        <v>638</v>
      </c>
      <c r="J66" s="19"/>
      <c r="K66" s="24"/>
      <c r="L66" s="24">
        <v>42969</v>
      </c>
      <c r="M66" s="18" t="s">
        <v>62</v>
      </c>
      <c r="N66" s="19"/>
      <c r="O66" s="3">
        <v>29</v>
      </c>
      <c r="Q66" s="26">
        <v>19800</v>
      </c>
      <c r="R66" s="3">
        <f>65*E66</f>
        <v>13000</v>
      </c>
      <c r="S66" s="27">
        <f>-38*E66</f>
        <v>-7600</v>
      </c>
      <c r="T66" s="28">
        <f t="shared" ref="T66" si="91">X66*F66*0.005</f>
        <v>4246.4294422081657</v>
      </c>
      <c r="U66" s="3">
        <f>E66*5</f>
        <v>1000</v>
      </c>
      <c r="V66" s="19"/>
      <c r="W66" s="3"/>
      <c r="X66" s="3">
        <f>((O66*F66)+Q66+R66+S66+U66)/G66</f>
        <v>38.394479585968945</v>
      </c>
      <c r="Y66" s="3">
        <f>((O66*F66)+Q66+R66+S66+T66+U66)/G66+W66</f>
        <v>38.638667592996441</v>
      </c>
      <c r="Z66" s="29">
        <f>Y66*G66</f>
        <v>671926.42944220814</v>
      </c>
      <c r="AA66" s="30">
        <v>42982</v>
      </c>
    </row>
    <row r="67" spans="1:27" s="22" customFormat="1" x14ac:dyDescent="0.25">
      <c r="A67" s="130"/>
      <c r="B67" s="17" t="s">
        <v>26</v>
      </c>
      <c r="C67" s="18" t="s">
        <v>37</v>
      </c>
      <c r="D67" s="18" t="s">
        <v>37</v>
      </c>
      <c r="E67" s="19" t="s">
        <v>28</v>
      </c>
      <c r="F67" s="20">
        <f>41463*0.4536</f>
        <v>18807.6168</v>
      </c>
      <c r="G67" s="21">
        <v>18733.7</v>
      </c>
      <c r="H67" s="21">
        <f>G67-F67</f>
        <v>-73.916799999999057</v>
      </c>
      <c r="I67" s="22" t="s">
        <v>639</v>
      </c>
      <c r="J67" s="23" t="s">
        <v>39</v>
      </c>
      <c r="K67" s="24">
        <v>42969</v>
      </c>
      <c r="L67" s="24">
        <v>42970</v>
      </c>
      <c r="M67" s="18" t="s">
        <v>31</v>
      </c>
      <c r="N67" s="18" t="s">
        <v>635</v>
      </c>
      <c r="O67" s="3"/>
      <c r="P67" s="25">
        <f>0.666+0.095</f>
        <v>0.76100000000000001</v>
      </c>
      <c r="Q67" s="26">
        <v>23000</v>
      </c>
      <c r="R67" s="3">
        <v>9400</v>
      </c>
      <c r="S67" s="51">
        <v>17.885000000000002</v>
      </c>
      <c r="T67" s="28">
        <f>X67*F67*0.005</f>
        <v>2995.5999747566066</v>
      </c>
      <c r="V67" s="3">
        <v>0.12</v>
      </c>
      <c r="W67" s="3">
        <v>0.3</v>
      </c>
      <c r="X67" s="3">
        <f t="shared" ref="X67" si="92">IF(O67&gt;0,O67,((P67*2.2046*S67)+(Q67+R67)/G67)+V67)</f>
        <v>31.85517874605576</v>
      </c>
      <c r="Y67" s="3">
        <f t="shared" ref="Y67" si="93">IF(O67&gt;0,O67,((P67*2.2046*S67)+(Q67+R67+T67)/G67)+V67+W67)</f>
        <v>32.315083088217563</v>
      </c>
      <c r="Z67" s="29">
        <f t="shared" ref="Z67" si="94">Y67*F67</f>
        <v>607769.6995833565</v>
      </c>
      <c r="AA67" s="30">
        <v>42963</v>
      </c>
    </row>
    <row r="68" spans="1:27" s="22" customFormat="1" x14ac:dyDescent="0.25">
      <c r="A68" s="130"/>
      <c r="B68" s="17" t="s">
        <v>41</v>
      </c>
      <c r="C68" s="19" t="s">
        <v>42</v>
      </c>
      <c r="D68" s="18" t="s">
        <v>228</v>
      </c>
      <c r="E68" s="19">
        <f>20+180</f>
        <v>200</v>
      </c>
      <c r="F68" s="20">
        <f>2140+20220</f>
        <v>22360</v>
      </c>
      <c r="G68" s="21">
        <f>11500+6090</f>
        <v>17590</v>
      </c>
      <c r="H68" s="21">
        <f t="shared" ref="H68:H69" si="95">G68-F68</f>
        <v>-4770</v>
      </c>
      <c r="I68" s="22" t="s">
        <v>640</v>
      </c>
      <c r="J68" s="19"/>
      <c r="K68" s="24"/>
      <c r="L68" s="24">
        <v>42970</v>
      </c>
      <c r="M68" s="18" t="s">
        <v>31</v>
      </c>
      <c r="N68" s="19"/>
      <c r="O68" s="3">
        <v>29</v>
      </c>
      <c r="P68" s="31"/>
      <c r="Q68" s="26">
        <v>19800</v>
      </c>
      <c r="R68" s="3">
        <f>65*E68</f>
        <v>13000</v>
      </c>
      <c r="S68" s="27">
        <f>-38*E68</f>
        <v>-7600</v>
      </c>
      <c r="T68" s="28">
        <f>X68*F68*0.0045</f>
        <v>3859.1402387720291</v>
      </c>
      <c r="U68" s="3">
        <f>E68*5</f>
        <v>1000</v>
      </c>
      <c r="V68" s="19"/>
      <c r="W68" s="3">
        <v>0.15</v>
      </c>
      <c r="X68" s="3">
        <f>((O68*F68)+Q68+R68+S68+U68)/G68</f>
        <v>38.353610005685049</v>
      </c>
      <c r="Y68" s="3">
        <f t="shared" ref="Y68" si="96">((O68*F68)+Q68+R68+S68+T68+U68)/G68+W68</f>
        <v>38.723003993108129</v>
      </c>
      <c r="Z68" s="29">
        <f>Y68*G68</f>
        <v>681137.64023877203</v>
      </c>
      <c r="AA68" s="30">
        <v>42983</v>
      </c>
    </row>
    <row r="69" spans="1:27" s="22" customFormat="1" x14ac:dyDescent="0.25">
      <c r="A69" s="130"/>
      <c r="B69" s="17" t="s">
        <v>641</v>
      </c>
      <c r="C69" s="18" t="s">
        <v>33</v>
      </c>
      <c r="D69" s="18" t="s">
        <v>77</v>
      </c>
      <c r="E69" s="19" t="s">
        <v>218</v>
      </c>
      <c r="F69" s="20">
        <f>916.3+907.2+905.4</f>
        <v>2728.9</v>
      </c>
      <c r="G69" s="21">
        <v>2728.9</v>
      </c>
      <c r="H69" s="21">
        <f t="shared" si="95"/>
        <v>0</v>
      </c>
      <c r="I69" s="22" t="s">
        <v>642</v>
      </c>
      <c r="J69" s="19"/>
      <c r="K69" s="24"/>
      <c r="L69" s="24">
        <v>42970</v>
      </c>
      <c r="M69" s="18" t="s">
        <v>31</v>
      </c>
      <c r="N69" s="19"/>
      <c r="O69" s="3">
        <v>19.5</v>
      </c>
      <c r="P69" s="31"/>
      <c r="Q69" s="3"/>
      <c r="R69" s="3"/>
      <c r="S69" s="27"/>
      <c r="T69" s="27"/>
      <c r="U69" s="3"/>
      <c r="V69" s="19"/>
      <c r="W69" s="3"/>
      <c r="X69" s="3">
        <f t="shared" ref="X69:X70" si="97">IF(O69&gt;0,O69,((P69*2.2046*S69)+(Q69+R69)/G69)+V69)</f>
        <v>19.5</v>
      </c>
      <c r="Y69" s="3">
        <f t="shared" ref="Y69:Y70" si="98">IF(O69&gt;0,O69,((P69*2.2046*S69)+(Q69+R69+T69)/G69)+V69+W69)</f>
        <v>19.5</v>
      </c>
      <c r="Z69" s="29">
        <f t="shared" ref="Z69:Z70" si="99">Y69*F69</f>
        <v>53213.55</v>
      </c>
      <c r="AA69" s="30">
        <v>42977</v>
      </c>
    </row>
    <row r="70" spans="1:27" s="22" customFormat="1" x14ac:dyDescent="0.25">
      <c r="A70" s="130"/>
      <c r="B70" s="17" t="s">
        <v>26</v>
      </c>
      <c r="C70" s="18" t="s">
        <v>33</v>
      </c>
      <c r="D70" s="18" t="s">
        <v>33</v>
      </c>
      <c r="E70" s="19" t="s">
        <v>34</v>
      </c>
      <c r="F70" s="20">
        <f>42828*0.4536</f>
        <v>19426.7808</v>
      </c>
      <c r="G70" s="21">
        <v>19389.68</v>
      </c>
      <c r="H70" s="21">
        <f>G70-F70</f>
        <v>-37.100800000000163</v>
      </c>
      <c r="I70" s="22" t="s">
        <v>643</v>
      </c>
      <c r="J70" s="23" t="s">
        <v>30</v>
      </c>
      <c r="K70" s="24">
        <v>42970</v>
      </c>
      <c r="L70" s="24">
        <v>42971</v>
      </c>
      <c r="M70" s="18" t="s">
        <v>47</v>
      </c>
      <c r="N70" s="18" t="s">
        <v>644</v>
      </c>
      <c r="O70" s="3"/>
      <c r="P70" s="25">
        <f>0.6712+0.105</f>
        <v>0.7762</v>
      </c>
      <c r="Q70" s="26">
        <v>23000</v>
      </c>
      <c r="R70" s="3">
        <v>9400</v>
      </c>
      <c r="S70" s="51">
        <v>17.885000000000002</v>
      </c>
      <c r="T70" s="28">
        <f>X70*F70*0.005</f>
        <v>3146.7491906879254</v>
      </c>
      <c r="V70" s="3">
        <v>0.12</v>
      </c>
      <c r="W70" s="3">
        <v>0.3</v>
      </c>
      <c r="X70" s="3">
        <f t="shared" si="97"/>
        <v>32.395992141816158</v>
      </c>
      <c r="Y70" s="3">
        <f t="shared" si="98"/>
        <v>32.85828203987986</v>
      </c>
      <c r="Z70" s="29">
        <f t="shared" si="99"/>
        <v>638330.6426533229</v>
      </c>
      <c r="AA70" s="30">
        <v>42964</v>
      </c>
    </row>
    <row r="71" spans="1:27" s="22" customFormat="1" x14ac:dyDescent="0.25">
      <c r="A71" s="130"/>
      <c r="B71" s="17" t="s">
        <v>41</v>
      </c>
      <c r="C71" s="19" t="s">
        <v>42</v>
      </c>
      <c r="D71" s="18" t="s">
        <v>119</v>
      </c>
      <c r="E71" s="19">
        <v>200</v>
      </c>
      <c r="F71" s="20">
        <v>22920</v>
      </c>
      <c r="G71" s="21">
        <v>17630</v>
      </c>
      <c r="H71" s="21">
        <f t="shared" ref="H71:H75" si="100">G71-F71</f>
        <v>-5290</v>
      </c>
      <c r="I71" s="22" t="s">
        <v>645</v>
      </c>
      <c r="J71" s="127">
        <v>200</v>
      </c>
      <c r="K71" s="24"/>
      <c r="L71" s="24">
        <v>42971</v>
      </c>
      <c r="M71" s="18" t="s">
        <v>47</v>
      </c>
      <c r="N71" s="19"/>
      <c r="O71" s="3">
        <v>29</v>
      </c>
      <c r="P71" s="31"/>
      <c r="Q71" s="33">
        <v>19800</v>
      </c>
      <c r="R71" s="3">
        <f t="shared" ref="R71:R75" si="101">65*E71</f>
        <v>13000</v>
      </c>
      <c r="S71" s="27">
        <f t="shared" ref="S71:S75" si="102">-38*E71</f>
        <v>-7600</v>
      </c>
      <c r="T71" s="28">
        <f t="shared" ref="T71:T72" si="103">X71*F71*0.0045</f>
        <v>4041.8243448667045</v>
      </c>
      <c r="U71" s="3">
        <f t="shared" ref="U71:U72" si="104">E71*5</f>
        <v>1000</v>
      </c>
      <c r="V71" s="19"/>
      <c r="W71" s="3">
        <v>0.3</v>
      </c>
      <c r="X71" s="3">
        <f t="shared" ref="X71:X72" si="105">((O71*F71)+Q71+R71+S71+U71)/G71</f>
        <v>39.187748156551336</v>
      </c>
      <c r="Y71" s="3">
        <f t="shared" ref="Y71:Y75" si="106">((O71*F71)+Q71+R71+S71+T71+U71)/G71+W71</f>
        <v>39.717006485812064</v>
      </c>
      <c r="Z71" s="29">
        <f t="shared" ref="Z71:Z75" si="107">Y71*G71</f>
        <v>700210.82434486668</v>
      </c>
      <c r="AA71" s="30">
        <v>42984</v>
      </c>
    </row>
    <row r="72" spans="1:27" s="22" customFormat="1" x14ac:dyDescent="0.25">
      <c r="A72" s="130"/>
      <c r="B72" s="17" t="s">
        <v>41</v>
      </c>
      <c r="C72" s="19" t="s">
        <v>42</v>
      </c>
      <c r="D72" s="18" t="s">
        <v>228</v>
      </c>
      <c r="E72" s="19">
        <v>132</v>
      </c>
      <c r="F72" s="20">
        <f>14770-447</f>
        <v>14323</v>
      </c>
      <c r="G72" s="21">
        <v>11910</v>
      </c>
      <c r="H72" s="21">
        <f t="shared" si="100"/>
        <v>-2413</v>
      </c>
      <c r="I72" s="22" t="s">
        <v>646</v>
      </c>
      <c r="J72" s="127">
        <v>128</v>
      </c>
      <c r="K72" s="24"/>
      <c r="L72" s="24">
        <v>42971</v>
      </c>
      <c r="M72" s="18" t="s">
        <v>47</v>
      </c>
      <c r="N72" s="19"/>
      <c r="O72" s="3">
        <v>29</v>
      </c>
      <c r="P72" s="31"/>
      <c r="Q72" s="26">
        <v>15700</v>
      </c>
      <c r="R72" s="3">
        <f t="shared" si="101"/>
        <v>8580</v>
      </c>
      <c r="S72" s="27">
        <f t="shared" si="102"/>
        <v>-5016</v>
      </c>
      <c r="T72" s="28">
        <f t="shared" si="103"/>
        <v>2355.6698965994956</v>
      </c>
      <c r="U72" s="3">
        <f t="shared" si="104"/>
        <v>660</v>
      </c>
      <c r="V72" s="19"/>
      <c r="W72" s="3">
        <v>0.3</v>
      </c>
      <c r="X72" s="3">
        <f t="shared" si="105"/>
        <v>36.54836272040302</v>
      </c>
      <c r="Y72" s="3">
        <f t="shared" si="106"/>
        <v>37.046151964449997</v>
      </c>
      <c r="Z72" s="29">
        <f t="shared" si="107"/>
        <v>441219.66989659949</v>
      </c>
      <c r="AA72" s="30">
        <v>42984</v>
      </c>
    </row>
    <row r="73" spans="1:27" s="22" customFormat="1" x14ac:dyDescent="0.25">
      <c r="A73" s="130"/>
      <c r="B73" s="17" t="s">
        <v>26</v>
      </c>
      <c r="C73" s="19" t="s">
        <v>647</v>
      </c>
      <c r="D73" s="18" t="s">
        <v>324</v>
      </c>
      <c r="E73" s="19" t="s">
        <v>648</v>
      </c>
      <c r="F73" s="20">
        <v>9147</v>
      </c>
      <c r="G73" s="21">
        <v>9076.5</v>
      </c>
      <c r="H73" s="21">
        <f t="shared" si="100"/>
        <v>-70.5</v>
      </c>
      <c r="I73" s="22" t="s">
        <v>649</v>
      </c>
      <c r="J73" s="19"/>
      <c r="K73" s="24"/>
      <c r="L73" s="24">
        <v>42971</v>
      </c>
      <c r="M73" s="18" t="s">
        <v>47</v>
      </c>
      <c r="N73" s="19"/>
      <c r="O73" s="3">
        <v>33.299999999999997</v>
      </c>
      <c r="P73" s="31"/>
      <c r="Q73" s="3"/>
      <c r="R73" s="3"/>
      <c r="S73" s="27"/>
      <c r="T73" s="27"/>
      <c r="U73" s="3"/>
      <c r="V73" s="19"/>
      <c r="W73" s="3">
        <v>0.3</v>
      </c>
      <c r="X73" s="3">
        <f t="shared" ref="X73" si="108">IF(O73&gt;0,O73,((P73*2.2046*S73)+(Q73+R73)/G73)+V73)</f>
        <v>33.299999999999997</v>
      </c>
      <c r="Y73" s="3">
        <f t="shared" ref="Y73" si="109">IF(O73&gt;0,O73,((P73*2.2046*S73)+(Q73+R73+T73)/G73)+V73+W73)</f>
        <v>33.299999999999997</v>
      </c>
      <c r="Z73" s="29">
        <f t="shared" ref="Z73" si="110">Y73*F73</f>
        <v>304595.09999999998</v>
      </c>
      <c r="AA73" s="30">
        <v>42978</v>
      </c>
    </row>
    <row r="74" spans="1:27" s="22" customFormat="1" x14ac:dyDescent="0.25">
      <c r="A74" s="130"/>
      <c r="B74" s="17" t="s">
        <v>41</v>
      </c>
      <c r="C74" s="19" t="s">
        <v>42</v>
      </c>
      <c r="D74" s="18" t="s">
        <v>119</v>
      </c>
      <c r="E74" s="19">
        <v>200</v>
      </c>
      <c r="F74" s="20">
        <v>23695</v>
      </c>
      <c r="G74" s="21">
        <v>18850</v>
      </c>
      <c r="H74" s="21">
        <f t="shared" si="100"/>
        <v>-4845</v>
      </c>
      <c r="I74" s="22" t="s">
        <v>650</v>
      </c>
      <c r="J74" s="19">
        <v>200</v>
      </c>
      <c r="K74" s="24"/>
      <c r="L74" s="24">
        <v>42972</v>
      </c>
      <c r="M74" s="18" t="s">
        <v>49</v>
      </c>
      <c r="N74" s="19"/>
      <c r="O74" s="3">
        <v>29</v>
      </c>
      <c r="P74" s="31"/>
      <c r="Q74" s="26">
        <v>19800</v>
      </c>
      <c r="R74" s="3">
        <f t="shared" si="101"/>
        <v>13000</v>
      </c>
      <c r="S74" s="27">
        <f t="shared" si="102"/>
        <v>-7600</v>
      </c>
      <c r="T74" s="28">
        <f>X74*F74*0.0045</f>
        <v>4035.1862208222806</v>
      </c>
      <c r="U74" s="3">
        <f>E74*5</f>
        <v>1000</v>
      </c>
      <c r="V74" s="19"/>
      <c r="W74" s="3">
        <v>0.3</v>
      </c>
      <c r="X74" s="3">
        <f>((O74*F74)+Q74+R74+S74+U74)/G74</f>
        <v>37.843766578249337</v>
      </c>
      <c r="Y74" s="3">
        <f t="shared" si="106"/>
        <v>38.357834812775714</v>
      </c>
      <c r="Z74" s="29">
        <f t="shared" si="107"/>
        <v>723045.18622082216</v>
      </c>
      <c r="AA74" s="30">
        <v>42985</v>
      </c>
    </row>
    <row r="75" spans="1:27" s="22" customFormat="1" x14ac:dyDescent="0.25">
      <c r="A75" s="130"/>
      <c r="B75" s="17" t="s">
        <v>41</v>
      </c>
      <c r="C75" s="19" t="s">
        <v>42</v>
      </c>
      <c r="D75" s="18" t="s">
        <v>43</v>
      </c>
      <c r="E75" s="19">
        <v>130</v>
      </c>
      <c r="F75" s="20">
        <v>15050</v>
      </c>
      <c r="G75" s="21">
        <v>11700</v>
      </c>
      <c r="H75" s="21">
        <f t="shared" si="100"/>
        <v>-3350</v>
      </c>
      <c r="I75" s="22" t="s">
        <v>651</v>
      </c>
      <c r="J75" s="19">
        <v>129</v>
      </c>
      <c r="K75" s="24"/>
      <c r="L75" s="24">
        <v>42972</v>
      </c>
      <c r="M75" s="18" t="s">
        <v>49</v>
      </c>
      <c r="N75" s="19"/>
      <c r="O75" s="3">
        <v>29</v>
      </c>
      <c r="P75" s="31"/>
      <c r="Q75" s="26">
        <v>15700</v>
      </c>
      <c r="R75" s="3">
        <f t="shared" si="101"/>
        <v>8450</v>
      </c>
      <c r="S75" s="27">
        <f t="shared" si="102"/>
        <v>-4940</v>
      </c>
      <c r="T75" s="28">
        <f>X75*F75*0.0045</f>
        <v>2641.3328846153845</v>
      </c>
      <c r="U75" s="3">
        <f>E75*5</f>
        <v>650</v>
      </c>
      <c r="V75" s="19"/>
      <c r="W75" s="3">
        <v>0.3</v>
      </c>
      <c r="X75" s="3">
        <f>((O75*F75)+Q75+R75+S75+U75)/G75</f>
        <v>39.000854700854703</v>
      </c>
      <c r="Y75" s="3">
        <f t="shared" si="106"/>
        <v>39.526609648257725</v>
      </c>
      <c r="Z75" s="29">
        <f t="shared" si="107"/>
        <v>462461.3328846154</v>
      </c>
      <c r="AA75" s="30">
        <v>42985</v>
      </c>
    </row>
    <row r="76" spans="1:27" s="22" customFormat="1" x14ac:dyDescent="0.25">
      <c r="A76" s="130"/>
      <c r="B76" s="17" t="s">
        <v>26</v>
      </c>
      <c r="C76" s="18" t="s">
        <v>27</v>
      </c>
      <c r="D76" s="18" t="s">
        <v>27</v>
      </c>
      <c r="E76" s="19" t="s">
        <v>34</v>
      </c>
      <c r="F76" s="20">
        <f>41710*0.4536</f>
        <v>18919.655999999999</v>
      </c>
      <c r="G76" s="21">
        <v>18898.07</v>
      </c>
      <c r="H76" s="21">
        <f>G76-F76</f>
        <v>-21.585999999999331</v>
      </c>
      <c r="I76" s="22" t="s">
        <v>652</v>
      </c>
      <c r="J76" s="23" t="s">
        <v>30</v>
      </c>
      <c r="K76" s="24">
        <v>42972</v>
      </c>
      <c r="L76" s="24">
        <v>42973</v>
      </c>
      <c r="M76" s="18" t="s">
        <v>98</v>
      </c>
      <c r="N76" s="18" t="s">
        <v>653</v>
      </c>
      <c r="O76" s="3"/>
      <c r="P76" s="25">
        <f>0.6783+0.095</f>
        <v>0.77329999999999999</v>
      </c>
      <c r="Q76" s="26">
        <v>23000</v>
      </c>
      <c r="R76" s="3">
        <v>9400</v>
      </c>
      <c r="S76" s="51">
        <v>17.885000000000002</v>
      </c>
      <c r="T76" s="28">
        <f>X76*F76*0.005</f>
        <v>3057.9003794286655</v>
      </c>
      <c r="V76" s="3">
        <v>0.12</v>
      </c>
      <c r="W76" s="3">
        <v>0.3</v>
      </c>
      <c r="X76" s="3">
        <f t="shared" ref="X76:X77" si="111">IF(O76&gt;0,O76,((P76*2.2046*S76)+(Q76+R76)/G76)+V76)</f>
        <v>32.325116053153039</v>
      </c>
      <c r="Y76" s="3">
        <f t="shared" ref="Y76:Y77" si="112">IF(O76&gt;0,O76,((P76*2.2046*S76)+(Q76+R76+T76)/G76)+V76+W76)</f>
        <v>32.786926247497156</v>
      </c>
      <c r="Z76" s="29">
        <f t="shared" ref="Z76:Z77" si="113">Y76*F76</f>
        <v>620317.36590001697</v>
      </c>
      <c r="AA76" s="30">
        <v>42984</v>
      </c>
    </row>
    <row r="77" spans="1:27" s="22" customFormat="1" x14ac:dyDescent="0.25">
      <c r="A77" s="130"/>
      <c r="B77" s="17" t="s">
        <v>26</v>
      </c>
      <c r="C77" s="18" t="s">
        <v>33</v>
      </c>
      <c r="D77" s="18" t="s">
        <v>33</v>
      </c>
      <c r="E77" s="19" t="s">
        <v>34</v>
      </c>
      <c r="F77" s="20">
        <f>42437*0.4536</f>
        <v>19249.423200000001</v>
      </c>
      <c r="G77" s="21">
        <v>19195.97</v>
      </c>
      <c r="H77" s="21">
        <f t="shared" ref="H77" si="114">G77-F77</f>
        <v>-53.453199999999924</v>
      </c>
      <c r="I77" s="22" t="s">
        <v>654</v>
      </c>
      <c r="J77" s="23" t="s">
        <v>30</v>
      </c>
      <c r="K77" s="24">
        <v>42972</v>
      </c>
      <c r="L77" s="24">
        <v>42973</v>
      </c>
      <c r="M77" s="18" t="s">
        <v>98</v>
      </c>
      <c r="N77" s="18" t="s">
        <v>655</v>
      </c>
      <c r="O77" s="3"/>
      <c r="P77" s="25">
        <f>0.6863+0.105</f>
        <v>0.7913</v>
      </c>
      <c r="Q77" s="26">
        <v>23000</v>
      </c>
      <c r="R77" s="3">
        <v>9400</v>
      </c>
      <c r="S77" s="51">
        <v>17.763999999999999</v>
      </c>
      <c r="T77" s="28">
        <f t="shared" ref="T77" si="115">X77*F77*0.005</f>
        <v>3156.6312851501752</v>
      </c>
      <c r="V77" s="3">
        <v>0.12</v>
      </c>
      <c r="W77" s="3">
        <v>0.3</v>
      </c>
      <c r="X77" s="3">
        <f t="shared" si="111"/>
        <v>32.797151918299299</v>
      </c>
      <c r="Y77" s="3">
        <f t="shared" si="112"/>
        <v>33.261594313507779</v>
      </c>
      <c r="Z77" s="29">
        <f t="shared" si="113"/>
        <v>640266.50524742471</v>
      </c>
      <c r="AA77" s="30">
        <v>42968</v>
      </c>
    </row>
    <row r="78" spans="1:27" s="22" customFormat="1" ht="15.75" thickBot="1" x14ac:dyDescent="0.3">
      <c r="A78" s="131"/>
      <c r="B78" s="34"/>
      <c r="C78" s="6"/>
      <c r="D78" s="6"/>
      <c r="E78" s="6"/>
      <c r="F78" s="35"/>
      <c r="G78" s="35"/>
      <c r="H78" s="35"/>
      <c r="I78" s="9"/>
      <c r="J78" s="6"/>
      <c r="K78" s="10"/>
      <c r="L78" s="10"/>
      <c r="M78" s="6"/>
      <c r="N78" s="6"/>
      <c r="O78" s="11"/>
      <c r="P78" s="12"/>
      <c r="Q78" s="11"/>
      <c r="R78" s="11"/>
      <c r="S78" s="11"/>
      <c r="T78" s="11"/>
      <c r="U78" s="11"/>
      <c r="V78" s="11"/>
      <c r="W78" s="11"/>
      <c r="X78" s="11"/>
      <c r="Y78" s="11"/>
      <c r="Z78" s="15"/>
      <c r="AA78" s="36"/>
    </row>
    <row r="79" spans="1:27" s="22" customFormat="1" x14ac:dyDescent="0.25">
      <c r="A79" s="132"/>
      <c r="B79" s="38" t="s">
        <v>41</v>
      </c>
      <c r="C79" s="38" t="s">
        <v>42</v>
      </c>
      <c r="D79" s="39" t="s">
        <v>43</v>
      </c>
      <c r="E79" s="38">
        <v>258</v>
      </c>
      <c r="F79" s="40">
        <f>29590</f>
        <v>29590</v>
      </c>
      <c r="G79" s="41">
        <f>11200+12190</f>
        <v>23390</v>
      </c>
      <c r="H79" s="21">
        <f t="shared" ref="H79:H81" si="116">G79-F79</f>
        <v>-6200</v>
      </c>
      <c r="I79" s="39" t="s">
        <v>656</v>
      </c>
      <c r="J79" s="133">
        <v>256</v>
      </c>
      <c r="K79" s="42"/>
      <c r="L79" s="42">
        <v>42974</v>
      </c>
      <c r="M79" s="39" t="s">
        <v>57</v>
      </c>
      <c r="N79" s="38"/>
      <c r="O79" s="43">
        <v>28.5</v>
      </c>
      <c r="P79" s="44"/>
      <c r="Q79" s="45">
        <v>19800</v>
      </c>
      <c r="R79" s="43">
        <f t="shared" ref="R79:R80" si="117">65*E79</f>
        <v>16770</v>
      </c>
      <c r="S79" s="43">
        <f t="shared" ref="S79:S80" si="118">-38*E79</f>
        <v>-9804</v>
      </c>
      <c r="T79" s="72">
        <f>X79*F79*0.0045</f>
        <v>4960.5560284309531</v>
      </c>
      <c r="U79" s="43">
        <f>E79*5</f>
        <v>1290</v>
      </c>
      <c r="V79" s="38"/>
      <c r="W79" s="43">
        <v>0.3</v>
      </c>
      <c r="X79" s="43">
        <f>((O79*F79)+Q79+R79+S79+U79)/G79</f>
        <v>37.2539974348012</v>
      </c>
      <c r="Y79" s="3">
        <f t="shared" ref="Y79:Y80" si="119">((O79*F79)+Q79+R79+S79+T79+U79)/G79+W79</f>
        <v>37.766077641232613</v>
      </c>
      <c r="Z79" s="47">
        <f>Y79*G79</f>
        <v>883348.55602843082</v>
      </c>
      <c r="AA79" s="48">
        <v>42989</v>
      </c>
    </row>
    <row r="80" spans="1:27" s="22" customFormat="1" x14ac:dyDescent="0.25">
      <c r="A80" s="134"/>
      <c r="B80" s="17" t="s">
        <v>41</v>
      </c>
      <c r="C80" s="19" t="s">
        <v>42</v>
      </c>
      <c r="D80" s="18" t="s">
        <v>58</v>
      </c>
      <c r="E80" s="19">
        <v>199</v>
      </c>
      <c r="F80" s="20">
        <v>23105</v>
      </c>
      <c r="G80" s="21">
        <f>10850+7440</f>
        <v>18290</v>
      </c>
      <c r="H80" s="21">
        <f t="shared" si="116"/>
        <v>-4815</v>
      </c>
      <c r="I80" s="18" t="s">
        <v>657</v>
      </c>
      <c r="J80" s="19"/>
      <c r="K80" s="24"/>
      <c r="L80" s="24">
        <v>42975</v>
      </c>
      <c r="M80" s="18" t="s">
        <v>60</v>
      </c>
      <c r="N80" s="19"/>
      <c r="O80" s="3">
        <v>28.5</v>
      </c>
      <c r="P80" s="31"/>
      <c r="Q80" s="26">
        <v>19800</v>
      </c>
      <c r="R80" s="3">
        <f t="shared" si="117"/>
        <v>12935</v>
      </c>
      <c r="S80" s="27">
        <f t="shared" si="118"/>
        <v>-7562</v>
      </c>
      <c r="T80" s="28">
        <f>X80*F80*0.0045</f>
        <v>3892.0647258747945</v>
      </c>
      <c r="U80" s="3">
        <f>E80*5</f>
        <v>995</v>
      </c>
      <c r="V80" s="19"/>
      <c r="W80" s="3">
        <v>0.3</v>
      </c>
      <c r="X80" s="3">
        <f>((O80*F80)+Q80+R80+S80+U80)/G80</f>
        <v>37.433597594313831</v>
      </c>
      <c r="Y80" s="3">
        <f t="shared" si="119"/>
        <v>37.946395009615898</v>
      </c>
      <c r="Z80" s="29">
        <f>Y80*G80</f>
        <v>694039.56472587481</v>
      </c>
      <c r="AA80" s="30">
        <v>42989</v>
      </c>
    </row>
    <row r="81" spans="1:27" s="22" customFormat="1" x14ac:dyDescent="0.25">
      <c r="A81" s="134"/>
      <c r="B81" s="17" t="s">
        <v>658</v>
      </c>
      <c r="C81" s="19" t="s">
        <v>33</v>
      </c>
      <c r="D81" s="18" t="s">
        <v>77</v>
      </c>
      <c r="E81" s="19" t="s">
        <v>218</v>
      </c>
      <c r="F81" s="20">
        <f>923.5+909.9+941.2</f>
        <v>2774.6000000000004</v>
      </c>
      <c r="G81" s="21">
        <v>2774.6</v>
      </c>
      <c r="H81" s="21">
        <f t="shared" si="116"/>
        <v>0</v>
      </c>
      <c r="I81" s="18" t="s">
        <v>659</v>
      </c>
      <c r="J81" s="19"/>
      <c r="K81" s="24"/>
      <c r="L81" s="24">
        <v>42975</v>
      </c>
      <c r="M81" s="18" t="s">
        <v>60</v>
      </c>
      <c r="N81" s="19"/>
      <c r="O81" s="3">
        <v>19.5</v>
      </c>
      <c r="P81" s="31"/>
      <c r="Q81" s="3"/>
      <c r="R81" s="3"/>
      <c r="S81" s="27"/>
      <c r="T81" s="27"/>
      <c r="U81" s="3"/>
      <c r="V81" s="19"/>
      <c r="W81" s="3"/>
      <c r="X81" s="3">
        <f>IF(O81&gt;0,O81,((P81*2.2046*S81)+(Q81+R81)/G81)+V81)</f>
        <v>19.5</v>
      </c>
      <c r="Y81" s="3">
        <f t="shared" ref="Y81:Y83" si="120">IF(O81&gt;0,O81,((P81*2.2046*S81)+(Q81+R81+T81)/G81)+V81+W81)</f>
        <v>19.5</v>
      </c>
      <c r="Z81" s="29">
        <f>Y81*F81</f>
        <v>54104.700000000004</v>
      </c>
      <c r="AA81" s="30">
        <v>42982</v>
      </c>
    </row>
    <row r="82" spans="1:27" s="22" customFormat="1" x14ac:dyDescent="0.25">
      <c r="A82" s="134"/>
      <c r="B82" s="17" t="s">
        <v>26</v>
      </c>
      <c r="C82" s="18" t="s">
        <v>27</v>
      </c>
      <c r="D82" s="18" t="s">
        <v>27</v>
      </c>
      <c r="E82" s="19" t="s">
        <v>34</v>
      </c>
      <c r="F82" s="20">
        <f>41539*0.4536</f>
        <v>18842.090400000001</v>
      </c>
      <c r="G82" s="21">
        <v>18772.96</v>
      </c>
      <c r="H82" s="21">
        <f>G82-F82</f>
        <v>-69.130400000001828</v>
      </c>
      <c r="I82" s="22" t="s">
        <v>660</v>
      </c>
      <c r="J82" s="23" t="s">
        <v>30</v>
      </c>
      <c r="K82" s="24">
        <v>42976</v>
      </c>
      <c r="L82" s="24">
        <v>42977</v>
      </c>
      <c r="M82" s="18" t="s">
        <v>31</v>
      </c>
      <c r="N82" s="18" t="s">
        <v>661</v>
      </c>
      <c r="O82" s="3"/>
      <c r="P82" s="25">
        <f>0.6916+0.095</f>
        <v>0.78659999999999997</v>
      </c>
      <c r="Q82" s="26">
        <v>23000</v>
      </c>
      <c r="R82" s="3">
        <v>9400</v>
      </c>
      <c r="S82" s="51">
        <v>17.783000000000001</v>
      </c>
      <c r="T82" s="28">
        <f>X82*F82*0.005</f>
        <v>3079.1809184200306</v>
      </c>
      <c r="V82" s="3">
        <v>0.12</v>
      </c>
      <c r="W82" s="3">
        <v>0.3</v>
      </c>
      <c r="X82" s="3">
        <f>IF(O82&gt;0,O82,((P82*2.2046*S82)+(Q82+R82)/G82)+V82)</f>
        <v>32.684069050215683</v>
      </c>
      <c r="Y82" s="3">
        <f t="shared" si="120"/>
        <v>33.148091181963686</v>
      </c>
      <c r="Z82" s="29">
        <f>Y82*F82</f>
        <v>624579.3306380026</v>
      </c>
      <c r="AA82" s="30">
        <v>42983</v>
      </c>
    </row>
    <row r="83" spans="1:27" s="22" customFormat="1" x14ac:dyDescent="0.25">
      <c r="A83" s="134"/>
      <c r="B83" s="17" t="s">
        <v>26</v>
      </c>
      <c r="C83" s="18" t="s">
        <v>37</v>
      </c>
      <c r="D83" s="18" t="s">
        <v>37</v>
      </c>
      <c r="E83" s="19" t="s">
        <v>28</v>
      </c>
      <c r="F83" s="20">
        <f>41134*0.4536</f>
        <v>18658.382399999999</v>
      </c>
      <c r="G83" s="21">
        <v>18567</v>
      </c>
      <c r="H83" s="21">
        <f>G83-F83</f>
        <v>-91.382399999998597</v>
      </c>
      <c r="I83" s="22" t="s">
        <v>662</v>
      </c>
      <c r="J83" s="23" t="s">
        <v>30</v>
      </c>
      <c r="K83" s="24">
        <v>42975</v>
      </c>
      <c r="L83" s="24">
        <v>42976</v>
      </c>
      <c r="M83" s="18" t="s">
        <v>62</v>
      </c>
      <c r="N83" s="18" t="s">
        <v>663</v>
      </c>
      <c r="O83" s="3"/>
      <c r="P83" s="25">
        <f>0.6939+0.095</f>
        <v>0.78889999999999993</v>
      </c>
      <c r="Q83" s="26">
        <v>23000</v>
      </c>
      <c r="R83" s="3">
        <v>9400</v>
      </c>
      <c r="S83" s="51">
        <v>17.759</v>
      </c>
      <c r="T83" s="28">
        <f>X83*F83*0.005</f>
        <v>3055.4634034192372</v>
      </c>
      <c r="V83" s="3">
        <v>0.12</v>
      </c>
      <c r="W83" s="3">
        <v>0.3</v>
      </c>
      <c r="X83" s="3">
        <f t="shared" ref="X83" si="121">IF(O83&gt;0,O83,((P83*2.2046*S83)+(Q83+R83)/G83)+V83)</f>
        <v>32.75164307297333</v>
      </c>
      <c r="Y83" s="3">
        <f t="shared" si="120"/>
        <v>33.216207267696177</v>
      </c>
      <c r="Z83" s="29">
        <f t="shared" ref="Z83" si="122">Y83*F83</f>
        <v>619760.6970783344</v>
      </c>
      <c r="AA83" s="30">
        <v>42969</v>
      </c>
    </row>
    <row r="84" spans="1:27" s="22" customFormat="1" x14ac:dyDescent="0.25">
      <c r="A84" s="134"/>
      <c r="B84" s="17" t="s">
        <v>41</v>
      </c>
      <c r="C84" s="19" t="s">
        <v>42</v>
      </c>
      <c r="D84" s="18" t="s">
        <v>664</v>
      </c>
      <c r="E84" s="19">
        <f>183+15</f>
        <v>198</v>
      </c>
      <c r="F84" s="20">
        <f>19720+1865</f>
        <v>21585</v>
      </c>
      <c r="G84" s="21">
        <f>10870+6170</f>
        <v>17040</v>
      </c>
      <c r="H84" s="21">
        <f>G84-F84</f>
        <v>-4545</v>
      </c>
      <c r="I84" s="22" t="s">
        <v>665</v>
      </c>
      <c r="J84" s="19"/>
      <c r="K84" s="24"/>
      <c r="L84" s="24">
        <v>42976</v>
      </c>
      <c r="M84" s="18" t="s">
        <v>62</v>
      </c>
      <c r="N84" s="19"/>
      <c r="O84" s="3">
        <v>28.5</v>
      </c>
      <c r="P84" s="31"/>
      <c r="Q84" s="33">
        <v>19800</v>
      </c>
      <c r="R84" s="3">
        <f>65*E84</f>
        <v>12870</v>
      </c>
      <c r="S84" s="27">
        <f>-38*E84</f>
        <v>-7524</v>
      </c>
      <c r="T84" s="28">
        <f t="shared" ref="T84" si="123">X84*F84*0.005</f>
        <v>4061.8086773767609</v>
      </c>
      <c r="U84" s="3">
        <f>E84*5</f>
        <v>990</v>
      </c>
      <c r="V84" s="19"/>
      <c r="W84" s="3">
        <v>0.3</v>
      </c>
      <c r="X84" s="3">
        <f>((O84*F84)+Q84+R84+S84+U84)/G84</f>
        <v>37.635475352112678</v>
      </c>
      <c r="Y84" s="3">
        <f>((O84*F84)+Q84+R84+S84+T84+U84)/G84+W84</f>
        <v>38.173844405949332</v>
      </c>
      <c r="Z84" s="29">
        <f>Y84*G84</f>
        <v>650482.3086773766</v>
      </c>
      <c r="AA84" s="30">
        <v>42989</v>
      </c>
    </row>
    <row r="85" spans="1:27" s="22" customFormat="1" x14ac:dyDescent="0.25">
      <c r="A85" s="134"/>
      <c r="B85" s="17" t="s">
        <v>26</v>
      </c>
      <c r="C85" s="18" t="s">
        <v>37</v>
      </c>
      <c r="D85" s="18" t="s">
        <v>37</v>
      </c>
      <c r="E85" s="19" t="s">
        <v>28</v>
      </c>
      <c r="F85" s="20">
        <f>41700*0.4536</f>
        <v>18915.12</v>
      </c>
      <c r="G85" s="21">
        <v>18851.439999999999</v>
      </c>
      <c r="H85" s="21">
        <f>G85-F85</f>
        <v>-63.680000000000291</v>
      </c>
      <c r="I85" s="22" t="s">
        <v>666</v>
      </c>
      <c r="J85" s="23" t="s">
        <v>39</v>
      </c>
      <c r="K85" s="24">
        <v>42976</v>
      </c>
      <c r="L85" s="24">
        <v>42977</v>
      </c>
      <c r="M85" s="18" t="s">
        <v>31</v>
      </c>
      <c r="N85" s="18" t="s">
        <v>661</v>
      </c>
      <c r="O85" s="3"/>
      <c r="P85" s="25">
        <v>0.78659999999999997</v>
      </c>
      <c r="Q85" s="26">
        <v>23000</v>
      </c>
      <c r="R85" s="3">
        <v>9400</v>
      </c>
      <c r="S85" s="51">
        <v>17.744</v>
      </c>
      <c r="T85" s="28">
        <f>X85*F85*0.005</f>
        <v>3084.0396354029181</v>
      </c>
      <c r="V85" s="3">
        <v>0.12</v>
      </c>
      <c r="W85" s="3">
        <v>0.3</v>
      </c>
      <c r="X85" s="3">
        <f t="shared" ref="X85" si="124">IF(O85&gt;0,O85,((P85*2.2046*S85)+(Q85+R85)/G85)+V85)</f>
        <v>32.609252655049701</v>
      </c>
      <c r="Y85" s="3">
        <f t="shared" ref="Y85" si="125">IF(O85&gt;0,O85,((P85*2.2046*S85)+(Q85+R85+T85)/G85)+V85+W85)</f>
        <v>33.072849687181083</v>
      </c>
      <c r="Z85" s="29">
        <f t="shared" ref="Z85" si="126">Y85*F85</f>
        <v>625576.92057499266</v>
      </c>
      <c r="AA85" s="30">
        <v>42970</v>
      </c>
    </row>
    <row r="86" spans="1:27" s="22" customFormat="1" x14ac:dyDescent="0.25">
      <c r="A86" s="134"/>
      <c r="B86" s="17" t="s">
        <v>41</v>
      </c>
      <c r="C86" s="19" t="s">
        <v>42</v>
      </c>
      <c r="D86" s="18" t="s">
        <v>43</v>
      </c>
      <c r="E86" s="19">
        <v>200</v>
      </c>
      <c r="F86" s="20">
        <v>24160</v>
      </c>
      <c r="G86" s="21">
        <f>12470+6860</f>
        <v>19330</v>
      </c>
      <c r="H86" s="21">
        <f t="shared" ref="H86:H87" si="127">G86-F86</f>
        <v>-4830</v>
      </c>
      <c r="I86" s="22" t="s">
        <v>667</v>
      </c>
      <c r="J86" s="19"/>
      <c r="K86" s="24"/>
      <c r="L86" s="24">
        <v>42977</v>
      </c>
      <c r="M86" s="18" t="s">
        <v>31</v>
      </c>
      <c r="N86" s="19"/>
      <c r="O86" s="3">
        <v>28.5</v>
      </c>
      <c r="P86" s="31"/>
      <c r="Q86" s="26">
        <v>19800</v>
      </c>
      <c r="R86" s="3">
        <f>65*E86</f>
        <v>13000</v>
      </c>
      <c r="S86" s="27">
        <f>-38*E86</f>
        <v>-7600</v>
      </c>
      <c r="T86" s="28">
        <f>X86*F86*0.0045</f>
        <v>4020.1090118986026</v>
      </c>
      <c r="U86" s="3">
        <f>E86*5</f>
        <v>1000</v>
      </c>
      <c r="V86" s="19"/>
      <c r="W86" s="3">
        <v>0.3</v>
      </c>
      <c r="X86" s="3">
        <f>((O86*F86)+Q86+R86+S86+U86)/G86</f>
        <v>36.976720124159336</v>
      </c>
      <c r="Y86" s="3">
        <f t="shared" ref="Y86" si="128">((O86*F86)+Q86+R86+S86+T86+U86)/G86+W86</f>
        <v>37.484692654521396</v>
      </c>
      <c r="Z86" s="29">
        <f>Y86*G86</f>
        <v>724579.10901189863</v>
      </c>
      <c r="AA86" s="30">
        <v>42990</v>
      </c>
    </row>
    <row r="87" spans="1:27" s="22" customFormat="1" x14ac:dyDescent="0.25">
      <c r="A87" s="134"/>
      <c r="B87" s="17" t="s">
        <v>126</v>
      </c>
      <c r="C87" s="18" t="s">
        <v>127</v>
      </c>
      <c r="D87" s="18" t="s">
        <v>89</v>
      </c>
      <c r="E87" s="19" t="s">
        <v>668</v>
      </c>
      <c r="F87" s="20">
        <v>17884.814999999999</v>
      </c>
      <c r="G87" s="21">
        <v>17888.099999999999</v>
      </c>
      <c r="H87" s="21">
        <f t="shared" si="127"/>
        <v>3.2849999999998545</v>
      </c>
      <c r="I87" s="22" t="s">
        <v>669</v>
      </c>
      <c r="J87" s="19"/>
      <c r="K87" s="24"/>
      <c r="L87" s="24">
        <v>42977</v>
      </c>
      <c r="M87" s="18" t="s">
        <v>31</v>
      </c>
      <c r="N87" s="19"/>
      <c r="O87" s="3">
        <v>85</v>
      </c>
      <c r="P87" s="31"/>
      <c r="Q87" s="3"/>
      <c r="R87" s="3"/>
      <c r="S87" s="27"/>
      <c r="T87" s="27"/>
      <c r="U87" s="3"/>
      <c r="V87" s="19"/>
      <c r="W87" s="3"/>
      <c r="X87" s="3">
        <f t="shared" ref="X87:X89" si="129">IF(O87&gt;0,O87,((P87*2.2046*S87)+(Q87+R87)/G87)+V87)</f>
        <v>85</v>
      </c>
      <c r="Y87" s="3">
        <f t="shared" ref="Y87:Y89" si="130">IF(O87&gt;0,O87,((P87*2.2046*S87)+(Q87+R87+T87)/G87)+V87+W87)</f>
        <v>85</v>
      </c>
      <c r="Z87" s="29">
        <f t="shared" ref="Z87:Z89" si="131">Y87*F87</f>
        <v>1520209.2749999999</v>
      </c>
      <c r="AA87" s="30">
        <v>42998</v>
      </c>
    </row>
    <row r="88" spans="1:27" s="22" customFormat="1" x14ac:dyDescent="0.25">
      <c r="A88" s="134"/>
      <c r="B88" s="17" t="s">
        <v>26</v>
      </c>
      <c r="C88" s="18" t="s">
        <v>33</v>
      </c>
      <c r="D88" s="18" t="s">
        <v>33</v>
      </c>
      <c r="E88" s="19" t="s">
        <v>34</v>
      </c>
      <c r="F88" s="20">
        <f>42874*0.4536</f>
        <v>19447.646400000001</v>
      </c>
      <c r="G88" s="21">
        <v>19403.72</v>
      </c>
      <c r="H88" s="21">
        <f>G88-F88</f>
        <v>-43.926400000000285</v>
      </c>
      <c r="I88" s="22" t="s">
        <v>670</v>
      </c>
      <c r="J88" s="23" t="s">
        <v>30</v>
      </c>
      <c r="K88" s="24">
        <v>42977</v>
      </c>
      <c r="L88" s="24">
        <v>42978</v>
      </c>
      <c r="M88" s="18" t="s">
        <v>47</v>
      </c>
      <c r="N88" s="18" t="s">
        <v>671</v>
      </c>
      <c r="O88" s="3"/>
      <c r="P88" s="25">
        <f>0.6937+0.105</f>
        <v>0.79869999999999997</v>
      </c>
      <c r="Q88" s="26">
        <v>23000</v>
      </c>
      <c r="R88" s="3">
        <v>9400</v>
      </c>
      <c r="S88" s="51">
        <v>17.734999999999999</v>
      </c>
      <c r="T88" s="28">
        <f>X88*F88*0.005</f>
        <v>3210.5943977614033</v>
      </c>
      <c r="V88" s="3">
        <v>0.12</v>
      </c>
      <c r="W88" s="3">
        <v>0.3</v>
      </c>
      <c r="X88" s="3">
        <f t="shared" si="129"/>
        <v>33.017819552307401</v>
      </c>
      <c r="Y88" s="3">
        <f t="shared" si="130"/>
        <v>33.483282380969193</v>
      </c>
      <c r="Z88" s="29">
        <f t="shared" si="131"/>
        <v>651171.03605643904</v>
      </c>
      <c r="AA88" s="30">
        <v>42971</v>
      </c>
    </row>
    <row r="89" spans="1:27" s="22" customFormat="1" x14ac:dyDescent="0.25">
      <c r="A89" s="134"/>
      <c r="B89" s="17" t="s">
        <v>595</v>
      </c>
      <c r="C89" s="18" t="s">
        <v>440</v>
      </c>
      <c r="D89" s="18" t="s">
        <v>672</v>
      </c>
      <c r="E89" s="19" t="s">
        <v>673</v>
      </c>
      <c r="F89" s="20">
        <f>682.64+847.75</f>
        <v>1530.3899999999999</v>
      </c>
      <c r="G89" s="21">
        <v>1530.39</v>
      </c>
      <c r="H89" s="21">
        <f>G89-F89</f>
        <v>0</v>
      </c>
      <c r="I89" s="73" t="s">
        <v>674</v>
      </c>
      <c r="J89" s="19"/>
      <c r="K89" s="24"/>
      <c r="L89" s="24">
        <v>42978</v>
      </c>
      <c r="M89" s="18" t="s">
        <v>47</v>
      </c>
      <c r="N89" s="18"/>
      <c r="O89" s="3">
        <v>20</v>
      </c>
      <c r="P89" s="25"/>
      <c r="Q89" s="3"/>
      <c r="R89" s="3"/>
      <c r="S89" s="51"/>
      <c r="T89" s="27"/>
      <c r="V89" s="3"/>
      <c r="W89" s="3"/>
      <c r="X89" s="3">
        <f t="shared" si="129"/>
        <v>20</v>
      </c>
      <c r="Y89" s="3">
        <f t="shared" si="130"/>
        <v>20</v>
      </c>
      <c r="Z89" s="29">
        <f t="shared" si="131"/>
        <v>30607.799999999996</v>
      </c>
      <c r="AA89" s="30">
        <v>42985</v>
      </c>
    </row>
    <row r="90" spans="1:27" s="22" customFormat="1" x14ac:dyDescent="0.25">
      <c r="A90" s="134"/>
      <c r="B90" s="17" t="s">
        <v>41</v>
      </c>
      <c r="C90" s="19" t="s">
        <v>42</v>
      </c>
      <c r="D90" s="18" t="s">
        <v>43</v>
      </c>
      <c r="E90" s="19">
        <f>229</f>
        <v>229</v>
      </c>
      <c r="F90" s="20">
        <f>26645</f>
        <v>26645</v>
      </c>
      <c r="G90" s="21">
        <f>17490</f>
        <v>17490</v>
      </c>
      <c r="H90" s="21">
        <f t="shared" ref="H90:H93" si="132">G90-F90</f>
        <v>-9155</v>
      </c>
      <c r="I90" s="73" t="s">
        <v>675</v>
      </c>
      <c r="J90" s="19">
        <v>200</v>
      </c>
      <c r="K90" s="24"/>
      <c r="L90" s="24">
        <v>42978</v>
      </c>
      <c r="M90" s="18" t="s">
        <v>47</v>
      </c>
      <c r="N90" s="19"/>
      <c r="O90" s="3">
        <v>28.5</v>
      </c>
      <c r="P90" s="31"/>
      <c r="Q90" s="33">
        <f>19800</f>
        <v>19800</v>
      </c>
      <c r="R90" s="3">
        <f t="shared" ref="R90:R91" si="133">65*E90</f>
        <v>14885</v>
      </c>
      <c r="S90" s="27">
        <f t="shared" ref="S90:S91" si="134">-38*E90</f>
        <v>-8702</v>
      </c>
      <c r="T90" s="28">
        <f t="shared" ref="T90:T91" si="135">X90*F90*0.0045</f>
        <v>5391.9139637650087</v>
      </c>
      <c r="U90" s="3">
        <f t="shared" ref="U90:U91" si="136">E90*5</f>
        <v>1145</v>
      </c>
      <c r="V90" s="19"/>
      <c r="W90" s="3"/>
      <c r="X90" s="3">
        <f t="shared" ref="X90:X91" si="137">((O90*F90)+Q90+R90+S90+U90)/G90</f>
        <v>44.96915380217267</v>
      </c>
      <c r="Y90" s="3">
        <f t="shared" ref="Y90:Y91" si="138">((O90*F90)+Q90+R90+S90+T90+U90)/G90+W90</f>
        <v>45.277439334692112</v>
      </c>
      <c r="Z90" s="29">
        <f t="shared" ref="Z90:Z91" si="139">Y90*G90</f>
        <v>791902.41396376502</v>
      </c>
      <c r="AA90" s="30">
        <v>42991</v>
      </c>
    </row>
    <row r="91" spans="1:27" s="22" customFormat="1" x14ac:dyDescent="0.25">
      <c r="A91" s="134"/>
      <c r="B91" s="17" t="s">
        <v>41</v>
      </c>
      <c r="C91" s="19" t="s">
        <v>42</v>
      </c>
      <c r="D91" s="18" t="s">
        <v>58</v>
      </c>
      <c r="E91" s="19">
        <v>100</v>
      </c>
      <c r="F91" s="20">
        <v>10685</v>
      </c>
      <c r="G91" s="21">
        <v>11620</v>
      </c>
      <c r="H91" s="21">
        <f t="shared" si="132"/>
        <v>935</v>
      </c>
      <c r="I91" s="73" t="s">
        <v>676</v>
      </c>
      <c r="J91" s="19">
        <v>129</v>
      </c>
      <c r="K91" s="24"/>
      <c r="L91" s="24">
        <v>42978</v>
      </c>
      <c r="M91" s="18" t="s">
        <v>47</v>
      </c>
      <c r="N91" s="19"/>
      <c r="O91" s="3">
        <v>28.5</v>
      </c>
      <c r="P91" s="31"/>
      <c r="Q91" s="26">
        <v>15700</v>
      </c>
      <c r="R91" s="3">
        <f t="shared" si="133"/>
        <v>6500</v>
      </c>
      <c r="S91" s="27">
        <f t="shared" si="134"/>
        <v>-3800</v>
      </c>
      <c r="T91" s="28">
        <f t="shared" si="135"/>
        <v>1338.2928017426848</v>
      </c>
      <c r="U91" s="3">
        <f t="shared" si="136"/>
        <v>500</v>
      </c>
      <c r="V91" s="19"/>
      <c r="W91" s="3">
        <v>0.3</v>
      </c>
      <c r="X91" s="3">
        <f t="shared" si="137"/>
        <v>27.83326161790017</v>
      </c>
      <c r="Y91" s="3">
        <f t="shared" si="138"/>
        <v>28.248433115468391</v>
      </c>
      <c r="Z91" s="29">
        <f t="shared" si="139"/>
        <v>328246.79280174267</v>
      </c>
      <c r="AA91" s="30">
        <v>42991</v>
      </c>
    </row>
    <row r="92" spans="1:27" s="22" customFormat="1" x14ac:dyDescent="0.25">
      <c r="A92" s="134"/>
      <c r="B92" s="17" t="s">
        <v>87</v>
      </c>
      <c r="C92" s="18" t="s">
        <v>609</v>
      </c>
      <c r="D92" s="18" t="s">
        <v>324</v>
      </c>
      <c r="E92" s="19" t="s">
        <v>677</v>
      </c>
      <c r="F92" s="20">
        <v>1508.73</v>
      </c>
      <c r="G92" s="21">
        <v>1508.73</v>
      </c>
      <c r="H92" s="21">
        <f t="shared" si="132"/>
        <v>0</v>
      </c>
      <c r="I92" s="73" t="s">
        <v>678</v>
      </c>
      <c r="J92" s="19"/>
      <c r="K92" s="24"/>
      <c r="L92" s="24">
        <v>42978</v>
      </c>
      <c r="M92" s="18" t="s">
        <v>47</v>
      </c>
      <c r="N92" s="19"/>
      <c r="O92" s="3">
        <v>88</v>
      </c>
      <c r="P92" s="31"/>
      <c r="Q92" s="3"/>
      <c r="R92" s="3"/>
      <c r="S92" s="27"/>
      <c r="T92" s="27"/>
      <c r="U92" s="3"/>
      <c r="V92" s="19"/>
      <c r="W92" s="3"/>
      <c r="X92" s="3">
        <f t="shared" ref="X92:X93" si="140">IF(O92&gt;0,O92,((P92*2.2046*S92)+(Q92+R92)/G92)+V92)</f>
        <v>88</v>
      </c>
      <c r="Y92" s="3">
        <f t="shared" ref="Y92:Y93" si="141">IF(O92&gt;0,O92,((P92*2.2046*S92)+(Q92+R92+T92)/G92)+V92+W92)</f>
        <v>88</v>
      </c>
      <c r="Z92" s="29">
        <f t="shared" ref="Z92:Z93" si="142">Y92*F92</f>
        <v>132768.24</v>
      </c>
      <c r="AA92" s="30">
        <v>42986</v>
      </c>
    </row>
    <row r="93" spans="1:27" s="22" customFormat="1" x14ac:dyDescent="0.25">
      <c r="A93" s="134"/>
      <c r="B93" s="17" t="s">
        <v>679</v>
      </c>
      <c r="C93" s="18" t="s">
        <v>127</v>
      </c>
      <c r="D93" s="18" t="s">
        <v>324</v>
      </c>
      <c r="E93" s="19" t="s">
        <v>680</v>
      </c>
      <c r="F93" s="20">
        <v>254.24</v>
      </c>
      <c r="G93" s="21">
        <v>254.24</v>
      </c>
      <c r="H93" s="21">
        <f t="shared" si="132"/>
        <v>0</v>
      </c>
      <c r="I93" s="73" t="s">
        <v>678</v>
      </c>
      <c r="J93" s="19"/>
      <c r="K93" s="24"/>
      <c r="L93" s="24">
        <v>42978</v>
      </c>
      <c r="M93" s="18" t="s">
        <v>47</v>
      </c>
      <c r="N93" s="19"/>
      <c r="O93" s="3">
        <v>50</v>
      </c>
      <c r="P93" s="31"/>
      <c r="Q93" s="3"/>
      <c r="R93" s="3"/>
      <c r="S93" s="27"/>
      <c r="T93" s="27"/>
      <c r="U93" s="3"/>
      <c r="V93" s="19"/>
      <c r="W93" s="3"/>
      <c r="X93" s="3">
        <f t="shared" si="140"/>
        <v>50</v>
      </c>
      <c r="Y93" s="3">
        <f t="shared" si="141"/>
        <v>50</v>
      </c>
      <c r="Z93" s="29">
        <f t="shared" si="142"/>
        <v>12712</v>
      </c>
      <c r="AA93" s="30">
        <v>42986</v>
      </c>
    </row>
    <row r="94" spans="1:27" s="22" customFormat="1" ht="15.75" thickBot="1" x14ac:dyDescent="0.3">
      <c r="A94" s="135"/>
      <c r="B94" s="34"/>
      <c r="C94" s="6"/>
      <c r="D94" s="6"/>
      <c r="E94" s="6"/>
      <c r="F94" s="35"/>
      <c r="G94" s="35"/>
      <c r="H94" s="35"/>
      <c r="I94" s="9"/>
      <c r="J94" s="6"/>
      <c r="K94" s="10"/>
      <c r="L94" s="10"/>
      <c r="M94" s="6"/>
      <c r="N94" s="6"/>
      <c r="O94" s="11"/>
      <c r="P94" s="12"/>
      <c r="Q94" s="11"/>
      <c r="R94" s="11"/>
      <c r="S94" s="11"/>
      <c r="T94" s="11"/>
      <c r="U94" s="11"/>
      <c r="V94" s="11"/>
      <c r="W94" s="11"/>
      <c r="X94" s="11"/>
      <c r="Y94" s="11"/>
      <c r="Z94" s="15"/>
      <c r="AA94" s="3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8"/>
  <sheetViews>
    <sheetView workbookViewId="0">
      <selection activeCell="AG7" sqref="AG7"/>
    </sheetView>
  </sheetViews>
  <sheetFormatPr baseColWidth="10" defaultRowHeight="15" x14ac:dyDescent="0.25"/>
  <cols>
    <col min="1" max="1" width="3.5703125" customWidth="1"/>
    <col min="2" max="2" width="16.85546875" customWidth="1"/>
    <col min="3" max="3" width="12.5703125" customWidth="1"/>
    <col min="4" max="4" width="16.7109375" customWidth="1"/>
    <col min="9" max="9" width="14.42578125" customWidth="1"/>
    <col min="10" max="11" width="0" hidden="1" customWidth="1"/>
    <col min="13" max="13" width="4.42578125" customWidth="1"/>
    <col min="14" max="14" width="6" hidden="1" customWidth="1"/>
    <col min="15" max="18" width="0" hidden="1" customWidth="1"/>
    <col min="19" max="19" width="13.7109375" hidden="1" customWidth="1"/>
    <col min="20" max="23" width="0" hidden="1" customWidth="1"/>
    <col min="24" max="24" width="11.42578125" hidden="1" customWidth="1"/>
    <col min="26" max="26" width="15.42578125" customWidth="1"/>
  </cols>
  <sheetData>
    <row r="1" spans="1:27" x14ac:dyDescent="0.25">
      <c r="A1" s="1" t="s">
        <v>681</v>
      </c>
      <c r="S1" s="2"/>
      <c r="W1" s="3"/>
      <c r="Z1" s="4"/>
    </row>
    <row r="2" spans="1:27" ht="30.75" thickBot="1" x14ac:dyDescent="0.3">
      <c r="A2" s="5"/>
      <c r="B2" s="6" t="s">
        <v>1</v>
      </c>
      <c r="C2" s="6" t="s">
        <v>2</v>
      </c>
      <c r="D2" s="6" t="s">
        <v>3</v>
      </c>
      <c r="E2" s="6" t="s">
        <v>4</v>
      </c>
      <c r="F2" s="7" t="s">
        <v>5</v>
      </c>
      <c r="G2" s="7" t="s">
        <v>6</v>
      </c>
      <c r="H2" s="8" t="s">
        <v>7</v>
      </c>
      <c r="I2" s="9" t="s">
        <v>8</v>
      </c>
      <c r="J2" s="6" t="s">
        <v>9</v>
      </c>
      <c r="K2" s="10" t="s">
        <v>10</v>
      </c>
      <c r="L2" s="10" t="s">
        <v>11</v>
      </c>
      <c r="M2" s="6" t="s">
        <v>12</v>
      </c>
      <c r="N2" s="6" t="s">
        <v>13</v>
      </c>
      <c r="O2" s="11" t="s">
        <v>14</v>
      </c>
      <c r="P2" s="12" t="s">
        <v>15</v>
      </c>
      <c r="Q2" s="11" t="s">
        <v>16</v>
      </c>
      <c r="R2" s="13" t="s">
        <v>17</v>
      </c>
      <c r="S2" s="13" t="s">
        <v>18</v>
      </c>
      <c r="T2" s="14" t="s">
        <v>19</v>
      </c>
      <c r="U2" s="11" t="s">
        <v>20</v>
      </c>
      <c r="V2" s="11" t="s">
        <v>21</v>
      </c>
      <c r="W2" s="14" t="s">
        <v>22</v>
      </c>
      <c r="X2" s="11" t="s">
        <v>23</v>
      </c>
      <c r="Y2" s="11" t="s">
        <v>24</v>
      </c>
      <c r="Z2" s="15" t="s">
        <v>25</v>
      </c>
      <c r="AA2" s="11"/>
    </row>
    <row r="3" spans="1:27" s="22" customFormat="1" x14ac:dyDescent="0.25">
      <c r="A3" s="134"/>
      <c r="B3" s="17" t="s">
        <v>41</v>
      </c>
      <c r="C3" s="19" t="s">
        <v>42</v>
      </c>
      <c r="D3" s="18" t="s">
        <v>51</v>
      </c>
      <c r="E3" s="19">
        <f>230</f>
        <v>230</v>
      </c>
      <c r="F3" s="20">
        <f>27100</f>
        <v>27100</v>
      </c>
      <c r="G3" s="21">
        <f>18530</f>
        <v>18530</v>
      </c>
      <c r="H3" s="21">
        <f t="shared" ref="H3:H7" si="0">G3-F3</f>
        <v>-8570</v>
      </c>
      <c r="I3" s="22" t="s">
        <v>682</v>
      </c>
      <c r="J3" s="19">
        <v>200</v>
      </c>
      <c r="K3" s="24"/>
      <c r="L3" s="24">
        <v>42979</v>
      </c>
      <c r="M3" s="18" t="s">
        <v>49</v>
      </c>
      <c r="N3" s="19"/>
      <c r="O3" s="3">
        <v>28.5</v>
      </c>
      <c r="P3" s="31"/>
      <c r="Q3" s="26">
        <f>19800</f>
        <v>19800</v>
      </c>
      <c r="R3" s="3">
        <f t="shared" ref="R3:R4" si="1">65*E3</f>
        <v>14950</v>
      </c>
      <c r="S3" s="27">
        <f t="shared" ref="S3:S4" si="2">-38*E3</f>
        <v>-8740</v>
      </c>
      <c r="T3" s="28">
        <f>X3*F3*0.0045</f>
        <v>5261.7509174311926</v>
      </c>
      <c r="U3" s="3">
        <f>E3*5</f>
        <v>1150</v>
      </c>
      <c r="V3" s="19"/>
      <c r="W3" s="3">
        <v>0.3</v>
      </c>
      <c r="X3" s="3">
        <f>((O3*F3)+Q3+R3+S3+U3)/G3</f>
        <v>43.146788990825691</v>
      </c>
      <c r="Y3" s="3">
        <f t="shared" ref="Y3:Y4" si="3">((O3*F3)+Q3+R3+S3+T3+U3)/G3+W3</f>
        <v>43.730747486099901</v>
      </c>
      <c r="Z3" s="29">
        <f t="shared" ref="Z3:Z4" si="4">Y3*G3</f>
        <v>810330.7509174312</v>
      </c>
      <c r="AA3" s="30">
        <v>42992</v>
      </c>
    </row>
    <row r="4" spans="1:27" s="22" customFormat="1" x14ac:dyDescent="0.25">
      <c r="A4" s="134"/>
      <c r="B4" s="17" t="s">
        <v>41</v>
      </c>
      <c r="C4" s="19" t="s">
        <v>42</v>
      </c>
      <c r="D4" s="18" t="s">
        <v>43</v>
      </c>
      <c r="E4" s="19">
        <v>100</v>
      </c>
      <c r="F4" s="20">
        <v>11640</v>
      </c>
      <c r="G4" s="21">
        <v>11860</v>
      </c>
      <c r="H4" s="21">
        <f t="shared" si="0"/>
        <v>220</v>
      </c>
      <c r="I4" s="18" t="s">
        <v>683</v>
      </c>
      <c r="J4" s="19">
        <v>130</v>
      </c>
      <c r="K4" s="24"/>
      <c r="L4" s="24">
        <v>42979</v>
      </c>
      <c r="M4" s="18" t="s">
        <v>49</v>
      </c>
      <c r="N4" s="19"/>
      <c r="O4" s="3">
        <v>28.5</v>
      </c>
      <c r="P4" s="31"/>
      <c r="Q4" s="26">
        <v>15700</v>
      </c>
      <c r="R4" s="3">
        <f t="shared" si="1"/>
        <v>6500</v>
      </c>
      <c r="S4" s="32">
        <f t="shared" si="2"/>
        <v>-3800</v>
      </c>
      <c r="T4" s="28">
        <f>X4*F4*0.0045</f>
        <v>1548.6107251264755</v>
      </c>
      <c r="U4" s="3">
        <f>E4*5</f>
        <v>500</v>
      </c>
      <c r="V4" s="19"/>
      <c r="W4" s="3">
        <v>0.3</v>
      </c>
      <c r="X4" s="3">
        <f>((O4*F4)+Q4+R4+S4+U4)/G4</f>
        <v>29.564924114671165</v>
      </c>
      <c r="Y4" s="3">
        <f t="shared" si="3"/>
        <v>29.995498374799872</v>
      </c>
      <c r="Z4" s="29">
        <f t="shared" si="4"/>
        <v>355746.61072512646</v>
      </c>
      <c r="AA4" s="30">
        <v>42992</v>
      </c>
    </row>
    <row r="5" spans="1:27" s="22" customFormat="1" x14ac:dyDescent="0.25">
      <c r="A5" s="134"/>
      <c r="B5" s="17" t="s">
        <v>217</v>
      </c>
      <c r="C5" s="19" t="s">
        <v>33</v>
      </c>
      <c r="D5" s="18" t="s">
        <v>77</v>
      </c>
      <c r="E5" s="19" t="s">
        <v>218</v>
      </c>
      <c r="F5" s="20">
        <f>911.3+921.7+944.8</f>
        <v>2777.8</v>
      </c>
      <c r="G5" s="21">
        <v>2777.8</v>
      </c>
      <c r="H5" s="21">
        <f t="shared" si="0"/>
        <v>0</v>
      </c>
      <c r="I5" s="18" t="s">
        <v>684</v>
      </c>
      <c r="J5" s="19"/>
      <c r="K5" s="24"/>
      <c r="L5" s="24">
        <v>42979</v>
      </c>
      <c r="M5" s="18" t="s">
        <v>49</v>
      </c>
      <c r="N5" s="19"/>
      <c r="O5" s="3">
        <v>19.5</v>
      </c>
      <c r="P5" s="31"/>
      <c r="Q5" s="3"/>
      <c r="R5" s="3"/>
      <c r="S5" s="27"/>
      <c r="T5" s="27"/>
      <c r="U5" s="3"/>
      <c r="V5" s="19"/>
      <c r="W5" s="3"/>
      <c r="X5" s="3">
        <f t="shared" ref="X5:X9" si="5">IF(O5&gt;0,O5,((P5*2.2046*S5)+(Q5+R5)/G5)+V5)</f>
        <v>19.5</v>
      </c>
      <c r="Y5" s="3">
        <f t="shared" ref="Y5:Y9" si="6">IF(O5&gt;0,O5,((P5*2.2046*S5)+(Q5+R5+T5)/G5)+V5+W5)</f>
        <v>19.5</v>
      </c>
      <c r="Z5" s="29">
        <f t="shared" ref="Z5:Z9" si="7">Y5*F5</f>
        <v>54167.100000000006</v>
      </c>
      <c r="AA5" s="30">
        <v>42986</v>
      </c>
    </row>
    <row r="6" spans="1:27" s="22" customFormat="1" x14ac:dyDescent="0.25">
      <c r="A6" s="134"/>
      <c r="B6" s="17" t="s">
        <v>419</v>
      </c>
      <c r="C6" s="19" t="s">
        <v>37</v>
      </c>
      <c r="D6" s="18" t="s">
        <v>685</v>
      </c>
      <c r="E6" s="19" t="s">
        <v>686</v>
      </c>
      <c r="F6" s="20">
        <v>3456.43</v>
      </c>
      <c r="G6" s="21">
        <v>3456.43</v>
      </c>
      <c r="H6" s="21">
        <f t="shared" si="0"/>
        <v>0</v>
      </c>
      <c r="I6" s="18" t="s">
        <v>687</v>
      </c>
      <c r="J6" s="19"/>
      <c r="K6" s="24"/>
      <c r="L6" s="24">
        <v>42979</v>
      </c>
      <c r="M6" s="18" t="s">
        <v>49</v>
      </c>
      <c r="N6" s="19"/>
      <c r="O6" s="3">
        <v>49</v>
      </c>
      <c r="P6" s="31"/>
      <c r="Q6" s="3"/>
      <c r="R6" s="3"/>
      <c r="S6" s="27"/>
      <c r="T6" s="27"/>
      <c r="U6" s="3"/>
      <c r="V6" s="19"/>
      <c r="W6" s="3"/>
      <c r="X6" s="3">
        <f t="shared" si="5"/>
        <v>49</v>
      </c>
      <c r="Y6" s="3">
        <f t="shared" si="6"/>
        <v>49</v>
      </c>
      <c r="Z6" s="29">
        <f t="shared" si="7"/>
        <v>169365.06999999998</v>
      </c>
      <c r="AA6" s="30">
        <v>42986</v>
      </c>
    </row>
    <row r="7" spans="1:27" s="22" customFormat="1" x14ac:dyDescent="0.25">
      <c r="A7" s="134"/>
      <c r="B7" s="17" t="s">
        <v>688</v>
      </c>
      <c r="C7" s="19" t="s">
        <v>689</v>
      </c>
      <c r="D7" s="18" t="s">
        <v>596</v>
      </c>
      <c r="E7" s="19" t="s">
        <v>690</v>
      </c>
      <c r="F7" s="20">
        <v>1625.57</v>
      </c>
      <c r="G7" s="21">
        <v>1625.57</v>
      </c>
      <c r="H7" s="21">
        <f t="shared" si="0"/>
        <v>0</v>
      </c>
      <c r="I7" s="18" t="s">
        <v>691</v>
      </c>
      <c r="J7" s="19"/>
      <c r="K7" s="24"/>
      <c r="L7" s="24">
        <v>42980</v>
      </c>
      <c r="M7" s="18" t="s">
        <v>98</v>
      </c>
      <c r="N7" s="19"/>
      <c r="O7" s="3">
        <v>20</v>
      </c>
      <c r="P7" s="31"/>
      <c r="Q7" s="3"/>
      <c r="R7" s="3"/>
      <c r="S7" s="27"/>
      <c r="T7" s="27"/>
      <c r="U7" s="3"/>
      <c r="V7" s="19"/>
      <c r="W7" s="3"/>
      <c r="X7" s="3">
        <f t="shared" si="5"/>
        <v>20</v>
      </c>
      <c r="Y7" s="3">
        <f t="shared" si="6"/>
        <v>20</v>
      </c>
      <c r="Z7" s="29">
        <f t="shared" si="7"/>
        <v>32511.399999999998</v>
      </c>
      <c r="AA7" s="30">
        <v>42986</v>
      </c>
    </row>
    <row r="8" spans="1:27" s="22" customFormat="1" x14ac:dyDescent="0.25">
      <c r="A8" s="134"/>
      <c r="B8" s="17" t="s">
        <v>26</v>
      </c>
      <c r="C8" s="18" t="s">
        <v>27</v>
      </c>
      <c r="D8" s="18" t="s">
        <v>27</v>
      </c>
      <c r="E8" s="19" t="s">
        <v>28</v>
      </c>
      <c r="F8" s="20">
        <f>40749*0.4536</f>
        <v>18483.7464</v>
      </c>
      <c r="G8" s="21">
        <v>18376.03</v>
      </c>
      <c r="H8" s="21">
        <f>G8-F8</f>
        <v>-107.71640000000116</v>
      </c>
      <c r="I8" s="22" t="s">
        <v>692</v>
      </c>
      <c r="J8" s="23" t="s">
        <v>30</v>
      </c>
      <c r="K8" s="24">
        <v>42979</v>
      </c>
      <c r="L8" s="24">
        <v>42980</v>
      </c>
      <c r="M8" s="18" t="s">
        <v>98</v>
      </c>
      <c r="N8" s="18" t="s">
        <v>693</v>
      </c>
      <c r="O8" s="3"/>
      <c r="P8" s="25">
        <f>0.696+0.095</f>
        <v>0.79099999999999993</v>
      </c>
      <c r="Q8" s="26">
        <v>23000</v>
      </c>
      <c r="R8" s="3">
        <v>9400</v>
      </c>
      <c r="S8" s="51">
        <v>17.873000000000001</v>
      </c>
      <c r="T8" s="28">
        <f>X8*F8*0.005</f>
        <v>3054.5124518765401</v>
      </c>
      <c r="V8" s="3">
        <v>0.12</v>
      </c>
      <c r="W8" s="3">
        <v>0.3</v>
      </c>
      <c r="X8" s="3">
        <f t="shared" si="5"/>
        <v>33.050793770645328</v>
      </c>
      <c r="Y8" s="3">
        <f t="shared" si="6"/>
        <v>33.517016423300795</v>
      </c>
      <c r="Z8" s="29">
        <f t="shared" si="7"/>
        <v>619520.03165292693</v>
      </c>
      <c r="AA8" s="30">
        <v>42983</v>
      </c>
    </row>
    <row r="9" spans="1:27" s="22" customFormat="1" x14ac:dyDescent="0.25">
      <c r="A9" s="134"/>
      <c r="B9" s="17" t="s">
        <v>26</v>
      </c>
      <c r="C9" s="18" t="s">
        <v>33</v>
      </c>
      <c r="D9" s="18" t="s">
        <v>33</v>
      </c>
      <c r="E9" s="19" t="s">
        <v>34</v>
      </c>
      <c r="F9" s="20">
        <f>42625*0.4536</f>
        <v>19334.7</v>
      </c>
      <c r="G9" s="21">
        <v>19266.439999999999</v>
      </c>
      <c r="H9" s="21">
        <f t="shared" ref="H9" si="8">G9-F9</f>
        <v>-68.260000000002037</v>
      </c>
      <c r="I9" s="22" t="s">
        <v>694</v>
      </c>
      <c r="J9" s="23" t="s">
        <v>30</v>
      </c>
      <c r="K9" s="24">
        <v>42979</v>
      </c>
      <c r="L9" s="24">
        <v>42980</v>
      </c>
      <c r="M9" s="18" t="s">
        <v>98</v>
      </c>
      <c r="N9" s="18" t="s">
        <v>695</v>
      </c>
      <c r="O9" s="3"/>
      <c r="P9" s="25">
        <v>0.81359999999999999</v>
      </c>
      <c r="Q9" s="26">
        <v>23000</v>
      </c>
      <c r="R9" s="3">
        <v>9400</v>
      </c>
      <c r="S9" s="51">
        <v>17.71</v>
      </c>
      <c r="T9" s="28">
        <f t="shared" ref="T9" si="9">X9*F9*0.005</f>
        <v>3245.0823576390685</v>
      </c>
      <c r="V9" s="3">
        <v>0.12</v>
      </c>
      <c r="W9" s="3">
        <v>0.3</v>
      </c>
      <c r="X9" s="3">
        <f t="shared" si="5"/>
        <v>33.567444621732619</v>
      </c>
      <c r="Y9" s="3">
        <f t="shared" si="6"/>
        <v>34.035876483438201</v>
      </c>
      <c r="Z9" s="29">
        <f t="shared" si="7"/>
        <v>658073.46104433259</v>
      </c>
      <c r="AA9" s="30">
        <v>42975</v>
      </c>
    </row>
    <row r="10" spans="1:27" s="22" customFormat="1" ht="15.75" thickBot="1" x14ac:dyDescent="0.3">
      <c r="A10" s="135"/>
      <c r="B10" s="34"/>
      <c r="C10" s="6"/>
      <c r="D10" s="6"/>
      <c r="E10" s="6"/>
      <c r="F10" s="35"/>
      <c r="G10" s="35"/>
      <c r="H10" s="35"/>
      <c r="I10" s="9"/>
      <c r="J10" s="6"/>
      <c r="K10" s="10"/>
      <c r="L10" s="10"/>
      <c r="M10" s="6"/>
      <c r="N10" s="6"/>
      <c r="O10" s="11"/>
      <c r="P10" s="12"/>
      <c r="Q10" s="11"/>
      <c r="R10" s="11"/>
      <c r="S10" s="11"/>
      <c r="T10" s="11"/>
      <c r="U10" s="11"/>
      <c r="V10" s="11"/>
      <c r="W10" s="11"/>
      <c r="X10" s="11"/>
      <c r="Y10" s="11"/>
      <c r="Z10" s="15"/>
      <c r="AA10" s="36"/>
    </row>
    <row r="11" spans="1:27" s="22" customFormat="1" x14ac:dyDescent="0.25">
      <c r="A11" s="136"/>
      <c r="B11" s="38" t="s">
        <v>41</v>
      </c>
      <c r="C11" s="38" t="s">
        <v>42</v>
      </c>
      <c r="D11" s="39" t="s">
        <v>43</v>
      </c>
      <c r="E11" s="38">
        <v>260</v>
      </c>
      <c r="F11" s="40">
        <v>29370</v>
      </c>
      <c r="G11" s="41">
        <f>11830+11580</f>
        <v>23410</v>
      </c>
      <c r="H11" s="21">
        <f t="shared" ref="H11:H13" si="10">G11-F11</f>
        <v>-5960</v>
      </c>
      <c r="I11" s="39" t="s">
        <v>696</v>
      </c>
      <c r="J11" s="38"/>
      <c r="K11" s="42"/>
      <c r="L11" s="42">
        <v>42981</v>
      </c>
      <c r="M11" s="39" t="s">
        <v>57</v>
      </c>
      <c r="N11" s="38"/>
      <c r="O11" s="43">
        <v>28</v>
      </c>
      <c r="P11" s="44"/>
      <c r="Q11" s="45">
        <v>19800</v>
      </c>
      <c r="R11" s="43">
        <f t="shared" ref="R11:R13" si="11">65*E11</f>
        <v>16900</v>
      </c>
      <c r="S11" s="43">
        <f t="shared" ref="S11:S13" si="12">-38*E11</f>
        <v>-9880</v>
      </c>
      <c r="T11" s="72">
        <f>X11*F11*0.0045</f>
        <v>4801.5245279794954</v>
      </c>
      <c r="U11" s="43">
        <f>E11*5</f>
        <v>1300</v>
      </c>
      <c r="V11" s="38"/>
      <c r="W11" s="43">
        <v>0.3</v>
      </c>
      <c r="X11" s="43">
        <f>((O11*F11)+Q11+R11+S11+U11)/G11</f>
        <v>36.329773601025202</v>
      </c>
      <c r="Y11" s="47">
        <f t="shared" ref="Y11:Y13" si="13">((O11*F11)+Q11+R11+S11+T11+U11)/G11+W11</f>
        <v>36.834879304911553</v>
      </c>
      <c r="Z11" s="47">
        <f>Y11*G11</f>
        <v>862304.52452797943</v>
      </c>
      <c r="AA11" s="48">
        <v>42996</v>
      </c>
    </row>
    <row r="12" spans="1:27" s="22" customFormat="1" x14ac:dyDescent="0.25">
      <c r="A12" s="137"/>
      <c r="B12" s="17" t="s">
        <v>26</v>
      </c>
      <c r="C12" s="18" t="s">
        <v>27</v>
      </c>
      <c r="D12" s="18" t="s">
        <v>27</v>
      </c>
      <c r="E12" s="19" t="s">
        <v>697</v>
      </c>
      <c r="F12" s="20">
        <f>40775*0.4536</f>
        <v>18495.54</v>
      </c>
      <c r="G12" s="21">
        <v>18338.71</v>
      </c>
      <c r="H12" s="21">
        <f>G12-F12</f>
        <v>-156.83000000000175</v>
      </c>
      <c r="I12" s="22" t="s">
        <v>698</v>
      </c>
      <c r="J12" s="23" t="s">
        <v>699</v>
      </c>
      <c r="K12" s="24">
        <v>42979</v>
      </c>
      <c r="L12" s="24">
        <v>42982</v>
      </c>
      <c r="M12" s="18" t="s">
        <v>60</v>
      </c>
      <c r="N12" s="18" t="s">
        <v>693</v>
      </c>
      <c r="O12" s="3"/>
      <c r="P12" s="25">
        <f t="shared" ref="P12:P14" si="14">0.696+0.095</f>
        <v>0.79099999999999993</v>
      </c>
      <c r="Q12" s="26">
        <v>19500</v>
      </c>
      <c r="R12" s="3">
        <v>12532</v>
      </c>
      <c r="S12" s="51">
        <v>17.759</v>
      </c>
      <c r="T12" s="28">
        <f>X12*F12*0.005</f>
        <v>3036.5531313018014</v>
      </c>
      <c r="V12" s="3">
        <v>0.12</v>
      </c>
      <c r="W12" s="3">
        <v>0.3</v>
      </c>
      <c r="X12" s="3">
        <f>IF(O12&gt;0,O12,((P12*2.2046*S12)+(Q12+R12)/G12)+V12)</f>
        <v>32.835517441521588</v>
      </c>
      <c r="Y12" s="3">
        <f>IF(O12&gt;0,O12,((P12*2.2046*S12)+(Q12+R12+T12)/G12)+V12+W12)</f>
        <v>33.301099051749446</v>
      </c>
      <c r="Z12" s="29">
        <f>Y12*F12</f>
        <v>615921.80955559399</v>
      </c>
      <c r="AA12" s="30">
        <v>42989</v>
      </c>
    </row>
    <row r="13" spans="1:27" s="22" customFormat="1" x14ac:dyDescent="0.25">
      <c r="A13" s="137"/>
      <c r="B13" s="17" t="s">
        <v>41</v>
      </c>
      <c r="C13" s="19" t="s">
        <v>42</v>
      </c>
      <c r="D13" s="18" t="s">
        <v>43</v>
      </c>
      <c r="E13" s="19">
        <v>199</v>
      </c>
      <c r="F13" s="20">
        <v>23415</v>
      </c>
      <c r="G13" s="21">
        <f>11210+7530</f>
        <v>18740</v>
      </c>
      <c r="H13" s="21">
        <f t="shared" si="10"/>
        <v>-4675</v>
      </c>
      <c r="I13" s="18" t="s">
        <v>700</v>
      </c>
      <c r="J13" s="19"/>
      <c r="K13" s="24"/>
      <c r="L13" s="24">
        <v>42982</v>
      </c>
      <c r="M13" s="18" t="s">
        <v>60</v>
      </c>
      <c r="N13" s="19"/>
      <c r="O13" s="3">
        <v>28</v>
      </c>
      <c r="P13" s="31"/>
      <c r="Q13" s="26">
        <v>19800</v>
      </c>
      <c r="R13" s="3">
        <f t="shared" si="11"/>
        <v>12935</v>
      </c>
      <c r="S13" s="27">
        <f t="shared" si="12"/>
        <v>-7562</v>
      </c>
      <c r="T13" s="28">
        <f>X13*F13*0.0045</f>
        <v>3833.4203356456774</v>
      </c>
      <c r="U13" s="3">
        <f>E13*5</f>
        <v>995</v>
      </c>
      <c r="V13" s="19"/>
      <c r="W13" s="3">
        <v>0.3</v>
      </c>
      <c r="X13" s="3">
        <f>((O13*F13)+Q13+R13+S13+U13)/G13</f>
        <v>36.381430096051226</v>
      </c>
      <c r="Y13" s="3">
        <f t="shared" si="13"/>
        <v>36.885988278316205</v>
      </c>
      <c r="Z13" s="29">
        <f>Y13*G13</f>
        <v>691243.42033564567</v>
      </c>
      <c r="AA13" s="30">
        <v>42996</v>
      </c>
    </row>
    <row r="14" spans="1:27" s="22" customFormat="1" x14ac:dyDescent="0.25">
      <c r="A14" s="137"/>
      <c r="B14" s="17" t="s">
        <v>26</v>
      </c>
      <c r="C14" s="18" t="s">
        <v>27</v>
      </c>
      <c r="D14" s="18" t="s">
        <v>27</v>
      </c>
      <c r="E14" s="19" t="s">
        <v>28</v>
      </c>
      <c r="F14" s="20">
        <f>41090*0.4536</f>
        <v>18638.423999999999</v>
      </c>
      <c r="G14" s="21">
        <v>18517.89</v>
      </c>
      <c r="H14" s="21">
        <f>G14-F14</f>
        <v>-120.53399999999965</v>
      </c>
      <c r="I14" s="22" t="s">
        <v>701</v>
      </c>
      <c r="J14" s="23" t="s">
        <v>702</v>
      </c>
      <c r="K14" s="24">
        <v>42982</v>
      </c>
      <c r="L14" s="24">
        <v>42984</v>
      </c>
      <c r="M14" s="18" t="s">
        <v>31</v>
      </c>
      <c r="N14" s="18" t="s">
        <v>693</v>
      </c>
      <c r="O14" s="3"/>
      <c r="P14" s="25">
        <f t="shared" si="14"/>
        <v>0.79099999999999993</v>
      </c>
      <c r="Q14" s="26">
        <v>20000</v>
      </c>
      <c r="R14" s="3">
        <v>9400</v>
      </c>
      <c r="S14" s="51">
        <v>17.736000000000001</v>
      </c>
      <c r="T14" s="28">
        <f>X14*F14*0.005</f>
        <v>3041.4530028168683</v>
      </c>
      <c r="V14" s="3">
        <v>0.12</v>
      </c>
      <c r="W14" s="3">
        <v>0.3</v>
      </c>
      <c r="X14" s="3">
        <f>IF(O14&gt;0,O14,((P14*2.2046*S14)+(Q14+R14)/G14)+V14)</f>
        <v>32.636375294572851</v>
      </c>
      <c r="Y14" s="3">
        <f>IF(O14&gt;0,O14,((P14*2.2046*S14)+(Q14+R14+T14)/G14)+V14+W14)</f>
        <v>33.100619331167564</v>
      </c>
      <c r="Z14" s="29">
        <f>Y14*F14</f>
        <v>616943.37775689748</v>
      </c>
      <c r="AA14" s="30">
        <v>42989</v>
      </c>
    </row>
    <row r="15" spans="1:27" s="22" customFormat="1" x14ac:dyDescent="0.25">
      <c r="A15" s="137"/>
      <c r="B15" s="17" t="s">
        <v>41</v>
      </c>
      <c r="C15" s="19" t="s">
        <v>42</v>
      </c>
      <c r="D15" s="18" t="s">
        <v>51</v>
      </c>
      <c r="E15" s="19">
        <f>230</f>
        <v>230</v>
      </c>
      <c r="F15" s="20">
        <f>27090</f>
        <v>27090</v>
      </c>
      <c r="G15" s="21">
        <f>18810</f>
        <v>18810</v>
      </c>
      <c r="H15" s="21">
        <f t="shared" ref="H15:H16" si="15">G15-F15</f>
        <v>-8280</v>
      </c>
      <c r="I15" s="22" t="s">
        <v>703</v>
      </c>
      <c r="J15" s="19">
        <v>200</v>
      </c>
      <c r="K15" s="24"/>
      <c r="L15" s="24">
        <v>42983</v>
      </c>
      <c r="M15" s="18" t="s">
        <v>62</v>
      </c>
      <c r="N15" s="19"/>
      <c r="O15" s="3">
        <v>28</v>
      </c>
      <c r="P15" s="31"/>
      <c r="Q15" s="33">
        <v>19800</v>
      </c>
      <c r="R15" s="3">
        <f>65*E15</f>
        <v>14950</v>
      </c>
      <c r="S15" s="27">
        <f>-38*E15</f>
        <v>-8740</v>
      </c>
      <c r="T15" s="28">
        <f t="shared" ref="T15:T16" si="16">X15*F15*0.005</f>
        <v>5657.6478468899522</v>
      </c>
      <c r="U15" s="3">
        <f>E15*5</f>
        <v>1150</v>
      </c>
      <c r="V15" s="19"/>
      <c r="W15" s="3">
        <v>0.3</v>
      </c>
      <c r="X15" s="3">
        <f>((O15*F15)+Q15+R15+S15+U15)/G15</f>
        <v>41.769271664008507</v>
      </c>
      <c r="Y15" s="3">
        <f>((O15*F15)+Q15+R15+S15+T15+U15)/G15+W15</f>
        <v>42.370050390584254</v>
      </c>
      <c r="Z15" s="29">
        <f>Y15*G15</f>
        <v>796980.6478468898</v>
      </c>
      <c r="AA15" s="30">
        <v>42996</v>
      </c>
    </row>
    <row r="16" spans="1:27" s="22" customFormat="1" x14ac:dyDescent="0.25">
      <c r="A16" s="137"/>
      <c r="B16" s="17" t="s">
        <v>41</v>
      </c>
      <c r="C16" s="19" t="s">
        <v>42</v>
      </c>
      <c r="D16" s="18" t="s">
        <v>43</v>
      </c>
      <c r="E16" s="19">
        <v>100</v>
      </c>
      <c r="F16" s="20">
        <v>11400</v>
      </c>
      <c r="G16" s="21">
        <v>11450</v>
      </c>
      <c r="H16" s="21">
        <f t="shared" si="15"/>
        <v>50</v>
      </c>
      <c r="I16" s="22" t="s">
        <v>704</v>
      </c>
      <c r="J16" s="19">
        <v>130</v>
      </c>
      <c r="K16" s="24"/>
      <c r="L16" s="24">
        <v>42983</v>
      </c>
      <c r="M16" s="18" t="s">
        <v>62</v>
      </c>
      <c r="N16" s="19"/>
      <c r="O16" s="3">
        <v>28</v>
      </c>
      <c r="P16" s="31"/>
      <c r="Q16" s="26">
        <v>15700</v>
      </c>
      <c r="R16" s="3">
        <f>65*E16</f>
        <v>6500</v>
      </c>
      <c r="S16" s="27">
        <f>-38*E16</f>
        <v>-3800</v>
      </c>
      <c r="T16" s="28">
        <f t="shared" si="16"/>
        <v>1683.117903930131</v>
      </c>
      <c r="U16" s="3">
        <f>E16*5</f>
        <v>500</v>
      </c>
      <c r="V16" s="19"/>
      <c r="W16" s="3">
        <v>0.3</v>
      </c>
      <c r="X16" s="3">
        <f>((O16*F16)+Q16+R16+S16+U16)/G16</f>
        <v>29.528384279475983</v>
      </c>
      <c r="Y16" s="3">
        <f>((O16*F16)+Q16+R16+S16+T16+U16)/G16+W16</f>
        <v>29.975381476325776</v>
      </c>
      <c r="Z16" s="29">
        <f>Y16*G16</f>
        <v>343218.11790393014</v>
      </c>
      <c r="AA16" s="30">
        <v>42996</v>
      </c>
    </row>
    <row r="17" spans="1:27" s="22" customFormat="1" x14ac:dyDescent="0.25">
      <c r="A17" s="137"/>
      <c r="B17" s="17" t="s">
        <v>26</v>
      </c>
      <c r="C17" s="18" t="s">
        <v>27</v>
      </c>
      <c r="D17" s="18" t="s">
        <v>27</v>
      </c>
      <c r="E17" s="19" t="s">
        <v>697</v>
      </c>
      <c r="F17" s="20">
        <f>37090*0.4536</f>
        <v>16824.024000000001</v>
      </c>
      <c r="G17" s="21">
        <v>16986.439999999999</v>
      </c>
      <c r="H17" s="21">
        <f>G17-F17</f>
        <v>162.41599999999744</v>
      </c>
      <c r="I17" s="22" t="s">
        <v>705</v>
      </c>
      <c r="J17" s="23" t="s">
        <v>30</v>
      </c>
      <c r="K17" s="24">
        <v>42983</v>
      </c>
      <c r="L17" s="24">
        <v>42984</v>
      </c>
      <c r="M17" s="18" t="s">
        <v>31</v>
      </c>
      <c r="N17" s="18" t="s">
        <v>706</v>
      </c>
      <c r="O17" s="3"/>
      <c r="P17" s="25">
        <f t="shared" ref="P17:P18" si="17">0.719+0.095</f>
        <v>0.81399999999999995</v>
      </c>
      <c r="Q17" s="26">
        <v>23000</v>
      </c>
      <c r="R17" s="3">
        <v>9400</v>
      </c>
      <c r="S17" s="51">
        <v>17.696000000000002</v>
      </c>
      <c r="T17" s="28">
        <f>X17*F17*0.005</f>
        <v>2841.8856586086836</v>
      </c>
      <c r="V17" s="3">
        <v>0.12</v>
      </c>
      <c r="W17" s="3">
        <v>0.3</v>
      </c>
      <c r="X17" s="3">
        <f>IF(O17&gt;0,O17,((P17*2.2046*S17)+(Q17+R17)/G17)+V17)</f>
        <v>33.783661490362633</v>
      </c>
      <c r="Y17" s="3">
        <f t="shared" ref="Y17:Y20" si="18">IF(O17&gt;0,O17,((P17*2.2046*S17)+(Q17+R17+T17)/G17)+V17+W17)</f>
        <v>34.25096468388692</v>
      </c>
      <c r="Z17" s="29">
        <f>Y17*F17</f>
        <v>576239.05186486605</v>
      </c>
      <c r="AA17" s="30">
        <v>42996</v>
      </c>
    </row>
    <row r="18" spans="1:27" s="22" customFormat="1" x14ac:dyDescent="0.25">
      <c r="A18" s="137"/>
      <c r="B18" s="17" t="s">
        <v>26</v>
      </c>
      <c r="C18" s="18" t="s">
        <v>27</v>
      </c>
      <c r="D18" s="18" t="s">
        <v>27</v>
      </c>
      <c r="E18" s="19" t="s">
        <v>28</v>
      </c>
      <c r="F18" s="20">
        <f>39378*0.4536</f>
        <v>17861.860799999999</v>
      </c>
      <c r="G18" s="21">
        <v>17961.990000000002</v>
      </c>
      <c r="H18" s="21">
        <f t="shared" ref="H18:H28" si="19">G18-F18</f>
        <v>100.12920000000304</v>
      </c>
      <c r="I18" s="22" t="s">
        <v>707</v>
      </c>
      <c r="J18" s="23" t="s">
        <v>39</v>
      </c>
      <c r="K18" s="24">
        <v>42983</v>
      </c>
      <c r="L18" s="24">
        <v>42984</v>
      </c>
      <c r="M18" s="18" t="s">
        <v>31</v>
      </c>
      <c r="N18" s="18" t="s">
        <v>706</v>
      </c>
      <c r="O18" s="3"/>
      <c r="P18" s="25">
        <f t="shared" si="17"/>
        <v>0.81399999999999995</v>
      </c>
      <c r="Q18" s="26">
        <v>23000</v>
      </c>
      <c r="R18" s="3">
        <v>9400</v>
      </c>
      <c r="S18" s="51">
        <v>17.681999999999999</v>
      </c>
      <c r="T18" s="28">
        <f t="shared" ref="T18:T19" si="20">X18*F18*0.005</f>
        <v>3005.6995465845703</v>
      </c>
      <c r="V18" s="3">
        <v>0.12</v>
      </c>
      <c r="W18" s="3">
        <v>0.3</v>
      </c>
      <c r="X18" s="3">
        <f t="shared" ref="X18:X20" si="21">IF(O18&gt;0,O18,((P18*2.2046*S18)+(Q18+R18)/G18)+V18)</f>
        <v>33.654943124230037</v>
      </c>
      <c r="Y18" s="3">
        <f t="shared" si="18"/>
        <v>34.122279791636295</v>
      </c>
      <c r="Z18" s="29">
        <f t="shared" ref="Z18:Z20" si="22">Y18*F18</f>
        <v>609487.41181686043</v>
      </c>
      <c r="AA18" s="30">
        <v>42996</v>
      </c>
    </row>
    <row r="19" spans="1:27" s="22" customFormat="1" x14ac:dyDescent="0.25">
      <c r="A19" s="137"/>
      <c r="B19" s="17" t="s">
        <v>26</v>
      </c>
      <c r="C19" s="18" t="s">
        <v>27</v>
      </c>
      <c r="D19" s="18" t="s">
        <v>27</v>
      </c>
      <c r="E19" s="19" t="s">
        <v>697</v>
      </c>
      <c r="F19" s="20">
        <f>41019*0.4536</f>
        <v>18606.218400000002</v>
      </c>
      <c r="G19" s="21">
        <v>18578.810000000001</v>
      </c>
      <c r="H19" s="21">
        <f t="shared" si="19"/>
        <v>-27.408400000000256</v>
      </c>
      <c r="I19" s="22" t="s">
        <v>708</v>
      </c>
      <c r="J19" s="23" t="s">
        <v>30</v>
      </c>
      <c r="K19" s="24">
        <v>42983</v>
      </c>
      <c r="L19" s="24">
        <v>42984</v>
      </c>
      <c r="M19" s="18" t="s">
        <v>31</v>
      </c>
      <c r="N19" s="18" t="s">
        <v>709</v>
      </c>
      <c r="O19" s="3"/>
      <c r="P19" s="25">
        <f>0.7234+0.095</f>
        <v>0.81840000000000002</v>
      </c>
      <c r="Q19" s="26">
        <v>23000</v>
      </c>
      <c r="R19" s="3">
        <v>9400</v>
      </c>
      <c r="S19" s="51">
        <v>17.771999999999998</v>
      </c>
      <c r="T19" s="28">
        <f t="shared" si="20"/>
        <v>3156.4480117367029</v>
      </c>
      <c r="V19" s="3">
        <v>0.12</v>
      </c>
      <c r="W19" s="3">
        <v>0.3</v>
      </c>
      <c r="X19" s="3">
        <f t="shared" si="21"/>
        <v>33.928957984677879</v>
      </c>
      <c r="Y19" s="3">
        <f t="shared" si="18"/>
        <v>34.398853043173915</v>
      </c>
      <c r="Z19" s="29">
        <f t="shared" si="22"/>
        <v>640032.57243079855</v>
      </c>
      <c r="AA19" s="30">
        <v>42993</v>
      </c>
    </row>
    <row r="20" spans="1:27" s="22" customFormat="1" x14ac:dyDescent="0.25">
      <c r="A20" s="137"/>
      <c r="B20" s="17" t="s">
        <v>76</v>
      </c>
      <c r="C20" s="18" t="s">
        <v>33</v>
      </c>
      <c r="D20" s="18" t="s">
        <v>77</v>
      </c>
      <c r="E20" s="19" t="s">
        <v>218</v>
      </c>
      <c r="F20" s="20">
        <f>918.1+933.5+926.2</f>
        <v>2777.8</v>
      </c>
      <c r="G20" s="21">
        <v>2777.8</v>
      </c>
      <c r="H20" s="21">
        <f t="shared" si="19"/>
        <v>0</v>
      </c>
      <c r="I20" s="22" t="s">
        <v>710</v>
      </c>
      <c r="J20" s="19"/>
      <c r="K20" s="24"/>
      <c r="L20" s="24">
        <v>42984</v>
      </c>
      <c r="M20" s="18" t="s">
        <v>31</v>
      </c>
      <c r="N20" s="18"/>
      <c r="O20" s="3">
        <v>19.5</v>
      </c>
      <c r="P20" s="25"/>
      <c r="Q20" s="3"/>
      <c r="R20" s="3"/>
      <c r="S20" s="51"/>
      <c r="T20" s="27"/>
      <c r="V20" s="3"/>
      <c r="W20" s="3"/>
      <c r="X20" s="3">
        <f t="shared" si="21"/>
        <v>19.5</v>
      </c>
      <c r="Y20" s="3">
        <f t="shared" si="18"/>
        <v>19.5</v>
      </c>
      <c r="Z20" s="29">
        <f t="shared" si="22"/>
        <v>54167.100000000006</v>
      </c>
      <c r="AA20" s="30">
        <v>42991</v>
      </c>
    </row>
    <row r="21" spans="1:27" s="22" customFormat="1" x14ac:dyDescent="0.25">
      <c r="A21" s="137"/>
      <c r="B21" s="17" t="s">
        <v>41</v>
      </c>
      <c r="C21" s="19" t="s">
        <v>42</v>
      </c>
      <c r="D21" s="18" t="s">
        <v>43</v>
      </c>
      <c r="E21" s="19">
        <v>200</v>
      </c>
      <c r="F21" s="20">
        <v>21560</v>
      </c>
      <c r="G21" s="21">
        <v>16730</v>
      </c>
      <c r="H21" s="21">
        <f t="shared" si="19"/>
        <v>-4830</v>
      </c>
      <c r="I21" s="22" t="s">
        <v>711</v>
      </c>
      <c r="J21" s="19"/>
      <c r="K21" s="24"/>
      <c r="L21" s="24">
        <v>42985</v>
      </c>
      <c r="M21" s="18" t="s">
        <v>47</v>
      </c>
      <c r="N21" s="19"/>
      <c r="O21" s="3">
        <v>28</v>
      </c>
      <c r="P21" s="31"/>
      <c r="Q21" s="33">
        <f>19800</f>
        <v>19800</v>
      </c>
      <c r="R21" s="3">
        <f t="shared" ref="R21:R26" si="23">65*E21</f>
        <v>13000</v>
      </c>
      <c r="S21" s="27">
        <f t="shared" ref="S21:S26" si="24">-38*E21</f>
        <v>-7600</v>
      </c>
      <c r="T21" s="28">
        <f t="shared" ref="T21:T22" si="25">X21*F21*0.0045</f>
        <v>3652.7769037656899</v>
      </c>
      <c r="U21" s="3">
        <f t="shared" ref="U21:U22" si="26">E21*5</f>
        <v>1000</v>
      </c>
      <c r="V21" s="19"/>
      <c r="W21" s="3">
        <v>0.3</v>
      </c>
      <c r="X21" s="3">
        <f t="shared" ref="X21:X22" si="27">((O21*F21)+Q21+R21+S21+U21)/G21</f>
        <v>37.649731022115958</v>
      </c>
      <c r="Y21" s="3">
        <f t="shared" ref="Y21:Y26" si="28">((O21*F21)+Q21+R21+S21+T21+U21)/G21+W21</f>
        <v>38.168067955993166</v>
      </c>
      <c r="Z21" s="29">
        <f t="shared" ref="Z21:Z26" si="29">Y21*G21</f>
        <v>638551.77690376563</v>
      </c>
      <c r="AA21" s="30">
        <v>42998</v>
      </c>
    </row>
    <row r="22" spans="1:27" s="22" customFormat="1" x14ac:dyDescent="0.25">
      <c r="A22" s="137"/>
      <c r="B22" s="17" t="s">
        <v>41</v>
      </c>
      <c r="C22" s="19" t="s">
        <v>42</v>
      </c>
      <c r="D22" s="18" t="s">
        <v>58</v>
      </c>
      <c r="E22" s="19">
        <v>130</v>
      </c>
      <c r="F22" s="20">
        <v>14460</v>
      </c>
      <c r="G22" s="21">
        <v>11130</v>
      </c>
      <c r="H22" s="21">
        <f t="shared" si="19"/>
        <v>-3330</v>
      </c>
      <c r="I22" s="22" t="s">
        <v>712</v>
      </c>
      <c r="J22" s="19"/>
      <c r="K22" s="24"/>
      <c r="L22" s="24">
        <v>42985</v>
      </c>
      <c r="M22" s="18" t="s">
        <v>47</v>
      </c>
      <c r="N22" s="19"/>
      <c r="O22" s="3">
        <v>28</v>
      </c>
      <c r="P22" s="31"/>
      <c r="Q22" s="26">
        <v>15700</v>
      </c>
      <c r="R22" s="3">
        <f t="shared" si="23"/>
        <v>8450</v>
      </c>
      <c r="S22" s="27">
        <f t="shared" si="24"/>
        <v>-4940</v>
      </c>
      <c r="T22" s="28">
        <f t="shared" si="25"/>
        <v>2483.1834501347712</v>
      </c>
      <c r="U22" s="3">
        <f t="shared" si="26"/>
        <v>650</v>
      </c>
      <c r="V22" s="19"/>
      <c r="W22" s="3">
        <v>0.3</v>
      </c>
      <c r="X22" s="3">
        <f t="shared" si="27"/>
        <v>38.161725067385447</v>
      </c>
      <c r="Y22" s="3">
        <f t="shared" si="28"/>
        <v>38.684832295609588</v>
      </c>
      <c r="Z22" s="29">
        <f t="shared" si="29"/>
        <v>430562.1834501347</v>
      </c>
      <c r="AA22" s="30">
        <v>42998</v>
      </c>
    </row>
    <row r="23" spans="1:27" s="22" customFormat="1" x14ac:dyDescent="0.25">
      <c r="A23" s="137"/>
      <c r="B23" s="17" t="s">
        <v>26</v>
      </c>
      <c r="C23" s="18" t="s">
        <v>33</v>
      </c>
      <c r="D23" s="18" t="s">
        <v>33</v>
      </c>
      <c r="E23" s="19" t="s">
        <v>34</v>
      </c>
      <c r="F23" s="20">
        <f>42680*0.4536</f>
        <v>19359.648000000001</v>
      </c>
      <c r="G23" s="21">
        <v>19304.22</v>
      </c>
      <c r="H23" s="21">
        <f>G23-F23</f>
        <v>-55.427999999999884</v>
      </c>
      <c r="I23" s="22" t="s">
        <v>713</v>
      </c>
      <c r="J23" s="23" t="s">
        <v>30</v>
      </c>
      <c r="K23" s="24">
        <v>42985</v>
      </c>
      <c r="L23" s="24">
        <v>42986</v>
      </c>
      <c r="M23" s="18" t="s">
        <v>49</v>
      </c>
      <c r="N23" s="18" t="s">
        <v>714</v>
      </c>
      <c r="O23" s="3"/>
      <c r="P23" s="25">
        <f>0.719+0.105</f>
        <v>0.82399999999999995</v>
      </c>
      <c r="Q23" s="26">
        <v>23000</v>
      </c>
      <c r="R23" s="3">
        <v>9400</v>
      </c>
      <c r="S23" s="51">
        <v>17.885000000000002</v>
      </c>
      <c r="T23" s="28">
        <f>X23*F23*0.005</f>
        <v>3319.0285843850488</v>
      </c>
      <c r="V23" s="3">
        <v>0.12</v>
      </c>
      <c r="W23" s="3">
        <v>0.3</v>
      </c>
      <c r="X23" s="3">
        <f t="shared" ref="X23:X24" si="30">IF(O23&gt;0,O23,((P23*2.2046*S23)+(Q23+R23)/G23)+V23)</f>
        <v>34.288108796038529</v>
      </c>
      <c r="Y23" s="3">
        <f t="shared" ref="Y23:Y24" si="31">IF(O23&gt;0,O23,((P23*2.2046*S23)+(Q23+R23+T23)/G23)+V23+W23)</f>
        <v>34.760041595415295</v>
      </c>
      <c r="Z23" s="29">
        <f t="shared" ref="Z23:Z24" si="32">Y23*F23</f>
        <v>672942.16975259851</v>
      </c>
      <c r="AA23" s="30">
        <v>42978</v>
      </c>
    </row>
    <row r="24" spans="1:27" s="22" customFormat="1" x14ac:dyDescent="0.25">
      <c r="A24" s="137"/>
      <c r="B24" s="17" t="s">
        <v>26</v>
      </c>
      <c r="C24" s="18" t="s">
        <v>33</v>
      </c>
      <c r="D24" s="18" t="s">
        <v>33</v>
      </c>
      <c r="E24" s="19" t="s">
        <v>34</v>
      </c>
      <c r="F24" s="20">
        <f>42027*0.4536</f>
        <v>19063.447199999999</v>
      </c>
      <c r="G24" s="21">
        <v>18996.439999999999</v>
      </c>
      <c r="H24" s="21">
        <f>G24-F24</f>
        <v>-67.007200000000012</v>
      </c>
      <c r="I24" s="22" t="s">
        <v>715</v>
      </c>
      <c r="J24" s="23" t="s">
        <v>30</v>
      </c>
      <c r="K24" s="24">
        <v>42986</v>
      </c>
      <c r="L24" s="24">
        <v>42987</v>
      </c>
      <c r="M24" s="18" t="s">
        <v>98</v>
      </c>
      <c r="N24" s="18" t="s">
        <v>714</v>
      </c>
      <c r="O24" s="3"/>
      <c r="P24" s="25">
        <v>0.82399999999999995</v>
      </c>
      <c r="Q24" s="26">
        <v>23000</v>
      </c>
      <c r="R24" s="3">
        <v>9400</v>
      </c>
      <c r="S24" s="51">
        <v>17.885000000000002</v>
      </c>
      <c r="T24" s="28">
        <f>X24*F24*0.005</f>
        <v>3270.839742408732</v>
      </c>
      <c r="V24" s="3">
        <v>0.12</v>
      </c>
      <c r="W24" s="3">
        <v>0.3</v>
      </c>
      <c r="X24" s="3">
        <f t="shared" si="30"/>
        <v>34.315302034237881</v>
      </c>
      <c r="Y24" s="3">
        <f t="shared" si="31"/>
        <v>34.787483755781949</v>
      </c>
      <c r="Z24" s="29">
        <f t="shared" si="32"/>
        <v>663169.35979920684</v>
      </c>
      <c r="AA24" s="30">
        <v>42978</v>
      </c>
    </row>
    <row r="25" spans="1:27" s="22" customFormat="1" x14ac:dyDescent="0.25">
      <c r="A25" s="137"/>
      <c r="B25" s="17" t="s">
        <v>41</v>
      </c>
      <c r="C25" s="19" t="s">
        <v>42</v>
      </c>
      <c r="D25" s="18" t="s">
        <v>51</v>
      </c>
      <c r="E25" s="19">
        <v>200</v>
      </c>
      <c r="F25" s="20">
        <v>22140</v>
      </c>
      <c r="G25" s="21">
        <v>17360</v>
      </c>
      <c r="H25" s="21">
        <f t="shared" si="19"/>
        <v>-4780</v>
      </c>
      <c r="I25" s="22" t="s">
        <v>716</v>
      </c>
      <c r="J25" s="19"/>
      <c r="K25" s="24"/>
      <c r="L25" s="24">
        <v>42986</v>
      </c>
      <c r="M25" s="18" t="s">
        <v>49</v>
      </c>
      <c r="N25" s="19"/>
      <c r="O25" s="3">
        <v>28</v>
      </c>
      <c r="P25" s="31"/>
      <c r="Q25" s="26">
        <v>19800</v>
      </c>
      <c r="R25" s="3">
        <f t="shared" si="23"/>
        <v>13000</v>
      </c>
      <c r="S25" s="27">
        <f t="shared" si="24"/>
        <v>-7600</v>
      </c>
      <c r="T25" s="28">
        <f>X25*F25*0.0045</f>
        <v>3708.1184101382487</v>
      </c>
      <c r="U25" s="3">
        <f>E25*5</f>
        <v>1000</v>
      </c>
      <c r="V25" s="19"/>
      <c r="W25" s="3">
        <v>0.3</v>
      </c>
      <c r="X25" s="3">
        <f>((O25*F25)+Q25+R25+S25+U25)/G25</f>
        <v>37.218894009216591</v>
      </c>
      <c r="Y25" s="3">
        <f t="shared" si="28"/>
        <v>37.732495300123169</v>
      </c>
      <c r="Z25" s="29">
        <f t="shared" si="29"/>
        <v>655036.11841013818</v>
      </c>
      <c r="AA25" s="30">
        <v>42999</v>
      </c>
    </row>
    <row r="26" spans="1:27" s="22" customFormat="1" x14ac:dyDescent="0.25">
      <c r="A26" s="137"/>
      <c r="B26" s="17" t="s">
        <v>41</v>
      </c>
      <c r="C26" s="19" t="s">
        <v>42</v>
      </c>
      <c r="D26" s="18" t="s">
        <v>198</v>
      </c>
      <c r="E26" s="19">
        <v>130</v>
      </c>
      <c r="F26" s="20">
        <v>14320</v>
      </c>
      <c r="G26" s="21">
        <v>11400</v>
      </c>
      <c r="H26" s="21">
        <f t="shared" si="19"/>
        <v>-2920</v>
      </c>
      <c r="I26" s="18" t="s">
        <v>717</v>
      </c>
      <c r="J26" s="19"/>
      <c r="K26" s="24"/>
      <c r="L26" s="24">
        <v>42986</v>
      </c>
      <c r="M26" s="18" t="s">
        <v>49</v>
      </c>
      <c r="N26" s="19"/>
      <c r="O26" s="3">
        <v>28</v>
      </c>
      <c r="P26" s="31"/>
      <c r="Q26" s="26">
        <v>15700</v>
      </c>
      <c r="R26" s="3">
        <f t="shared" si="23"/>
        <v>8450</v>
      </c>
      <c r="S26" s="27">
        <f t="shared" si="24"/>
        <v>-4940</v>
      </c>
      <c r="T26" s="28">
        <f>X26*F26*0.0045</f>
        <v>2378.7404210526315</v>
      </c>
      <c r="U26" s="3">
        <f>E26*5</f>
        <v>650</v>
      </c>
      <c r="V26" s="19"/>
      <c r="W26" s="3">
        <v>0.3</v>
      </c>
      <c r="X26" s="3">
        <f>((O26*F26)+Q26+R26+S26+U26)/G26</f>
        <v>36.914035087719299</v>
      </c>
      <c r="Y26" s="3">
        <f t="shared" si="28"/>
        <v>37.422696528162504</v>
      </c>
      <c r="Z26" s="29">
        <f t="shared" si="29"/>
        <v>426618.74042105256</v>
      </c>
      <c r="AA26" s="30">
        <v>42999</v>
      </c>
    </row>
    <row r="27" spans="1:27" s="22" customFormat="1" x14ac:dyDescent="0.25">
      <c r="A27" s="137"/>
      <c r="B27" s="17" t="s">
        <v>718</v>
      </c>
      <c r="C27" s="19" t="s">
        <v>719</v>
      </c>
      <c r="D27" s="18" t="s">
        <v>94</v>
      </c>
      <c r="E27" s="19" t="s">
        <v>494</v>
      </c>
      <c r="F27" s="20">
        <v>304.18</v>
      </c>
      <c r="G27" s="21">
        <v>304.18</v>
      </c>
      <c r="H27" s="21">
        <f t="shared" si="19"/>
        <v>0</v>
      </c>
      <c r="I27" s="18" t="s">
        <v>720</v>
      </c>
      <c r="J27" s="19"/>
      <c r="K27" s="24"/>
      <c r="L27" s="24">
        <v>42986</v>
      </c>
      <c r="M27" s="18" t="s">
        <v>49</v>
      </c>
      <c r="N27" s="19"/>
      <c r="O27" s="3">
        <v>50</v>
      </c>
      <c r="P27" s="31"/>
      <c r="Q27" s="3"/>
      <c r="R27" s="3"/>
      <c r="S27" s="27"/>
      <c r="T27" s="27"/>
      <c r="U27" s="3"/>
      <c r="V27" s="19"/>
      <c r="W27" s="3"/>
      <c r="X27" s="3">
        <f t="shared" ref="X27:X30" si="33">IF(O27&gt;0,O27,((P27*2.2046*S27)+(Q27+R27)/G27)+V27)</f>
        <v>50</v>
      </c>
      <c r="Y27" s="3">
        <f t="shared" ref="Y27:Y30" si="34">IF(O27&gt;0,O27,((P27*2.2046*S27)+(Q27+R27+T27)/G27)+V27+W27)</f>
        <v>50</v>
      </c>
      <c r="Z27" s="29">
        <f t="shared" ref="Z27:Z30" si="35">Y27*F27</f>
        <v>15209</v>
      </c>
      <c r="AA27" s="30">
        <v>42989</v>
      </c>
    </row>
    <row r="28" spans="1:27" s="22" customFormat="1" x14ac:dyDescent="0.25">
      <c r="A28" s="137"/>
      <c r="B28" s="17" t="s">
        <v>439</v>
      </c>
      <c r="C28" s="19" t="s">
        <v>440</v>
      </c>
      <c r="D28" s="18" t="s">
        <v>596</v>
      </c>
      <c r="E28" s="19" t="s">
        <v>235</v>
      </c>
      <c r="F28" s="20">
        <v>626.29</v>
      </c>
      <c r="G28" s="21">
        <v>626.29</v>
      </c>
      <c r="H28" s="21">
        <f t="shared" si="19"/>
        <v>0</v>
      </c>
      <c r="I28" s="18" t="s">
        <v>721</v>
      </c>
      <c r="J28" s="19"/>
      <c r="K28" s="24"/>
      <c r="L28" s="24">
        <v>42986</v>
      </c>
      <c r="M28" s="18" t="s">
        <v>49</v>
      </c>
      <c r="N28" s="19"/>
      <c r="O28" s="3">
        <v>32</v>
      </c>
      <c r="P28" s="31"/>
      <c r="Q28" s="3"/>
      <c r="R28" s="3"/>
      <c r="S28" s="27"/>
      <c r="T28" s="27"/>
      <c r="U28" s="3"/>
      <c r="V28" s="19"/>
      <c r="W28" s="3"/>
      <c r="X28" s="3">
        <f t="shared" si="33"/>
        <v>32</v>
      </c>
      <c r="Y28" s="3">
        <f t="shared" si="34"/>
        <v>32</v>
      </c>
      <c r="Z28" s="29">
        <f t="shared" si="35"/>
        <v>20041.28</v>
      </c>
      <c r="AA28" s="30">
        <v>42993</v>
      </c>
    </row>
    <row r="29" spans="1:27" s="22" customFormat="1" x14ac:dyDescent="0.25">
      <c r="A29" s="137"/>
      <c r="B29" s="17" t="s">
        <v>158</v>
      </c>
      <c r="C29" s="18" t="s">
        <v>722</v>
      </c>
      <c r="D29" s="18" t="s">
        <v>464</v>
      </c>
      <c r="E29" s="19" t="s">
        <v>160</v>
      </c>
      <c r="F29" s="20">
        <v>18506.554</v>
      </c>
      <c r="G29" s="21">
        <v>18509.599999999999</v>
      </c>
      <c r="H29" s="21">
        <f>G29-F29</f>
        <v>3.0459999999984575</v>
      </c>
      <c r="I29" s="73" t="s">
        <v>723</v>
      </c>
      <c r="J29" s="19"/>
      <c r="K29" s="24"/>
      <c r="L29" s="24">
        <v>42986</v>
      </c>
      <c r="M29" s="18" t="s">
        <v>49</v>
      </c>
      <c r="N29" s="18"/>
      <c r="O29" s="3">
        <v>39</v>
      </c>
      <c r="P29" s="25"/>
      <c r="Q29" s="3"/>
      <c r="R29" s="3"/>
      <c r="S29" s="51"/>
      <c r="T29" s="27"/>
      <c r="U29" s="73"/>
      <c r="V29" s="3"/>
      <c r="W29" s="3"/>
      <c r="X29" s="3">
        <f t="shared" si="33"/>
        <v>39</v>
      </c>
      <c r="Y29" s="3">
        <f t="shared" si="34"/>
        <v>39</v>
      </c>
      <c r="Z29" s="29">
        <f t="shared" si="35"/>
        <v>721755.60600000003</v>
      </c>
      <c r="AA29" s="30">
        <v>43007</v>
      </c>
    </row>
    <row r="30" spans="1:27" s="22" customFormat="1" x14ac:dyDescent="0.25">
      <c r="A30" s="137"/>
      <c r="B30" s="17" t="s">
        <v>26</v>
      </c>
      <c r="C30" s="18" t="s">
        <v>27</v>
      </c>
      <c r="D30" s="18" t="s">
        <v>27</v>
      </c>
      <c r="E30" s="19" t="s">
        <v>697</v>
      </c>
      <c r="F30" s="20">
        <f>40314*0.4536</f>
        <v>18286.430400000001</v>
      </c>
      <c r="G30" s="21">
        <v>18169.62</v>
      </c>
      <c r="H30" s="21">
        <f>G30-F30</f>
        <v>-116.81040000000212</v>
      </c>
      <c r="I30" s="22" t="s">
        <v>724</v>
      </c>
      <c r="J30" s="23" t="s">
        <v>30</v>
      </c>
      <c r="K30" s="24">
        <v>42986</v>
      </c>
      <c r="L30" s="24">
        <v>42987</v>
      </c>
      <c r="M30" s="18" t="s">
        <v>98</v>
      </c>
      <c r="N30" s="18" t="s">
        <v>725</v>
      </c>
      <c r="O30" s="3"/>
      <c r="P30" s="25">
        <f>0.719+0.095</f>
        <v>0.81399999999999995</v>
      </c>
      <c r="Q30" s="26">
        <v>23000</v>
      </c>
      <c r="R30" s="3">
        <v>9400</v>
      </c>
      <c r="S30" s="51">
        <v>17.766999999999999</v>
      </c>
      <c r="T30" s="28">
        <f>X30*F30*0.005</f>
        <v>3089.2059318304914</v>
      </c>
      <c r="V30" s="3">
        <v>0.12</v>
      </c>
      <c r="W30" s="3">
        <v>0.3</v>
      </c>
      <c r="X30" s="3">
        <f t="shared" si="33"/>
        <v>33.78686670122881</v>
      </c>
      <c r="Y30" s="3">
        <f t="shared" si="34"/>
        <v>34.256887094161108</v>
      </c>
      <c r="Z30" s="29">
        <f t="shared" si="35"/>
        <v>626436.18156803539</v>
      </c>
      <c r="AA30" s="30">
        <v>42999</v>
      </c>
    </row>
    <row r="31" spans="1:27" s="22" customFormat="1" ht="15.75" thickBot="1" x14ac:dyDescent="0.3">
      <c r="A31" s="138"/>
      <c r="B31" s="34"/>
      <c r="C31" s="6"/>
      <c r="D31" s="6"/>
      <c r="E31" s="6"/>
      <c r="F31" s="35"/>
      <c r="G31" s="35"/>
      <c r="H31" s="35"/>
      <c r="I31" s="9"/>
      <c r="J31" s="6"/>
      <c r="K31" s="10"/>
      <c r="L31" s="10"/>
      <c r="M31" s="6"/>
      <c r="N31" s="6"/>
      <c r="O31" s="11"/>
      <c r="P31" s="12"/>
      <c r="Q31" s="11"/>
      <c r="R31" s="11"/>
      <c r="S31" s="11"/>
      <c r="T31" s="11"/>
      <c r="U31" s="11"/>
      <c r="V31" s="11"/>
      <c r="W31" s="11"/>
      <c r="X31" s="11"/>
      <c r="Y31" s="11"/>
      <c r="Z31" s="15"/>
      <c r="AA31" s="36"/>
    </row>
    <row r="32" spans="1:27" s="22" customFormat="1" x14ac:dyDescent="0.25">
      <c r="A32" s="139"/>
      <c r="B32" s="38" t="s">
        <v>41</v>
      </c>
      <c r="C32" s="38" t="s">
        <v>42</v>
      </c>
      <c r="D32" s="39" t="s">
        <v>43</v>
      </c>
      <c r="E32" s="38">
        <v>200</v>
      </c>
      <c r="F32" s="40">
        <v>23545</v>
      </c>
      <c r="G32" s="41">
        <f>13100+5580</f>
        <v>18680</v>
      </c>
      <c r="H32" s="21">
        <f t="shared" ref="H32:H40" si="36">G32-F32</f>
        <v>-4865</v>
      </c>
      <c r="I32" s="39" t="s">
        <v>726</v>
      </c>
      <c r="J32" s="38"/>
      <c r="K32" s="42"/>
      <c r="L32" s="42">
        <v>42988</v>
      </c>
      <c r="M32" s="39" t="s">
        <v>57</v>
      </c>
      <c r="N32" s="38"/>
      <c r="O32" s="43">
        <v>27.5</v>
      </c>
      <c r="P32" s="44"/>
      <c r="Q32" s="45">
        <v>19800</v>
      </c>
      <c r="R32" s="43">
        <f t="shared" ref="R32:R33" si="37">65*E32</f>
        <v>13000</v>
      </c>
      <c r="S32" s="43">
        <f t="shared" ref="S32:S33" si="38">-38*E32</f>
        <v>-7600</v>
      </c>
      <c r="T32" s="72">
        <f>X32*F32*0.0045</f>
        <v>3821.1389102649891</v>
      </c>
      <c r="U32" s="43">
        <f>E32*5</f>
        <v>1000</v>
      </c>
      <c r="V32" s="38"/>
      <c r="W32" s="43">
        <v>0.3</v>
      </c>
      <c r="X32" s="43">
        <f>((O32*F32)+Q32+R32+S32+U32)/G32</f>
        <v>36.064641327623129</v>
      </c>
      <c r="Y32" s="47">
        <f t="shared" ref="Y32:Y33" si="39">((O32*F32)+Q32+R32+S32+T32+U32)/G32+W32</f>
        <v>36.569199085131956</v>
      </c>
      <c r="Z32" s="47">
        <f>Y32*G32</f>
        <v>683112.63891026494</v>
      </c>
      <c r="AA32" s="48">
        <v>43003</v>
      </c>
    </row>
    <row r="33" spans="1:27" s="22" customFormat="1" x14ac:dyDescent="0.25">
      <c r="A33" s="140"/>
      <c r="B33" s="17" t="s">
        <v>41</v>
      </c>
      <c r="C33" s="19" t="s">
        <v>42</v>
      </c>
      <c r="D33" s="18" t="s">
        <v>43</v>
      </c>
      <c r="E33" s="19">
        <v>210</v>
      </c>
      <c r="F33" s="20">
        <v>22930</v>
      </c>
      <c r="G33" s="21">
        <f>11290+6890</f>
        <v>18180</v>
      </c>
      <c r="H33" s="21">
        <f t="shared" si="36"/>
        <v>-4750</v>
      </c>
      <c r="I33" s="18" t="s">
        <v>727</v>
      </c>
      <c r="J33" s="19"/>
      <c r="K33" s="24"/>
      <c r="L33" s="24">
        <v>42989</v>
      </c>
      <c r="M33" s="18" t="s">
        <v>60</v>
      </c>
      <c r="N33" s="19"/>
      <c r="O33" s="3">
        <v>27.5</v>
      </c>
      <c r="P33" s="31"/>
      <c r="Q33" s="26">
        <v>19800</v>
      </c>
      <c r="R33" s="3">
        <f t="shared" si="37"/>
        <v>13650</v>
      </c>
      <c r="S33" s="27">
        <f t="shared" si="38"/>
        <v>-7980</v>
      </c>
      <c r="T33" s="28">
        <f>X33*F33*0.0045</f>
        <v>3729.5020668316824</v>
      </c>
      <c r="U33" s="3">
        <f>E33*5</f>
        <v>1050</v>
      </c>
      <c r="V33" s="19" t="s">
        <v>128</v>
      </c>
      <c r="W33" s="3">
        <v>0.3</v>
      </c>
      <c r="X33" s="3">
        <f>((O33*F33)+Q33+R33+S33+U33)/G33</f>
        <v>36.143839383938392</v>
      </c>
      <c r="Y33" s="3">
        <f t="shared" si="39"/>
        <v>36.648982511926931</v>
      </c>
      <c r="Z33" s="29">
        <f>Y33*G33</f>
        <v>666278.50206683157</v>
      </c>
      <c r="AA33" s="30">
        <v>43003</v>
      </c>
    </row>
    <row r="34" spans="1:27" s="22" customFormat="1" x14ac:dyDescent="0.25">
      <c r="A34" s="140"/>
      <c r="B34" s="17" t="s">
        <v>26</v>
      </c>
      <c r="C34" s="18" t="s">
        <v>27</v>
      </c>
      <c r="D34" s="18" t="s">
        <v>27</v>
      </c>
      <c r="E34" s="19" t="s">
        <v>28</v>
      </c>
      <c r="F34" s="20">
        <f>41766*0.4536</f>
        <v>18945.0576</v>
      </c>
      <c r="G34" s="21">
        <v>18870.11</v>
      </c>
      <c r="H34" s="21">
        <f t="shared" si="36"/>
        <v>-74.947599999999511</v>
      </c>
      <c r="I34" s="22" t="s">
        <v>728</v>
      </c>
      <c r="J34" s="23" t="s">
        <v>30</v>
      </c>
      <c r="K34" s="24">
        <v>42989</v>
      </c>
      <c r="L34" s="24">
        <v>42990</v>
      </c>
      <c r="M34" s="18" t="s">
        <v>62</v>
      </c>
      <c r="N34" s="18" t="s">
        <v>729</v>
      </c>
      <c r="O34" s="3"/>
      <c r="P34" s="25">
        <f>0.7142+0.095</f>
        <v>0.80919999999999992</v>
      </c>
      <c r="Q34" s="26">
        <v>23000</v>
      </c>
      <c r="R34" s="3">
        <v>9400</v>
      </c>
      <c r="S34" s="51">
        <v>17.709</v>
      </c>
      <c r="T34" s="28">
        <f>X34*F34*0.005</f>
        <v>3166.5896356402268</v>
      </c>
      <c r="V34" s="3">
        <v>0.12</v>
      </c>
      <c r="W34" s="3">
        <v>0.3</v>
      </c>
      <c r="X34" s="3">
        <f>IF(O34&gt;0,O34,((P34*2.2046*S34)+(Q34+R34)/G34)+V34)</f>
        <v>33.429189844640291</v>
      </c>
      <c r="Y34" s="3">
        <f t="shared" ref="Y34:Y36" si="40">IF(O34&gt;0,O34,((P34*2.2046*S34)+(Q34+R34+T34)/G34)+V34+W34)</f>
        <v>33.896999657918549</v>
      </c>
      <c r="Z34" s="29">
        <f>Y34*F34</f>
        <v>642180.61098644719</v>
      </c>
      <c r="AA34" s="30">
        <v>43000</v>
      </c>
    </row>
    <row r="35" spans="1:27" s="22" customFormat="1" x14ac:dyDescent="0.25">
      <c r="A35" s="140"/>
      <c r="B35" s="17" t="s">
        <v>26</v>
      </c>
      <c r="C35" s="18" t="s">
        <v>37</v>
      </c>
      <c r="D35" s="18" t="s">
        <v>37</v>
      </c>
      <c r="E35" s="19" t="s">
        <v>28</v>
      </c>
      <c r="F35" s="20">
        <f>41363*0.4536</f>
        <v>18762.256799999999</v>
      </c>
      <c r="G35" s="21">
        <v>18746.099999999999</v>
      </c>
      <c r="H35" s="21">
        <f t="shared" si="36"/>
        <v>-16.156800000000658</v>
      </c>
      <c r="I35" s="22" t="s">
        <v>730</v>
      </c>
      <c r="J35" s="23" t="s">
        <v>30</v>
      </c>
      <c r="K35" s="24">
        <v>42989</v>
      </c>
      <c r="L35" s="24">
        <v>42990</v>
      </c>
      <c r="M35" s="18" t="s">
        <v>62</v>
      </c>
      <c r="N35" s="18" t="s">
        <v>731</v>
      </c>
      <c r="O35" s="3"/>
      <c r="P35" s="25">
        <f>0.7229+0.095</f>
        <v>0.81789999999999996</v>
      </c>
      <c r="Q35" s="26">
        <v>23000</v>
      </c>
      <c r="R35" s="3">
        <v>9400</v>
      </c>
      <c r="S35" s="51">
        <v>17.917999999999999</v>
      </c>
      <c r="T35" s="28">
        <f>X35*F35*0.005</f>
        <v>3204.3180265283968</v>
      </c>
      <c r="V35" s="3">
        <v>0.12</v>
      </c>
      <c r="W35" s="3">
        <v>0.3</v>
      </c>
      <c r="X35" s="3">
        <f t="shared" ref="X35:X36" si="41">IF(O35&gt;0,O35,((P35*2.2046*S35)+(Q35+R35)/G35)+V35)</f>
        <v>34.15706394689574</v>
      </c>
      <c r="Y35" s="3">
        <f t="shared" si="40"/>
        <v>34.627996462273785</v>
      </c>
      <c r="Z35" s="29">
        <f t="shared" ref="Z35:Z36" si="42">Y35*F35</f>
        <v>649699.36209467228</v>
      </c>
      <c r="AA35" s="30">
        <v>42983</v>
      </c>
    </row>
    <row r="36" spans="1:27" s="22" customFormat="1" x14ac:dyDescent="0.25">
      <c r="A36" s="140"/>
      <c r="B36" s="17" t="s">
        <v>26</v>
      </c>
      <c r="C36" s="18" t="s">
        <v>33</v>
      </c>
      <c r="D36" s="18" t="s">
        <v>33</v>
      </c>
      <c r="E36" s="19" t="s">
        <v>34</v>
      </c>
      <c r="F36" s="20">
        <f>42552*0.4536</f>
        <v>19301.587200000002</v>
      </c>
      <c r="G36" s="21">
        <v>19281.84</v>
      </c>
      <c r="H36" s="21">
        <f t="shared" si="36"/>
        <v>-19.747200000001612</v>
      </c>
      <c r="I36" s="22" t="s">
        <v>732</v>
      </c>
      <c r="J36" s="23" t="s">
        <v>30</v>
      </c>
      <c r="K36" s="24">
        <v>42989</v>
      </c>
      <c r="L36" s="24">
        <v>42991</v>
      </c>
      <c r="M36" s="18" t="s">
        <v>31</v>
      </c>
      <c r="N36" s="18" t="s">
        <v>733</v>
      </c>
      <c r="O36" s="3"/>
      <c r="P36" s="25">
        <f>0.7142+0.105</f>
        <v>0.81919999999999993</v>
      </c>
      <c r="Q36" s="26">
        <v>23000</v>
      </c>
      <c r="R36" s="3">
        <v>9400</v>
      </c>
      <c r="S36" s="51">
        <v>17.896999999999998</v>
      </c>
      <c r="T36" s="28">
        <f>X36*F36*0.005</f>
        <v>3293.089002703643</v>
      </c>
      <c r="V36" s="3">
        <v>0.12</v>
      </c>
      <c r="W36" s="3">
        <v>0.3</v>
      </c>
      <c r="X36" s="3">
        <f t="shared" si="41"/>
        <v>34.122468464185609</v>
      </c>
      <c r="Y36" s="3">
        <f t="shared" si="40"/>
        <v>34.593255536513958</v>
      </c>
      <c r="Z36" s="29">
        <f t="shared" si="42"/>
        <v>667704.73826990696</v>
      </c>
      <c r="AA36" s="30">
        <v>42983</v>
      </c>
    </row>
    <row r="37" spans="1:27" s="22" customFormat="1" x14ac:dyDescent="0.25">
      <c r="A37" s="140"/>
      <c r="B37" s="17" t="s">
        <v>41</v>
      </c>
      <c r="C37" s="19" t="s">
        <v>42</v>
      </c>
      <c r="D37" s="18" t="s">
        <v>43</v>
      </c>
      <c r="E37" s="19">
        <v>200</v>
      </c>
      <c r="F37" s="20">
        <v>22300</v>
      </c>
      <c r="G37" s="21">
        <f>11520+6200</f>
        <v>17720</v>
      </c>
      <c r="H37" s="21">
        <f t="shared" si="36"/>
        <v>-4580</v>
      </c>
      <c r="I37" s="22" t="s">
        <v>734</v>
      </c>
      <c r="J37" s="19"/>
      <c r="K37" s="24"/>
      <c r="L37" s="24">
        <v>42990</v>
      </c>
      <c r="M37" s="18" t="s">
        <v>62</v>
      </c>
      <c r="N37" s="19"/>
      <c r="O37" s="3">
        <v>27</v>
      </c>
      <c r="P37" s="31"/>
      <c r="Q37" s="33">
        <v>19800</v>
      </c>
      <c r="R37" s="3">
        <f>65*E37</f>
        <v>13000</v>
      </c>
      <c r="S37" s="27">
        <f>-38*E37</f>
        <v>-7600</v>
      </c>
      <c r="T37" s="28">
        <f t="shared" ref="T37" si="43">X37*F37*0.005</f>
        <v>3953.4678329571111</v>
      </c>
      <c r="U37" s="3">
        <f>E37*5</f>
        <v>1000</v>
      </c>
      <c r="V37" s="19"/>
      <c r="W37" s="3">
        <v>0.3</v>
      </c>
      <c r="X37" s="3">
        <f>((O37*F37)+Q37+R37+S37+U37)/G37</f>
        <v>35.457110609480814</v>
      </c>
      <c r="Y37" s="3">
        <f>((O37*F37)+Q37+R37+S37+T37+U37)/G37+W37</f>
        <v>35.980218274997583</v>
      </c>
      <c r="Z37" s="29">
        <f>Y37*G37</f>
        <v>637569.46783295716</v>
      </c>
      <c r="AA37" s="30">
        <v>43003</v>
      </c>
    </row>
    <row r="38" spans="1:27" s="22" customFormat="1" x14ac:dyDescent="0.25">
      <c r="A38" s="140"/>
      <c r="B38" s="17" t="s">
        <v>26</v>
      </c>
      <c r="C38" s="18" t="s">
        <v>37</v>
      </c>
      <c r="D38" s="18" t="s">
        <v>37</v>
      </c>
      <c r="E38" s="19" t="s">
        <v>28</v>
      </c>
      <c r="F38" s="20">
        <f>41380*0.4536</f>
        <v>18769.968000000001</v>
      </c>
      <c r="G38" s="21">
        <v>18742.8</v>
      </c>
      <c r="H38" s="21">
        <f t="shared" si="36"/>
        <v>-27.168000000001484</v>
      </c>
      <c r="I38" s="22" t="s">
        <v>735</v>
      </c>
      <c r="J38" s="23" t="s">
        <v>39</v>
      </c>
      <c r="K38" s="24">
        <v>42991</v>
      </c>
      <c r="L38" s="24">
        <v>42992</v>
      </c>
      <c r="M38" s="18" t="s">
        <v>47</v>
      </c>
      <c r="N38" s="18" t="s">
        <v>729</v>
      </c>
      <c r="O38" s="3"/>
      <c r="P38" s="25">
        <f>0.7142+0.095</f>
        <v>0.80919999999999992</v>
      </c>
      <c r="Q38" s="26">
        <v>23000</v>
      </c>
      <c r="R38" s="3">
        <v>9400</v>
      </c>
      <c r="S38" s="51">
        <v>17.850999999999999</v>
      </c>
      <c r="T38" s="28">
        <f>X38*F38*0.005</f>
        <v>3162.1929496896414</v>
      </c>
      <c r="V38" s="3">
        <v>0.12</v>
      </c>
      <c r="W38" s="3">
        <v>0.3</v>
      </c>
      <c r="X38" s="3">
        <f t="shared" ref="X38:X39" si="44">IF(O38&gt;0,O38,((P38*2.2046*S38)+(Q38+R38)/G38)+V38)</f>
        <v>33.694175181221844</v>
      </c>
      <c r="Y38" s="3">
        <f t="shared" ref="Y38:Y39" si="45">IF(O38&gt;0,O38,((P38*2.2046*S38)+(Q38+R38+T38)/G38)+V38+W38)</f>
        <v>34.162890258461616</v>
      </c>
      <c r="Z38" s="29">
        <f t="shared" ref="Z38:Z39" si="46">Y38*F38</f>
        <v>641236.35693883628</v>
      </c>
      <c r="AA38" s="30">
        <v>42984</v>
      </c>
    </row>
    <row r="39" spans="1:27" s="22" customFormat="1" x14ac:dyDescent="0.25">
      <c r="A39" s="140"/>
      <c r="B39" s="17" t="s">
        <v>76</v>
      </c>
      <c r="C39" s="18" t="s">
        <v>33</v>
      </c>
      <c r="D39" s="18" t="s">
        <v>33</v>
      </c>
      <c r="E39" s="19" t="s">
        <v>218</v>
      </c>
      <c r="F39" s="20">
        <f>905.4+924.4+936.7</f>
        <v>2766.5</v>
      </c>
      <c r="G39" s="21">
        <v>2766.5</v>
      </c>
      <c r="H39" s="21">
        <f t="shared" si="36"/>
        <v>0</v>
      </c>
      <c r="I39" s="22" t="s">
        <v>736</v>
      </c>
      <c r="J39" s="19"/>
      <c r="K39" s="24"/>
      <c r="L39" s="24">
        <v>42991</v>
      </c>
      <c r="M39" s="18" t="s">
        <v>31</v>
      </c>
      <c r="N39" s="18"/>
      <c r="O39" s="3">
        <v>19.5</v>
      </c>
      <c r="P39" s="25"/>
      <c r="Q39" s="3"/>
      <c r="R39" s="3"/>
      <c r="S39" s="51"/>
      <c r="T39" s="27"/>
      <c r="V39" s="3"/>
      <c r="W39" s="3"/>
      <c r="X39" s="3">
        <f t="shared" si="44"/>
        <v>19.5</v>
      </c>
      <c r="Y39" s="3">
        <f t="shared" si="45"/>
        <v>19.5</v>
      </c>
      <c r="Z39" s="29">
        <f t="shared" si="46"/>
        <v>53946.75</v>
      </c>
      <c r="AA39" s="30">
        <v>42998</v>
      </c>
    </row>
    <row r="40" spans="1:27" s="22" customFormat="1" x14ac:dyDescent="0.25">
      <c r="A40" s="140"/>
      <c r="B40" s="17" t="s">
        <v>41</v>
      </c>
      <c r="C40" s="19" t="s">
        <v>42</v>
      </c>
      <c r="D40" s="18" t="s">
        <v>43</v>
      </c>
      <c r="E40" s="19">
        <v>258</v>
      </c>
      <c r="F40" s="20">
        <v>30715</v>
      </c>
      <c r="G40" s="21">
        <f>12020+12500</f>
        <v>24520</v>
      </c>
      <c r="H40" s="21">
        <f t="shared" si="36"/>
        <v>-6195</v>
      </c>
      <c r="I40" s="22" t="s">
        <v>737</v>
      </c>
      <c r="J40" s="19"/>
      <c r="K40" s="24"/>
      <c r="L40" s="24">
        <v>42991</v>
      </c>
      <c r="M40" s="18" t="s">
        <v>31</v>
      </c>
      <c r="N40" s="19"/>
      <c r="O40" s="3">
        <v>27.5</v>
      </c>
      <c r="P40" s="31"/>
      <c r="Q40" s="26">
        <v>19800</v>
      </c>
      <c r="R40" s="3">
        <f>65*E40</f>
        <v>16770</v>
      </c>
      <c r="S40" s="27">
        <f>-38*E40</f>
        <v>-9804</v>
      </c>
      <c r="T40" s="28">
        <f>X40*F40*0.0045</f>
        <v>4919.4522542312397</v>
      </c>
      <c r="U40" s="3">
        <f>E40*5</f>
        <v>1290</v>
      </c>
      <c r="V40" s="19"/>
      <c r="W40" s="3">
        <v>0.3</v>
      </c>
      <c r="X40" s="3">
        <f>((O40*F40)+Q40+R40+S40+U40)/G40</f>
        <v>35.592108482871126</v>
      </c>
      <c r="Y40" s="3">
        <f t="shared" ref="Y40" si="47">((O40*F40)+Q40+R40+S40+T40+U40)/G40+W40</f>
        <v>36.092738672684796</v>
      </c>
      <c r="Z40" s="29">
        <f>Y40*G40</f>
        <v>884993.9522542312</v>
      </c>
      <c r="AA40" s="30">
        <v>43004</v>
      </c>
    </row>
    <row r="41" spans="1:27" s="22" customFormat="1" x14ac:dyDescent="0.25">
      <c r="A41" s="140"/>
      <c r="B41" s="17" t="s">
        <v>26</v>
      </c>
      <c r="C41" s="18" t="s">
        <v>33</v>
      </c>
      <c r="D41" s="18" t="s">
        <v>33</v>
      </c>
      <c r="E41" s="19" t="s">
        <v>34</v>
      </c>
      <c r="F41" s="20">
        <f>42782*0.4536</f>
        <v>19405.915199999999</v>
      </c>
      <c r="G41" s="21">
        <v>19380.57</v>
      </c>
      <c r="H41" s="21">
        <f>G41-F41</f>
        <v>-25.34519999999975</v>
      </c>
      <c r="I41" s="22" t="s">
        <v>738</v>
      </c>
      <c r="J41" s="23" t="s">
        <v>30</v>
      </c>
      <c r="K41" s="24">
        <v>42991</v>
      </c>
      <c r="L41" s="24">
        <v>42992</v>
      </c>
      <c r="M41" s="18" t="s">
        <v>47</v>
      </c>
      <c r="N41" s="18" t="s">
        <v>739</v>
      </c>
      <c r="O41" s="3"/>
      <c r="P41" s="25">
        <f>0.7204+0.105</f>
        <v>0.82540000000000002</v>
      </c>
      <c r="Q41" s="26">
        <v>23000</v>
      </c>
      <c r="R41" s="3">
        <v>9400</v>
      </c>
      <c r="S41" s="51">
        <v>17.757999999999999</v>
      </c>
      <c r="T41" s="28">
        <f>X41*F41*0.005</f>
        <v>3309.2517888671609</v>
      </c>
      <c r="V41" s="3">
        <v>0.12</v>
      </c>
      <c r="W41" s="3">
        <v>0.3</v>
      </c>
      <c r="X41" s="3">
        <f t="shared" ref="X41" si="48">IF(O41&gt;0,O41,((P41*2.2046*S41)+(Q41+R41)/G41)+V41)</f>
        <v>34.105598780181836</v>
      </c>
      <c r="Y41" s="3">
        <v>34.619999999999997</v>
      </c>
      <c r="Z41" s="29">
        <f t="shared" ref="Z41" si="49">Y41*F41</f>
        <v>671832.78422399994</v>
      </c>
      <c r="AA41" s="30">
        <v>42985</v>
      </c>
    </row>
    <row r="42" spans="1:27" s="22" customFormat="1" x14ac:dyDescent="0.25">
      <c r="A42" s="140"/>
      <c r="B42" s="17" t="s">
        <v>41</v>
      </c>
      <c r="C42" s="19" t="s">
        <v>42</v>
      </c>
      <c r="D42" s="18" t="s">
        <v>43</v>
      </c>
      <c r="E42" s="19">
        <v>240</v>
      </c>
      <c r="F42" s="20">
        <v>28820</v>
      </c>
      <c r="G42" s="21">
        <f>23230</f>
        <v>23230</v>
      </c>
      <c r="H42" s="21">
        <f t="shared" ref="H42:H48" si="50">G42-F42</f>
        <v>-5590</v>
      </c>
      <c r="I42" s="22" t="s">
        <v>740</v>
      </c>
      <c r="J42" s="19"/>
      <c r="K42" s="24"/>
      <c r="L42" s="24">
        <v>42992</v>
      </c>
      <c r="M42" s="18" t="s">
        <v>47</v>
      </c>
      <c r="N42" s="19"/>
      <c r="O42" s="3">
        <v>27.5</v>
      </c>
      <c r="P42" s="31"/>
      <c r="Q42" s="33">
        <v>19800</v>
      </c>
      <c r="R42" s="3">
        <f t="shared" ref="R42:R48" si="51">65*E42</f>
        <v>15600</v>
      </c>
      <c r="S42" s="27">
        <f t="shared" ref="S42:S48" si="52">-38*E42</f>
        <v>-9120</v>
      </c>
      <c r="T42" s="28">
        <f t="shared" ref="T42:T43" si="53">X42*F42*0.0045</f>
        <v>4578.118411536806</v>
      </c>
      <c r="U42" s="3">
        <f t="shared" ref="U42:U43" si="54">E42*5</f>
        <v>1200</v>
      </c>
      <c r="V42" s="19"/>
      <c r="W42" s="3">
        <v>0.3</v>
      </c>
      <c r="X42" s="3">
        <f t="shared" ref="X42:X43" si="55">((O42*F42)+Q42+R42+S42+U42)/G42</f>
        <v>35.300473525613434</v>
      </c>
      <c r="Y42" s="3">
        <f t="shared" ref="Y42:Y48" si="56">((O42*F42)+Q42+R42+S42+T42+U42)/G42+W42</f>
        <v>35.797551373720907</v>
      </c>
      <c r="Z42" s="29">
        <f t="shared" ref="Z42:Z48" si="57">Y42*G42</f>
        <v>831577.11841153668</v>
      </c>
      <c r="AA42" s="30">
        <v>43005</v>
      </c>
    </row>
    <row r="43" spans="1:27" s="22" customFormat="1" x14ac:dyDescent="0.25">
      <c r="A43" s="140"/>
      <c r="B43" s="17" t="s">
        <v>41</v>
      </c>
      <c r="C43" s="19" t="s">
        <v>42</v>
      </c>
      <c r="D43" s="18" t="s">
        <v>53</v>
      </c>
      <c r="E43" s="19">
        <v>129</v>
      </c>
      <c r="F43" s="20">
        <v>16295</v>
      </c>
      <c r="G43" s="21">
        <f>12440</f>
        <v>12440</v>
      </c>
      <c r="H43" s="21">
        <f t="shared" si="50"/>
        <v>-3855</v>
      </c>
      <c r="I43" s="22" t="s">
        <v>741</v>
      </c>
      <c r="J43" s="19"/>
      <c r="K43" s="24"/>
      <c r="L43" s="24">
        <v>42992</v>
      </c>
      <c r="M43" s="18" t="s">
        <v>47</v>
      </c>
      <c r="N43" s="19"/>
      <c r="O43" s="3">
        <v>27.5</v>
      </c>
      <c r="P43" s="31"/>
      <c r="Q43" s="26">
        <v>15700</v>
      </c>
      <c r="R43" s="3">
        <f t="shared" si="51"/>
        <v>8385</v>
      </c>
      <c r="S43" s="27">
        <f t="shared" si="52"/>
        <v>-4902</v>
      </c>
      <c r="T43" s="28">
        <f t="shared" si="53"/>
        <v>2758.2722679863346</v>
      </c>
      <c r="U43" s="3">
        <f t="shared" si="54"/>
        <v>645</v>
      </c>
      <c r="V43" s="19"/>
      <c r="W43" s="3">
        <v>0.3</v>
      </c>
      <c r="X43" s="3">
        <f t="shared" si="55"/>
        <v>37.615795819935691</v>
      </c>
      <c r="Y43" s="3">
        <f t="shared" si="56"/>
        <v>38.137521886494078</v>
      </c>
      <c r="Z43" s="29">
        <f t="shared" si="57"/>
        <v>474430.77226798632</v>
      </c>
      <c r="AA43" s="30">
        <v>43005</v>
      </c>
    </row>
    <row r="44" spans="1:27" s="22" customFormat="1" x14ac:dyDescent="0.25">
      <c r="A44" s="140"/>
      <c r="B44" s="17" t="s">
        <v>742</v>
      </c>
      <c r="C44" s="19" t="s">
        <v>440</v>
      </c>
      <c r="D44" s="18" t="s">
        <v>596</v>
      </c>
      <c r="E44" s="19" t="s">
        <v>743</v>
      </c>
      <c r="F44" s="20">
        <v>386.29</v>
      </c>
      <c r="G44" s="21">
        <v>386.29</v>
      </c>
      <c r="H44" s="21">
        <f t="shared" si="50"/>
        <v>0</v>
      </c>
      <c r="I44" s="22" t="s">
        <v>744</v>
      </c>
      <c r="J44" s="19"/>
      <c r="K44" s="24"/>
      <c r="L44" s="24">
        <v>42992</v>
      </c>
      <c r="M44" s="18" t="s">
        <v>47</v>
      </c>
      <c r="N44" s="19"/>
      <c r="O44" s="3">
        <v>21</v>
      </c>
      <c r="P44" s="31"/>
      <c r="Q44" s="3"/>
      <c r="R44" s="3"/>
      <c r="S44" s="27"/>
      <c r="T44" s="27"/>
      <c r="U44" s="3"/>
      <c r="V44" s="19"/>
      <c r="W44" s="3"/>
      <c r="X44" s="3">
        <f t="shared" ref="X44:X46" si="58">IF(O44&gt;0,O44,((P44*2.2046*S44)+(Q44+R44)/G44)+V44)</f>
        <v>21</v>
      </c>
      <c r="Y44" s="3">
        <f t="shared" ref="Y44:Y46" si="59">IF(O44&gt;0,O44,((P44*2.2046*S44)+(Q44+R44+T44)/G44)+V44+W44)</f>
        <v>21</v>
      </c>
      <c r="Z44" s="29">
        <f t="shared" ref="Z44:Z46" si="60">Y44*F44</f>
        <v>8112.09</v>
      </c>
      <c r="AA44" s="30">
        <v>42999</v>
      </c>
    </row>
    <row r="45" spans="1:27" s="22" customFormat="1" x14ac:dyDescent="0.25">
      <c r="A45" s="140"/>
      <c r="B45" s="17" t="s">
        <v>26</v>
      </c>
      <c r="C45" s="18" t="s">
        <v>27</v>
      </c>
      <c r="D45" s="18" t="s">
        <v>27</v>
      </c>
      <c r="E45" s="19" t="s">
        <v>28</v>
      </c>
      <c r="F45" s="20">
        <f>40000*0.4536</f>
        <v>18144</v>
      </c>
      <c r="G45" s="21">
        <v>18082.03</v>
      </c>
      <c r="H45" s="21">
        <f>G45-F45</f>
        <v>-61.970000000001164</v>
      </c>
      <c r="I45" s="22" t="s">
        <v>745</v>
      </c>
      <c r="J45" s="23" t="s">
        <v>30</v>
      </c>
      <c r="K45" s="24">
        <v>42992</v>
      </c>
      <c r="L45" s="24">
        <v>42993</v>
      </c>
      <c r="M45" s="18" t="s">
        <v>49</v>
      </c>
      <c r="N45" s="18" t="s">
        <v>746</v>
      </c>
      <c r="O45" s="3"/>
      <c r="P45" s="25">
        <f>0.7204+0.095</f>
        <v>0.81540000000000001</v>
      </c>
      <c r="Q45" s="26">
        <v>23000</v>
      </c>
      <c r="R45" s="3">
        <v>9400</v>
      </c>
      <c r="S45" s="51">
        <v>18.193000000000001</v>
      </c>
      <c r="T45" s="28">
        <f>X45*F45*0.005</f>
        <v>3140.3755027897187</v>
      </c>
      <c r="V45" s="3">
        <v>0.12</v>
      </c>
      <c r="W45" s="3">
        <v>0.3</v>
      </c>
      <c r="X45" s="3">
        <f t="shared" si="58"/>
        <v>34.616132085424589</v>
      </c>
      <c r="Y45" s="3">
        <f t="shared" si="59"/>
        <v>35.089805920872806</v>
      </c>
      <c r="Z45" s="29">
        <f t="shared" si="60"/>
        <v>636669.43862831616</v>
      </c>
      <c r="AA45" s="30">
        <v>43005</v>
      </c>
    </row>
    <row r="46" spans="1:27" s="22" customFormat="1" x14ac:dyDescent="0.25">
      <c r="A46" s="140"/>
      <c r="B46" s="17" t="s">
        <v>26</v>
      </c>
      <c r="C46" s="18" t="s">
        <v>33</v>
      </c>
      <c r="D46" s="18" t="s">
        <v>33</v>
      </c>
      <c r="E46" s="19" t="s">
        <v>28</v>
      </c>
      <c r="F46" s="20">
        <f>40117*0.4536</f>
        <v>18197.071199999998</v>
      </c>
      <c r="G46" s="21">
        <v>18200.919999999998</v>
      </c>
      <c r="H46" s="21">
        <f t="shared" ref="H46" si="61">G46-F46</f>
        <v>3.8487999999997555</v>
      </c>
      <c r="I46" s="22" t="s">
        <v>747</v>
      </c>
      <c r="J46" s="23" t="s">
        <v>30</v>
      </c>
      <c r="K46" s="24">
        <v>42992</v>
      </c>
      <c r="L46" s="24">
        <v>42993</v>
      </c>
      <c r="M46" s="18" t="s">
        <v>49</v>
      </c>
      <c r="N46" s="18" t="s">
        <v>748</v>
      </c>
      <c r="O46" s="3"/>
      <c r="P46" s="25">
        <f>0.715+0.105</f>
        <v>0.82</v>
      </c>
      <c r="Q46" s="26">
        <v>23000</v>
      </c>
      <c r="R46" s="3">
        <v>9400</v>
      </c>
      <c r="S46" s="51">
        <v>17.757999999999999</v>
      </c>
      <c r="T46" s="28">
        <f t="shared" ref="T46" si="62">X46*F46*0.005</f>
        <v>3093.7336591503745</v>
      </c>
      <c r="V46" s="3">
        <v>0.12</v>
      </c>
      <c r="W46" s="3">
        <v>0.3</v>
      </c>
      <c r="X46" s="3">
        <f t="shared" si="58"/>
        <v>34.002544971636695</v>
      </c>
      <c r="Y46" s="3">
        <f t="shared" si="59"/>
        <v>34.472521745291559</v>
      </c>
      <c r="Z46" s="29">
        <f t="shared" si="60"/>
        <v>627298.93264261866</v>
      </c>
      <c r="AA46" s="30">
        <v>42986</v>
      </c>
    </row>
    <row r="47" spans="1:27" s="22" customFormat="1" x14ac:dyDescent="0.25">
      <c r="A47" s="140"/>
      <c r="B47" s="17" t="s">
        <v>41</v>
      </c>
      <c r="C47" s="19" t="s">
        <v>42</v>
      </c>
      <c r="D47" s="18" t="s">
        <v>51</v>
      </c>
      <c r="E47" s="19">
        <f>228</f>
        <v>228</v>
      </c>
      <c r="F47" s="20">
        <f>24320</f>
        <v>24320</v>
      </c>
      <c r="G47" s="21">
        <f>16470</f>
        <v>16470</v>
      </c>
      <c r="H47" s="21">
        <f t="shared" si="50"/>
        <v>-7850</v>
      </c>
      <c r="I47" s="22" t="s">
        <v>749</v>
      </c>
      <c r="J47" s="127">
        <v>200</v>
      </c>
      <c r="K47" s="24"/>
      <c r="L47" s="24">
        <v>42993</v>
      </c>
      <c r="M47" s="18" t="s">
        <v>49</v>
      </c>
      <c r="N47" s="19"/>
      <c r="O47" s="3">
        <v>27.5</v>
      </c>
      <c r="P47" s="31"/>
      <c r="Q47" s="26">
        <f>19800</f>
        <v>19800</v>
      </c>
      <c r="R47" s="3">
        <f t="shared" si="51"/>
        <v>14820</v>
      </c>
      <c r="S47" s="27">
        <f t="shared" si="52"/>
        <v>-8664</v>
      </c>
      <c r="T47" s="28">
        <f>X47*F47*0.0045</f>
        <v>4624.0958251366119</v>
      </c>
      <c r="U47" s="3">
        <f>E47*5</f>
        <v>1140</v>
      </c>
      <c r="V47" s="19"/>
      <c r="W47" s="3">
        <v>0.3</v>
      </c>
      <c r="X47" s="3">
        <f>((O47*F47)+Q47+R47+S47+U47)/G47</f>
        <v>42.252337583485122</v>
      </c>
      <c r="Y47" s="3">
        <f t="shared" si="56"/>
        <v>42.833096285679211</v>
      </c>
      <c r="Z47" s="29">
        <f t="shared" si="57"/>
        <v>705461.09582513664</v>
      </c>
      <c r="AA47" s="30">
        <v>43006</v>
      </c>
    </row>
    <row r="48" spans="1:27" s="22" customFormat="1" x14ac:dyDescent="0.25">
      <c r="A48" s="140"/>
      <c r="B48" s="17" t="s">
        <v>41</v>
      </c>
      <c r="C48" s="19" t="s">
        <v>42</v>
      </c>
      <c r="D48" s="18" t="s">
        <v>198</v>
      </c>
      <c r="E48" s="19">
        <v>100</v>
      </c>
      <c r="F48" s="20">
        <v>10380</v>
      </c>
      <c r="G48" s="21">
        <v>10600</v>
      </c>
      <c r="H48" s="21">
        <f t="shared" si="50"/>
        <v>220</v>
      </c>
      <c r="I48" s="18" t="s">
        <v>750</v>
      </c>
      <c r="J48" s="127">
        <v>128</v>
      </c>
      <c r="K48" s="24"/>
      <c r="L48" s="24">
        <v>42993</v>
      </c>
      <c r="M48" s="18" t="s">
        <v>49</v>
      </c>
      <c r="N48" s="19"/>
      <c r="O48" s="3">
        <v>27.5</v>
      </c>
      <c r="P48" s="31"/>
      <c r="Q48" s="26">
        <v>15700</v>
      </c>
      <c r="R48" s="3">
        <f t="shared" si="51"/>
        <v>6500</v>
      </c>
      <c r="S48" s="27">
        <f t="shared" si="52"/>
        <v>-3800</v>
      </c>
      <c r="T48" s="28">
        <f>X48*F48*0.0045</f>
        <v>1341.149858490566</v>
      </c>
      <c r="U48" s="3">
        <f>E48*5</f>
        <v>500</v>
      </c>
      <c r="V48" s="19"/>
      <c r="W48" s="3">
        <v>0.3</v>
      </c>
      <c r="X48" s="3">
        <f>((O48*F48)+Q48+R48+S48+U48)/G48</f>
        <v>28.712264150943398</v>
      </c>
      <c r="Y48" s="3">
        <f t="shared" si="56"/>
        <v>29.13878772249911</v>
      </c>
      <c r="Z48" s="29">
        <f t="shared" si="57"/>
        <v>308871.14985849056</v>
      </c>
      <c r="AA48" s="30">
        <v>43006</v>
      </c>
    </row>
    <row r="49" spans="1:27" s="22" customFormat="1" ht="15.75" thickBot="1" x14ac:dyDescent="0.3">
      <c r="A49" s="141"/>
      <c r="B49" s="34"/>
      <c r="C49" s="6"/>
      <c r="D49" s="6"/>
      <c r="E49" s="6"/>
      <c r="F49" s="35"/>
      <c r="G49" s="35"/>
      <c r="H49" s="35"/>
      <c r="I49" s="9"/>
      <c r="J49" s="6"/>
      <c r="K49" s="10"/>
      <c r="L49" s="10"/>
      <c r="M49" s="6"/>
      <c r="N49" s="6"/>
      <c r="O49" s="11"/>
      <c r="P49" s="12"/>
      <c r="Q49" s="11"/>
      <c r="R49" s="11"/>
      <c r="S49" s="11"/>
      <c r="T49" s="11"/>
      <c r="U49" s="11"/>
      <c r="V49" s="11"/>
      <c r="W49" s="11"/>
      <c r="X49" s="11"/>
      <c r="Y49" s="11"/>
      <c r="Z49" s="15"/>
      <c r="AA49" s="36"/>
    </row>
    <row r="50" spans="1:27" s="22" customFormat="1" x14ac:dyDescent="0.25">
      <c r="A50" s="142"/>
      <c r="B50" s="38" t="s">
        <v>41</v>
      </c>
      <c r="C50" s="38" t="s">
        <v>42</v>
      </c>
      <c r="D50" s="39" t="s">
        <v>43</v>
      </c>
      <c r="E50" s="38">
        <v>258</v>
      </c>
      <c r="F50" s="40">
        <v>28580</v>
      </c>
      <c r="G50" s="41">
        <f>11080+11410</f>
        <v>22490</v>
      </c>
      <c r="H50" s="21">
        <f t="shared" ref="H50:H51" si="63">G50-F50</f>
        <v>-6090</v>
      </c>
      <c r="I50" s="39" t="s">
        <v>751</v>
      </c>
      <c r="J50" s="38"/>
      <c r="K50" s="42"/>
      <c r="L50" s="42">
        <v>42995</v>
      </c>
      <c r="M50" s="39" t="s">
        <v>57</v>
      </c>
      <c r="N50" s="38"/>
      <c r="O50" s="43">
        <v>27</v>
      </c>
      <c r="P50" s="44"/>
      <c r="Q50" s="45">
        <v>19800</v>
      </c>
      <c r="R50" s="43">
        <f t="shared" ref="R50:R51" si="64">65*E50</f>
        <v>16770</v>
      </c>
      <c r="S50" s="43">
        <f t="shared" ref="S50:S51" si="65">-38*E50</f>
        <v>-9804</v>
      </c>
      <c r="T50" s="46">
        <f>X50*F50*0.0045</f>
        <v>4573.2091934192977</v>
      </c>
      <c r="U50" s="43">
        <f>E50*5</f>
        <v>1290</v>
      </c>
      <c r="V50" s="38"/>
      <c r="W50" s="43">
        <v>0.3</v>
      </c>
      <c r="X50" s="43">
        <f>((O50*F50)+Q50+R50+S50+U50)/G50</f>
        <v>35.558737216540685</v>
      </c>
      <c r="Y50" s="47">
        <f t="shared" ref="Y50:Y51" si="66">((O50*F50)+Q50+R50+S50+T50+U50)/G50+W50</f>
        <v>36.062081333633579</v>
      </c>
      <c r="Z50" s="47">
        <f>Y50*G50</f>
        <v>811036.2091934192</v>
      </c>
      <c r="AA50" s="48">
        <v>43010</v>
      </c>
    </row>
    <row r="51" spans="1:27" s="22" customFormat="1" x14ac:dyDescent="0.25">
      <c r="A51" s="143"/>
      <c r="B51" s="17" t="s">
        <v>41</v>
      </c>
      <c r="C51" s="19" t="s">
        <v>42</v>
      </c>
      <c r="D51" s="18" t="s">
        <v>53</v>
      </c>
      <c r="E51" s="19">
        <v>200</v>
      </c>
      <c r="F51" s="20">
        <v>23140</v>
      </c>
      <c r="G51" s="21">
        <f>11730+6410</f>
        <v>18140</v>
      </c>
      <c r="H51" s="21">
        <f t="shared" si="63"/>
        <v>-5000</v>
      </c>
      <c r="I51" s="18" t="s">
        <v>752</v>
      </c>
      <c r="J51" s="19"/>
      <c r="K51" s="24"/>
      <c r="L51" s="24">
        <v>42996</v>
      </c>
      <c r="M51" s="18" t="s">
        <v>60</v>
      </c>
      <c r="N51" s="19"/>
      <c r="O51" s="3">
        <v>27</v>
      </c>
      <c r="P51" s="31"/>
      <c r="Q51" s="26">
        <v>19800</v>
      </c>
      <c r="R51" s="3">
        <f t="shared" si="64"/>
        <v>13000</v>
      </c>
      <c r="S51" s="27">
        <f t="shared" si="65"/>
        <v>-7600</v>
      </c>
      <c r="T51" s="27">
        <f>X51*F51*0.0045</f>
        <v>3736.8548732083786</v>
      </c>
      <c r="U51" s="3">
        <f>E51*5</f>
        <v>1000</v>
      </c>
      <c r="V51" s="19"/>
      <c r="W51" s="3">
        <v>0.3</v>
      </c>
      <c r="X51" s="3">
        <f>((O51*F51)+Q51+R51+S51+U51)/G51</f>
        <v>35.8864388092613</v>
      </c>
      <c r="Y51" s="3">
        <f t="shared" si="66"/>
        <v>36.392439629173552</v>
      </c>
      <c r="Z51" s="29">
        <f>Y51*G51</f>
        <v>660158.85487320821</v>
      </c>
      <c r="AA51" s="30">
        <v>43010</v>
      </c>
    </row>
    <row r="52" spans="1:27" s="22" customFormat="1" x14ac:dyDescent="0.25">
      <c r="A52" s="143"/>
      <c r="B52" s="17" t="s">
        <v>26</v>
      </c>
      <c r="C52" s="18" t="s">
        <v>27</v>
      </c>
      <c r="D52" s="18" t="s">
        <v>27</v>
      </c>
      <c r="E52" s="19" t="s">
        <v>28</v>
      </c>
      <c r="F52" s="20">
        <f>39999*0.4536</f>
        <v>18143.546399999999</v>
      </c>
      <c r="G52" s="21">
        <v>18061.080000000002</v>
      </c>
      <c r="H52" s="21">
        <f>G52-F52</f>
        <v>-82.46639999999752</v>
      </c>
      <c r="I52" s="22" t="s">
        <v>753</v>
      </c>
      <c r="J52" s="23" t="s">
        <v>30</v>
      </c>
      <c r="K52" s="24">
        <v>42996</v>
      </c>
      <c r="L52" s="24">
        <v>42997</v>
      </c>
      <c r="M52" s="18" t="s">
        <v>62</v>
      </c>
      <c r="N52" s="18" t="s">
        <v>754</v>
      </c>
      <c r="O52" s="3"/>
      <c r="P52" s="25">
        <f>0.6751+0.095</f>
        <v>0.77010000000000001</v>
      </c>
      <c r="Q52" s="26">
        <v>23000</v>
      </c>
      <c r="R52" s="3">
        <v>9400</v>
      </c>
      <c r="S52" s="51">
        <v>18.178000000000001</v>
      </c>
      <c r="T52" s="27">
        <f>X52*F52*0.005</f>
        <v>2973.3497471129435</v>
      </c>
      <c r="V52" s="3">
        <v>0.12</v>
      </c>
      <c r="W52" s="3">
        <v>0.3</v>
      </c>
      <c r="X52" s="3">
        <f>IF(O52&gt;0,O52,((P52*2.2046*S52)+(Q52+R52)/G52)+V52)</f>
        <v>32.775838654265996</v>
      </c>
      <c r="Y52" s="3">
        <f t="shared" ref="Y52:Y53" si="67">IF(O52&gt;0,O52,((P52*2.2046*S52)+(Q52+R52+T52)/G52)+V52+W52)</f>
        <v>33.240466115476117</v>
      </c>
      <c r="Z52" s="29">
        <f>Y52*F52</f>
        <v>603099.93932376872</v>
      </c>
      <c r="AA52" s="30">
        <v>43007</v>
      </c>
    </row>
    <row r="53" spans="1:27" s="22" customFormat="1" x14ac:dyDescent="0.25">
      <c r="A53" s="143"/>
      <c r="B53" s="17" t="s">
        <v>26</v>
      </c>
      <c r="C53" s="18" t="s">
        <v>37</v>
      </c>
      <c r="D53" s="18" t="s">
        <v>37</v>
      </c>
      <c r="E53" s="19" t="s">
        <v>28</v>
      </c>
      <c r="F53" s="20">
        <f>41185*0.4536</f>
        <v>18681.516</v>
      </c>
      <c r="G53" s="21">
        <v>18612.38</v>
      </c>
      <c r="H53" s="21">
        <f>G53-F53</f>
        <v>-69.135999999998603</v>
      </c>
      <c r="I53" s="22" t="s">
        <v>755</v>
      </c>
      <c r="J53" s="23" t="s">
        <v>30</v>
      </c>
      <c r="K53" s="24">
        <v>42996</v>
      </c>
      <c r="L53" s="24">
        <v>42997</v>
      </c>
      <c r="M53" s="18" t="s">
        <v>62</v>
      </c>
      <c r="N53" s="18" t="s">
        <v>756</v>
      </c>
      <c r="O53" s="3"/>
      <c r="P53" s="25">
        <f>0.6909+0.095</f>
        <v>0.78589999999999993</v>
      </c>
      <c r="Q53" s="26">
        <v>23000</v>
      </c>
      <c r="R53" s="3">
        <v>9400</v>
      </c>
      <c r="S53" s="51">
        <v>17.734000000000002</v>
      </c>
      <c r="T53" s="27">
        <f>X53*F53*0.005</f>
        <v>3043.8372258930408</v>
      </c>
      <c r="V53" s="3">
        <v>0.12</v>
      </c>
      <c r="W53" s="3">
        <v>0.3</v>
      </c>
      <c r="X53" s="3">
        <f t="shared" ref="X53" si="68">IF(O53&gt;0,O53,((P53*2.2046*S53)+(Q53+R53)/G53)+V53)</f>
        <v>32.586619050542161</v>
      </c>
      <c r="Y53" s="3">
        <f t="shared" si="67"/>
        <v>33.050157363530239</v>
      </c>
      <c r="Z53" s="29">
        <f t="shared" ref="Z53" si="69">Y53*F53</f>
        <v>617427.04358930793</v>
      </c>
      <c r="AA53" s="30">
        <v>42990</v>
      </c>
    </row>
    <row r="54" spans="1:27" s="22" customFormat="1" x14ac:dyDescent="0.25">
      <c r="A54" s="143"/>
      <c r="B54" s="17" t="s">
        <v>41</v>
      </c>
      <c r="C54" s="19" t="s">
        <v>42</v>
      </c>
      <c r="D54" s="18" t="s">
        <v>43</v>
      </c>
      <c r="E54" s="19">
        <v>199</v>
      </c>
      <c r="F54" s="20">
        <v>23175</v>
      </c>
      <c r="G54" s="21">
        <f>12050+6470</f>
        <v>18520</v>
      </c>
      <c r="H54" s="21">
        <f>G54-F54</f>
        <v>-4655</v>
      </c>
      <c r="I54" s="22" t="s">
        <v>757</v>
      </c>
      <c r="J54" s="19"/>
      <c r="K54" s="24"/>
      <c r="L54" s="24">
        <v>42997</v>
      </c>
      <c r="M54" s="18" t="s">
        <v>62</v>
      </c>
      <c r="N54" s="19"/>
      <c r="O54" s="3">
        <v>27</v>
      </c>
      <c r="P54" s="31"/>
      <c r="Q54" s="26">
        <v>19800</v>
      </c>
      <c r="R54" s="3">
        <f>65*E54</f>
        <v>12935</v>
      </c>
      <c r="S54" s="27">
        <f>-38*E54</f>
        <v>-7562</v>
      </c>
      <c r="T54" s="27">
        <f t="shared" ref="T54" si="70">X54*F54*0.005</f>
        <v>4078.7311757559396</v>
      </c>
      <c r="U54" s="3">
        <f>E54*5</f>
        <v>995</v>
      </c>
      <c r="V54" s="19"/>
      <c r="W54" s="3">
        <v>0.3</v>
      </c>
      <c r="X54" s="3">
        <f>((O54*F54)+Q54+R54+S54+U54)/G54</f>
        <v>35.199406047516199</v>
      </c>
      <c r="Y54" s="3">
        <f>((O54*F54)+Q54+R54+S54+T54+U54)/G54+W54</f>
        <v>35.719639912297836</v>
      </c>
      <c r="Z54" s="29">
        <f>Y54*G54</f>
        <v>661527.73117575597</v>
      </c>
      <c r="AA54" s="30">
        <v>43010</v>
      </c>
    </row>
    <row r="55" spans="1:27" s="22" customFormat="1" x14ac:dyDescent="0.25">
      <c r="A55" s="143"/>
      <c r="B55" s="17" t="s">
        <v>92</v>
      </c>
      <c r="C55" s="19" t="s">
        <v>758</v>
      </c>
      <c r="D55" s="18" t="s">
        <v>94</v>
      </c>
      <c r="E55" s="19" t="s">
        <v>352</v>
      </c>
      <c r="F55" s="20">
        <v>2000</v>
      </c>
      <c r="G55" s="21">
        <v>2000</v>
      </c>
      <c r="H55" s="21">
        <f t="shared" ref="H55:H58" si="71">G55-F55</f>
        <v>0</v>
      </c>
      <c r="I55" s="22" t="s">
        <v>759</v>
      </c>
      <c r="J55" s="19"/>
      <c r="K55" s="24"/>
      <c r="L55" s="24">
        <v>42997</v>
      </c>
      <c r="M55" s="18" t="s">
        <v>62</v>
      </c>
      <c r="N55" s="19"/>
      <c r="O55" s="3">
        <v>34</v>
      </c>
      <c r="P55" s="31"/>
      <c r="Q55" s="3"/>
      <c r="R55" s="3"/>
      <c r="S55" s="27"/>
      <c r="T55" s="27"/>
      <c r="U55" s="3"/>
      <c r="V55" s="19"/>
      <c r="W55" s="3"/>
      <c r="X55" s="3">
        <f t="shared" ref="X55:X60" si="72">IF(O55&gt;0,O55,((P55*2.2046*S55)+(Q55+R55)/G55)+V55)</f>
        <v>34</v>
      </c>
      <c r="Y55" s="3">
        <f t="shared" ref="Y55:Y60" si="73">IF(O55&gt;0,O55,((P55*2.2046*S55)+(Q55+R55+T55)/G55)+V55+W55)</f>
        <v>34</v>
      </c>
      <c r="Z55" s="29">
        <f t="shared" ref="Z55:Z60" si="74">Y55*F55</f>
        <v>68000</v>
      </c>
      <c r="AA55" s="30">
        <v>42997</v>
      </c>
    </row>
    <row r="56" spans="1:27" s="22" customFormat="1" x14ac:dyDescent="0.25">
      <c r="A56" s="143"/>
      <c r="B56" s="17" t="s">
        <v>276</v>
      </c>
      <c r="C56" s="19" t="s">
        <v>760</v>
      </c>
      <c r="D56" s="18" t="s">
        <v>94</v>
      </c>
      <c r="E56" s="19" t="s">
        <v>278</v>
      </c>
      <c r="F56" s="20">
        <v>1003.34</v>
      </c>
      <c r="G56" s="21">
        <v>1003.34</v>
      </c>
      <c r="H56" s="21">
        <f t="shared" si="71"/>
        <v>0</v>
      </c>
      <c r="I56" s="144" t="s">
        <v>761</v>
      </c>
      <c r="J56" s="19"/>
      <c r="K56" s="24"/>
      <c r="L56" s="24">
        <v>42997</v>
      </c>
      <c r="M56" s="18" t="s">
        <v>62</v>
      </c>
      <c r="N56" s="19"/>
      <c r="O56" s="3">
        <v>47</v>
      </c>
      <c r="P56" s="31"/>
      <c r="Q56" s="3"/>
      <c r="R56" s="3"/>
      <c r="S56" s="27"/>
      <c r="T56" s="27"/>
      <c r="U56" s="3"/>
      <c r="V56" s="19"/>
      <c r="W56" s="3"/>
      <c r="X56" s="3">
        <f t="shared" si="72"/>
        <v>47</v>
      </c>
      <c r="Y56" s="3">
        <f t="shared" si="73"/>
        <v>47</v>
      </c>
      <c r="Z56" s="29">
        <f t="shared" si="74"/>
        <v>47156.98</v>
      </c>
      <c r="AA56" s="30">
        <v>42997</v>
      </c>
    </row>
    <row r="57" spans="1:27" s="22" customFormat="1" x14ac:dyDescent="0.25">
      <c r="A57" s="143"/>
      <c r="B57" s="17" t="s">
        <v>210</v>
      </c>
      <c r="C57" s="19" t="s">
        <v>762</v>
      </c>
      <c r="D57" s="18" t="s">
        <v>94</v>
      </c>
      <c r="E57" s="19" t="s">
        <v>251</v>
      </c>
      <c r="F57" s="20">
        <v>45.4</v>
      </c>
      <c r="G57" s="21">
        <v>45.4</v>
      </c>
      <c r="H57" s="21">
        <f t="shared" si="71"/>
        <v>0</v>
      </c>
      <c r="I57" s="144" t="s">
        <v>761</v>
      </c>
      <c r="J57" s="19"/>
      <c r="K57" s="24"/>
      <c r="L57" s="24">
        <v>42997</v>
      </c>
      <c r="M57" s="18" t="s">
        <v>62</v>
      </c>
      <c r="N57" s="19"/>
      <c r="O57" s="3">
        <v>165</v>
      </c>
      <c r="P57" s="31"/>
      <c r="Q57" s="3"/>
      <c r="R57" s="3"/>
      <c r="S57" s="27"/>
      <c r="T57" s="27"/>
      <c r="U57" s="3"/>
      <c r="V57" s="19"/>
      <c r="W57" s="3"/>
      <c r="X57" s="3">
        <f t="shared" si="72"/>
        <v>165</v>
      </c>
      <c r="Y57" s="3">
        <f t="shared" si="73"/>
        <v>165</v>
      </c>
      <c r="Z57" s="29">
        <f t="shared" si="74"/>
        <v>7491</v>
      </c>
      <c r="AA57" s="30">
        <v>42997</v>
      </c>
    </row>
    <row r="58" spans="1:27" s="22" customFormat="1" x14ac:dyDescent="0.25">
      <c r="A58" s="143"/>
      <c r="B58" s="17" t="s">
        <v>213</v>
      </c>
      <c r="C58" s="78" t="s">
        <v>763</v>
      </c>
      <c r="D58" s="18" t="s">
        <v>94</v>
      </c>
      <c r="E58" s="19" t="s">
        <v>251</v>
      </c>
      <c r="F58" s="20">
        <v>100</v>
      </c>
      <c r="G58" s="21">
        <v>100</v>
      </c>
      <c r="H58" s="21">
        <f t="shared" si="71"/>
        <v>0</v>
      </c>
      <c r="I58" s="144" t="s">
        <v>761</v>
      </c>
      <c r="J58" s="19"/>
      <c r="K58" s="24"/>
      <c r="L58" s="24">
        <v>42997</v>
      </c>
      <c r="M58" s="18" t="s">
        <v>62</v>
      </c>
      <c r="N58" s="19"/>
      <c r="O58" s="3">
        <v>170</v>
      </c>
      <c r="P58" s="31"/>
      <c r="Q58" s="3"/>
      <c r="R58" s="3"/>
      <c r="S58" s="27"/>
      <c r="T58" s="27"/>
      <c r="U58" s="3"/>
      <c r="V58" s="19"/>
      <c r="W58" s="3"/>
      <c r="X58" s="3">
        <f t="shared" si="72"/>
        <v>170</v>
      </c>
      <c r="Y58" s="3">
        <f t="shared" si="73"/>
        <v>170</v>
      </c>
      <c r="Z58" s="29">
        <f t="shared" si="74"/>
        <v>17000</v>
      </c>
      <c r="AA58" s="30">
        <v>42997</v>
      </c>
    </row>
    <row r="59" spans="1:27" s="22" customFormat="1" x14ac:dyDescent="0.25">
      <c r="A59" s="143"/>
      <c r="B59" s="17" t="s">
        <v>26</v>
      </c>
      <c r="C59" s="18" t="s">
        <v>37</v>
      </c>
      <c r="D59" s="18" t="s">
        <v>37</v>
      </c>
      <c r="E59" s="19" t="s">
        <v>28</v>
      </c>
      <c r="F59" s="20">
        <f>41523*0.4536</f>
        <v>18834.8328</v>
      </c>
      <c r="G59" s="21">
        <v>18782.88</v>
      </c>
      <c r="H59" s="21">
        <f>G59-F59</f>
        <v>-51.952799999999115</v>
      </c>
      <c r="I59" s="22" t="s">
        <v>764</v>
      </c>
      <c r="J59" s="23" t="s">
        <v>39</v>
      </c>
      <c r="K59" s="24">
        <v>42997</v>
      </c>
      <c r="L59" s="24">
        <v>42998</v>
      </c>
      <c r="M59" s="18" t="s">
        <v>31</v>
      </c>
      <c r="N59" s="18" t="s">
        <v>754</v>
      </c>
      <c r="O59" s="3"/>
      <c r="P59" s="25">
        <f>0.6751+0.095</f>
        <v>0.77010000000000001</v>
      </c>
      <c r="Q59" s="26">
        <v>23000</v>
      </c>
      <c r="R59" s="3">
        <v>9400</v>
      </c>
      <c r="S59" s="51">
        <v>17.68</v>
      </c>
      <c r="T59" s="27">
        <f>X59*F59*0.005</f>
        <v>3000.522156937996</v>
      </c>
      <c r="V59" s="3">
        <v>0.12</v>
      </c>
      <c r="W59" s="3">
        <v>0.3</v>
      </c>
      <c r="X59" s="3">
        <f t="shared" si="72"/>
        <v>31.861415376493238</v>
      </c>
      <c r="Y59" s="3">
        <f t="shared" si="73"/>
        <v>32.321163091270627</v>
      </c>
      <c r="Z59" s="29">
        <f t="shared" si="74"/>
        <v>608763.70272561337</v>
      </c>
      <c r="AA59" s="30">
        <v>42991</v>
      </c>
    </row>
    <row r="60" spans="1:27" s="22" customFormat="1" x14ac:dyDescent="0.25">
      <c r="A60" s="143"/>
      <c r="B60" s="17" t="s">
        <v>26</v>
      </c>
      <c r="C60" s="18" t="s">
        <v>37</v>
      </c>
      <c r="D60" s="18" t="s">
        <v>37</v>
      </c>
      <c r="E60" s="19" t="s">
        <v>28</v>
      </c>
      <c r="F60" s="20">
        <f>40887*0.4536</f>
        <v>18546.343199999999</v>
      </c>
      <c r="G60" s="21">
        <v>18531.439999999999</v>
      </c>
      <c r="H60" s="21">
        <f>G60-F60</f>
        <v>-14.903200000000652</v>
      </c>
      <c r="I60" s="22" t="s">
        <v>765</v>
      </c>
      <c r="J60" s="23" t="s">
        <v>30</v>
      </c>
      <c r="K60" s="24">
        <v>42997</v>
      </c>
      <c r="L60" s="24">
        <v>42998</v>
      </c>
      <c r="M60" s="18" t="s">
        <v>31</v>
      </c>
      <c r="N60" s="18" t="s">
        <v>754</v>
      </c>
      <c r="O60" s="3"/>
      <c r="P60" s="25">
        <f>0.6751+0.095</f>
        <v>0.77010000000000001</v>
      </c>
      <c r="Q60" s="26">
        <v>23000</v>
      </c>
      <c r="R60" s="3">
        <v>9400</v>
      </c>
      <c r="S60" s="51">
        <v>17.690000000000001</v>
      </c>
      <c r="T60" s="27">
        <f>X60*F60*0.005</f>
        <v>2958.3084690334795</v>
      </c>
      <c r="V60" s="3">
        <v>0.12</v>
      </c>
      <c r="W60" s="3">
        <v>0.3</v>
      </c>
      <c r="X60" s="3">
        <f t="shared" si="72"/>
        <v>31.901797967736083</v>
      </c>
      <c r="Y60" s="3">
        <f t="shared" si="73"/>
        <v>32.361435236563189</v>
      </c>
      <c r="Z60" s="29">
        <f t="shared" si="74"/>
        <v>600186.28434187407</v>
      </c>
      <c r="AA60" s="30">
        <v>42991</v>
      </c>
    </row>
    <row r="61" spans="1:27" s="22" customFormat="1" x14ac:dyDescent="0.25">
      <c r="A61" s="143"/>
      <c r="B61" s="17" t="s">
        <v>41</v>
      </c>
      <c r="C61" s="19" t="s">
        <v>42</v>
      </c>
      <c r="D61" s="18" t="s">
        <v>43</v>
      </c>
      <c r="E61" s="19">
        <v>200</v>
      </c>
      <c r="F61" s="20">
        <v>23785</v>
      </c>
      <c r="G61" s="21">
        <f>12770+6600</f>
        <v>19370</v>
      </c>
      <c r="H61" s="21">
        <f t="shared" ref="H61" si="75">G61-F61</f>
        <v>-4415</v>
      </c>
      <c r="I61" s="22" t="s">
        <v>766</v>
      </c>
      <c r="J61" s="19"/>
      <c r="K61" s="24"/>
      <c r="L61" s="24">
        <v>42998</v>
      </c>
      <c r="M61" s="18" t="s">
        <v>31</v>
      </c>
      <c r="N61" s="19"/>
      <c r="O61" s="3">
        <v>27</v>
      </c>
      <c r="P61" s="31"/>
      <c r="Q61" s="33">
        <v>19800</v>
      </c>
      <c r="R61" s="3">
        <f>65*E61</f>
        <v>13000</v>
      </c>
      <c r="S61" s="27">
        <f>-38*E61</f>
        <v>-7600</v>
      </c>
      <c r="T61" s="27">
        <f>X61*F61*0.0045</f>
        <v>3693.3395889261742</v>
      </c>
      <c r="U61" s="3">
        <f>E61*5</f>
        <v>1000</v>
      </c>
      <c r="V61" s="19"/>
      <c r="W61" s="3">
        <v>0.3</v>
      </c>
      <c r="X61" s="3">
        <f>((O61*F61)+Q61+R61+S61+U61)/G61</f>
        <v>34.506711409395976</v>
      </c>
      <c r="Y61" s="3">
        <f t="shared" ref="Y61" si="76">((O61*F61)+Q61+R61+S61+T61+U61)/G61+W61</f>
        <v>34.997384594162419</v>
      </c>
      <c r="Z61" s="29">
        <f>Y61*G61</f>
        <v>677899.33958892606</v>
      </c>
      <c r="AA61" s="30">
        <v>43011</v>
      </c>
    </row>
    <row r="62" spans="1:27" s="22" customFormat="1" x14ac:dyDescent="0.25">
      <c r="A62" s="143"/>
      <c r="B62" s="17" t="s">
        <v>26</v>
      </c>
      <c r="C62" s="18" t="s">
        <v>33</v>
      </c>
      <c r="D62" s="18" t="s">
        <v>33</v>
      </c>
      <c r="E62" s="19" t="s">
        <v>34</v>
      </c>
      <c r="F62" s="20">
        <f>42300*0.4536</f>
        <v>19187.28</v>
      </c>
      <c r="G62" s="21">
        <v>19106.46</v>
      </c>
      <c r="H62" s="21">
        <f>G62-F62</f>
        <v>-80.819999999999709</v>
      </c>
      <c r="I62" s="22" t="s">
        <v>767</v>
      </c>
      <c r="J62" s="23" t="s">
        <v>30</v>
      </c>
      <c r="K62" s="24">
        <v>42999</v>
      </c>
      <c r="L62" s="24">
        <v>43000</v>
      </c>
      <c r="M62" s="18" t="s">
        <v>49</v>
      </c>
      <c r="N62" s="18" t="s">
        <v>768</v>
      </c>
      <c r="O62" s="3"/>
      <c r="P62" s="25">
        <f>0.6538+0.105</f>
        <v>0.75880000000000003</v>
      </c>
      <c r="Q62" s="26">
        <v>23000</v>
      </c>
      <c r="R62" s="3">
        <v>9400</v>
      </c>
      <c r="S62" s="51">
        <v>17.779</v>
      </c>
      <c r="T62" s="27">
        <f>X62*F62*0.005</f>
        <v>3027.5004925816274</v>
      </c>
      <c r="V62" s="3">
        <v>0.12</v>
      </c>
      <c r="W62" s="3">
        <v>0.3</v>
      </c>
      <c r="X62" s="3">
        <f t="shared" ref="X62" si="77">IF(O62&gt;0,O62,((P62*2.2046*S62)+(Q62+R62)/G62)+V62)</f>
        <v>31.557370222164138</v>
      </c>
      <c r="Y62" s="3">
        <f t="shared" ref="Y62" si="78">IF(O62&gt;0,O62,((P62*2.2046*S62)+(Q62+R62+T62)/G62)+V62+W62)</f>
        <v>32.015824508964599</v>
      </c>
      <c r="Z62" s="29">
        <f t="shared" ref="Z62" si="79">Y62*F62</f>
        <v>614296.58928436623</v>
      </c>
      <c r="AA62" s="30">
        <v>42992</v>
      </c>
    </row>
    <row r="63" spans="1:27" s="22" customFormat="1" x14ac:dyDescent="0.25">
      <c r="A63" s="143"/>
      <c r="B63" s="17" t="s">
        <v>41</v>
      </c>
      <c r="C63" s="19" t="s">
        <v>42</v>
      </c>
      <c r="D63" s="18" t="s">
        <v>43</v>
      </c>
      <c r="E63" s="19">
        <f>230</f>
        <v>230</v>
      </c>
      <c r="F63" s="20">
        <f>27710</f>
        <v>27710</v>
      </c>
      <c r="G63" s="21">
        <f>19170</f>
        <v>19170</v>
      </c>
      <c r="H63" s="21">
        <f t="shared" ref="H63:H66" si="80">G63-F63</f>
        <v>-8540</v>
      </c>
      <c r="I63" s="22" t="s">
        <v>769</v>
      </c>
      <c r="J63" s="19">
        <v>200</v>
      </c>
      <c r="K63" s="24"/>
      <c r="L63" s="24">
        <v>42999</v>
      </c>
      <c r="M63" s="18" t="s">
        <v>47</v>
      </c>
      <c r="N63" s="19"/>
      <c r="O63" s="3">
        <v>27</v>
      </c>
      <c r="P63" s="31"/>
      <c r="Q63" s="26">
        <f>19800</f>
        <v>19800</v>
      </c>
      <c r="R63" s="3">
        <f t="shared" ref="R63:R64" si="81">65*E63</f>
        <v>14950</v>
      </c>
      <c r="S63" s="27">
        <f t="shared" ref="S63:S64" si="82">-38*E63</f>
        <v>-8740</v>
      </c>
      <c r="T63" s="27">
        <f t="shared" ref="T63:T64" si="83">X63*F63*0.0045</f>
        <v>5043.2850469483574</v>
      </c>
      <c r="U63" s="3">
        <f t="shared" ref="U63:U64" si="84">E63*5</f>
        <v>1150</v>
      </c>
      <c r="V63" s="19"/>
      <c r="W63" s="3">
        <v>0.3</v>
      </c>
      <c r="X63" s="3">
        <f t="shared" ref="X63:X64" si="85">((O63*F63)+Q63+R63+S63+U63)/G63</f>
        <v>40.44496609285342</v>
      </c>
      <c r="Y63" s="3">
        <f t="shared" ref="Y63:Y64" si="86">((O63*F63)+Q63+R63+S63+T63+U63)/G63+W63</f>
        <v>41.008048254926884</v>
      </c>
      <c r="Z63" s="29">
        <f t="shared" ref="Z63:Z64" si="87">Y63*G63</f>
        <v>786124.28504694835</v>
      </c>
      <c r="AA63" s="30">
        <v>43012</v>
      </c>
    </row>
    <row r="64" spans="1:27" s="22" customFormat="1" x14ac:dyDescent="0.25">
      <c r="A64" s="143"/>
      <c r="B64" s="17" t="s">
        <v>41</v>
      </c>
      <c r="C64" s="19" t="s">
        <v>42</v>
      </c>
      <c r="D64" s="18" t="s">
        <v>228</v>
      </c>
      <c r="E64" s="19">
        <v>100</v>
      </c>
      <c r="F64" s="20">
        <v>11360</v>
      </c>
      <c r="G64" s="21">
        <v>11980</v>
      </c>
      <c r="H64" s="21">
        <f t="shared" si="80"/>
        <v>620</v>
      </c>
      <c r="I64" s="145" t="s">
        <v>770</v>
      </c>
      <c r="J64" s="19">
        <v>130</v>
      </c>
      <c r="K64" s="24"/>
      <c r="L64" s="24">
        <v>42999</v>
      </c>
      <c r="M64" s="18" t="s">
        <v>47</v>
      </c>
      <c r="N64" s="19"/>
      <c r="O64" s="3">
        <v>27</v>
      </c>
      <c r="P64" s="31"/>
      <c r="Q64" s="26">
        <v>15700</v>
      </c>
      <c r="R64" s="3">
        <f t="shared" si="81"/>
        <v>6500</v>
      </c>
      <c r="S64" s="27">
        <f t="shared" si="82"/>
        <v>-3800</v>
      </c>
      <c r="T64" s="27">
        <f t="shared" si="83"/>
        <v>1389.4569616026711</v>
      </c>
      <c r="U64" s="3">
        <f t="shared" si="84"/>
        <v>500</v>
      </c>
      <c r="V64" s="19"/>
      <c r="W64" s="3">
        <v>0.3</v>
      </c>
      <c r="X64" s="3">
        <f t="shared" si="85"/>
        <v>27.180300500834726</v>
      </c>
      <c r="Y64" s="3">
        <f t="shared" si="86"/>
        <v>27.596281883272344</v>
      </c>
      <c r="Z64" s="29">
        <f t="shared" si="87"/>
        <v>330603.45696160267</v>
      </c>
      <c r="AA64" s="30">
        <v>43012</v>
      </c>
    </row>
    <row r="65" spans="1:27" s="22" customFormat="1" x14ac:dyDescent="0.25">
      <c r="A65" s="143"/>
      <c r="B65" s="17" t="s">
        <v>427</v>
      </c>
      <c r="C65" s="19" t="s">
        <v>163</v>
      </c>
      <c r="D65" s="18" t="s">
        <v>324</v>
      </c>
      <c r="E65" s="19" t="s">
        <v>771</v>
      </c>
      <c r="F65" s="20">
        <v>5006.41</v>
      </c>
      <c r="G65" s="21">
        <v>5007.3599999999997</v>
      </c>
      <c r="H65" s="21">
        <f t="shared" si="80"/>
        <v>0.9499999999998181</v>
      </c>
      <c r="I65" s="73" t="s">
        <v>772</v>
      </c>
      <c r="J65" s="19"/>
      <c r="K65" s="24"/>
      <c r="L65" s="24">
        <v>43000</v>
      </c>
      <c r="M65" s="18" t="s">
        <v>49</v>
      </c>
      <c r="N65" s="19"/>
      <c r="O65" s="3">
        <v>92</v>
      </c>
      <c r="P65" s="31"/>
      <c r="Q65" s="3"/>
      <c r="R65" s="3"/>
      <c r="S65" s="27"/>
      <c r="T65" s="27"/>
      <c r="U65" s="3"/>
      <c r="V65" s="19"/>
      <c r="W65" s="3"/>
      <c r="X65" s="3">
        <f t="shared" ref="X65" si="88">IF(O65&gt;0,O65,((P65*2.2046*S65)+(Q65+R65)/G65)+V65)</f>
        <v>92</v>
      </c>
      <c r="Y65" s="3">
        <f t="shared" ref="Y65" si="89">IF(O65&gt;0,O65,((P65*2.2046*S65)+(Q65+R65+T65)/G65)+V65+W65)</f>
        <v>92</v>
      </c>
      <c r="Z65" s="29">
        <f t="shared" ref="Z65" si="90">Y65*F65</f>
        <v>460589.72</v>
      </c>
      <c r="AA65" s="30">
        <v>43007</v>
      </c>
    </row>
    <row r="66" spans="1:27" s="22" customFormat="1" x14ac:dyDescent="0.25">
      <c r="A66" s="143"/>
      <c r="B66" s="17" t="s">
        <v>41</v>
      </c>
      <c r="C66" s="19" t="s">
        <v>42</v>
      </c>
      <c r="D66" s="18" t="s">
        <v>43</v>
      </c>
      <c r="E66" s="19">
        <v>229</v>
      </c>
      <c r="F66" s="20">
        <v>26550</v>
      </c>
      <c r="G66" s="21">
        <v>18000</v>
      </c>
      <c r="H66" s="21">
        <f t="shared" si="80"/>
        <v>-8550</v>
      </c>
      <c r="I66" s="22" t="s">
        <v>773</v>
      </c>
      <c r="J66" s="19"/>
      <c r="K66" s="24"/>
      <c r="L66" s="24">
        <v>43000</v>
      </c>
      <c r="M66" s="18" t="s">
        <v>49</v>
      </c>
      <c r="N66" s="19"/>
      <c r="O66" s="3">
        <v>27</v>
      </c>
      <c r="P66" s="31"/>
      <c r="Q66" s="33">
        <v>19800</v>
      </c>
      <c r="R66" s="3">
        <f t="shared" ref="R66:R67" si="91">65*E66</f>
        <v>14885</v>
      </c>
      <c r="S66" s="27">
        <f t="shared" ref="S66:S67" si="92">-38*E66</f>
        <v>-8702</v>
      </c>
      <c r="T66" s="27">
        <f>X66*F66*0.0045</f>
        <v>4938.1539750000002</v>
      </c>
      <c r="U66" s="3">
        <f>E66*5</f>
        <v>1145</v>
      </c>
      <c r="V66" s="19"/>
      <c r="W66" s="3">
        <v>0.3</v>
      </c>
      <c r="X66" s="3">
        <f>((O66*F66)+Q66+R66+S66+U66)/G66</f>
        <v>41.332111111111111</v>
      </c>
      <c r="Y66" s="3">
        <f t="shared" ref="Y66:Y67" si="93">((O66*F66)+Q66+R66+S66+T66+U66)/G66+W66</f>
        <v>41.906452998611108</v>
      </c>
      <c r="Z66" s="29">
        <f t="shared" ref="Z66:Z67" si="94">Y66*G66</f>
        <v>754316.15397499991</v>
      </c>
      <c r="AA66" s="30">
        <v>43013</v>
      </c>
    </row>
    <row r="67" spans="1:27" s="22" customFormat="1" x14ac:dyDescent="0.25">
      <c r="A67" s="143"/>
      <c r="B67" s="17" t="s">
        <v>41</v>
      </c>
      <c r="C67" s="19" t="s">
        <v>42</v>
      </c>
      <c r="D67" s="18" t="s">
        <v>228</v>
      </c>
      <c r="E67" s="19">
        <v>100</v>
      </c>
      <c r="F67" s="20">
        <v>11315</v>
      </c>
      <c r="G67" s="21">
        <v>11270</v>
      </c>
      <c r="H67" s="21">
        <f>G67-F67</f>
        <v>-45</v>
      </c>
      <c r="I67" s="18" t="s">
        <v>774</v>
      </c>
      <c r="J67" s="19"/>
      <c r="K67" s="24"/>
      <c r="L67" s="24">
        <v>43000</v>
      </c>
      <c r="M67" s="18" t="s">
        <v>49</v>
      </c>
      <c r="N67" s="19"/>
      <c r="O67" s="3">
        <v>27</v>
      </c>
      <c r="P67" s="31"/>
      <c r="Q67" s="26">
        <v>15700</v>
      </c>
      <c r="R67" s="3">
        <f t="shared" si="91"/>
        <v>6500</v>
      </c>
      <c r="S67" s="27">
        <f t="shared" si="92"/>
        <v>-3800</v>
      </c>
      <c r="T67" s="27">
        <f>X67*F67*0.0045</f>
        <v>1465.6514274622891</v>
      </c>
      <c r="U67" s="3">
        <f>E67*5</f>
        <v>500</v>
      </c>
      <c r="V67" s="19"/>
      <c r="W67" s="3">
        <v>0.3</v>
      </c>
      <c r="X67" s="3">
        <f>((O67*F67)+Q67+R67+S67+U67)/G67</f>
        <v>28.784826974267968</v>
      </c>
      <c r="Y67" s="3">
        <f t="shared" si="93"/>
        <v>29.21487590305788</v>
      </c>
      <c r="Z67" s="29">
        <f t="shared" si="94"/>
        <v>329251.65142746229</v>
      </c>
      <c r="AA67" s="30">
        <v>43013</v>
      </c>
    </row>
    <row r="68" spans="1:27" s="22" customFormat="1" x14ac:dyDescent="0.25">
      <c r="A68" s="143"/>
      <c r="B68" s="17" t="s">
        <v>26</v>
      </c>
      <c r="C68" s="18" t="s">
        <v>27</v>
      </c>
      <c r="D68" s="18" t="s">
        <v>27</v>
      </c>
      <c r="E68" s="19" t="s">
        <v>28</v>
      </c>
      <c r="F68" s="20">
        <f>39999*0.4536</f>
        <v>18143.546399999999</v>
      </c>
      <c r="G68" s="21">
        <v>18094.59</v>
      </c>
      <c r="H68" s="21">
        <f>G68-F68</f>
        <v>-48.956399999999121</v>
      </c>
      <c r="I68" s="22" t="s">
        <v>775</v>
      </c>
      <c r="J68" s="23" t="s">
        <v>30</v>
      </c>
      <c r="K68" s="24">
        <v>43000</v>
      </c>
      <c r="L68" s="24">
        <v>43001</v>
      </c>
      <c r="M68" s="18" t="s">
        <v>98</v>
      </c>
      <c r="N68" s="18" t="s">
        <v>776</v>
      </c>
      <c r="O68" s="3"/>
      <c r="P68" s="25">
        <f>0.6538+0.095</f>
        <v>0.74880000000000002</v>
      </c>
      <c r="Q68" s="26">
        <v>23000</v>
      </c>
      <c r="R68" s="3">
        <v>9400</v>
      </c>
      <c r="S68" s="51">
        <v>18.242999999999999</v>
      </c>
      <c r="T68" s="27">
        <f>X68*F68*0.005</f>
        <v>2905.3457323010075</v>
      </c>
      <c r="V68" s="3">
        <v>0.12</v>
      </c>
      <c r="W68" s="3">
        <v>0.3</v>
      </c>
      <c r="X68" s="3">
        <f t="shared" ref="X68:X69" si="95">IF(O68&gt;0,O68,((P68*2.2046*S68)+(Q68+R68)/G68)+V68)</f>
        <v>32.02621657583996</v>
      </c>
      <c r="Y68" s="3">
        <f t="shared" ref="Y68:Y69" si="96">IF(O68&gt;0,O68,((P68*2.2046*S68)+(Q68+R68+T68)/G68)+V68+W68)</f>
        <v>32.486780906521176</v>
      </c>
      <c r="Z68" s="29">
        <f t="shared" ref="Z68:Z69" si="97">Y68*F68</f>
        <v>589425.41676410101</v>
      </c>
      <c r="AA68" s="30">
        <v>43010</v>
      </c>
    </row>
    <row r="69" spans="1:27" s="22" customFormat="1" x14ac:dyDescent="0.25">
      <c r="A69" s="143"/>
      <c r="B69" s="17" t="s">
        <v>26</v>
      </c>
      <c r="C69" s="18" t="s">
        <v>33</v>
      </c>
      <c r="D69" s="18" t="s">
        <v>33</v>
      </c>
      <c r="E69" s="19" t="s">
        <v>34</v>
      </c>
      <c r="F69" s="20">
        <f>42837*0.4536</f>
        <v>19430.8632</v>
      </c>
      <c r="G69" s="21">
        <v>19367.86</v>
      </c>
      <c r="H69" s="21">
        <f t="shared" ref="H69" si="98">G69-F69</f>
        <v>-63.003199999999197</v>
      </c>
      <c r="I69" s="22" t="s">
        <v>777</v>
      </c>
      <c r="J69" s="23" t="s">
        <v>30</v>
      </c>
      <c r="K69" s="24">
        <v>42999</v>
      </c>
      <c r="L69" s="24">
        <v>43001</v>
      </c>
      <c r="M69" s="18" t="s">
        <v>98</v>
      </c>
      <c r="N69" s="18" t="s">
        <v>778</v>
      </c>
      <c r="O69" s="3"/>
      <c r="P69" s="25">
        <f>0.6507+0.105</f>
        <v>0.75569999999999993</v>
      </c>
      <c r="Q69" s="26">
        <v>23000</v>
      </c>
      <c r="R69" s="3">
        <v>9400</v>
      </c>
      <c r="S69" s="51">
        <v>17.759</v>
      </c>
      <c r="T69" s="27">
        <f t="shared" ref="T69" si="99">X69*F69*0.005</f>
        <v>3048.6690729719489</v>
      </c>
      <c r="V69" s="3">
        <v>0.12</v>
      </c>
      <c r="W69" s="3">
        <v>0.3</v>
      </c>
      <c r="X69" s="3">
        <f t="shared" si="95"/>
        <v>31.379656596748092</v>
      </c>
      <c r="Y69" s="3">
        <f t="shared" si="96"/>
        <v>31.837065266212448</v>
      </c>
      <c r="Z69" s="29">
        <f t="shared" si="97"/>
        <v>618621.65987724566</v>
      </c>
      <c r="AA69" s="30">
        <v>42993</v>
      </c>
    </row>
    <row r="70" spans="1:27" s="22" customFormat="1" ht="15.75" thickBot="1" x14ac:dyDescent="0.3">
      <c r="A70" s="146"/>
      <c r="B70" s="34"/>
      <c r="C70" s="6"/>
      <c r="D70" s="6"/>
      <c r="E70" s="6"/>
      <c r="F70" s="35"/>
      <c r="G70" s="35"/>
      <c r="H70" s="35"/>
      <c r="I70" s="9"/>
      <c r="J70" s="6"/>
      <c r="K70" s="10"/>
      <c r="L70" s="10"/>
      <c r="M70" s="6"/>
      <c r="N70" s="6"/>
      <c r="O70" s="11"/>
      <c r="P70" s="12"/>
      <c r="Q70" s="11"/>
      <c r="R70" s="11"/>
      <c r="S70" s="11"/>
      <c r="T70" s="11"/>
      <c r="U70" s="11"/>
      <c r="V70" s="11"/>
      <c r="W70" s="11"/>
      <c r="X70" s="11"/>
      <c r="Y70" s="11"/>
      <c r="Z70" s="15"/>
      <c r="AA70" s="36"/>
    </row>
    <row r="71" spans="1:27" s="22" customFormat="1" x14ac:dyDescent="0.25">
      <c r="A71" s="120"/>
      <c r="B71" s="38" t="s">
        <v>41</v>
      </c>
      <c r="C71" s="38" t="s">
        <v>42</v>
      </c>
      <c r="D71" s="39" t="s">
        <v>43</v>
      </c>
      <c r="E71" s="38">
        <v>229</v>
      </c>
      <c r="F71" s="40">
        <v>25960</v>
      </c>
      <c r="G71" s="41">
        <f>11780+8820</f>
        <v>20600</v>
      </c>
      <c r="H71" s="21">
        <f t="shared" ref="H71:H74" si="100">G71-F71</f>
        <v>-5360</v>
      </c>
      <c r="I71" s="39" t="s">
        <v>779</v>
      </c>
      <c r="J71" s="38"/>
      <c r="K71" s="42"/>
      <c r="L71" s="42">
        <v>43002</v>
      </c>
      <c r="M71" s="39" t="s">
        <v>57</v>
      </c>
      <c r="N71" s="38"/>
      <c r="O71" s="43">
        <v>26.5</v>
      </c>
      <c r="P71" s="44"/>
      <c r="Q71" s="45">
        <v>19800</v>
      </c>
      <c r="R71" s="43">
        <f t="shared" ref="R71:R72" si="101">65*E71</f>
        <v>14885</v>
      </c>
      <c r="S71" s="43">
        <f t="shared" ref="S71:S72" si="102">-38*E71</f>
        <v>-8702</v>
      </c>
      <c r="T71" s="46">
        <f>X71*F71*0.0045</f>
        <v>4055.0603766990293</v>
      </c>
      <c r="U71" s="43">
        <f>E71*5</f>
        <v>1145</v>
      </c>
      <c r="V71" s="38"/>
      <c r="W71" s="43">
        <v>0.3</v>
      </c>
      <c r="X71" s="43">
        <f>((O71*F71)+Q71+R71+S71+U71)/G71</f>
        <v>34.712038834951457</v>
      </c>
      <c r="Y71" s="47">
        <f t="shared" ref="Y71:Y72" si="103">((O71*F71)+Q71+R71+S71+T71+U71)/G71+W71</f>
        <v>35.208886426053354</v>
      </c>
      <c r="Z71" s="47">
        <f>Y71*G71</f>
        <v>725303.06037669908</v>
      </c>
      <c r="AA71" s="48">
        <v>43017</v>
      </c>
    </row>
    <row r="72" spans="1:27" s="22" customFormat="1" x14ac:dyDescent="0.25">
      <c r="A72" s="122"/>
      <c r="B72" s="17" t="s">
        <v>41</v>
      </c>
      <c r="C72" s="19" t="s">
        <v>42</v>
      </c>
      <c r="D72" s="18" t="s">
        <v>58</v>
      </c>
      <c r="E72" s="19">
        <v>200</v>
      </c>
      <c r="F72" s="20">
        <f>20875</f>
        <v>20875</v>
      </c>
      <c r="G72" s="21">
        <f>9660+6580</f>
        <v>16240</v>
      </c>
      <c r="H72" s="21">
        <f t="shared" si="100"/>
        <v>-4635</v>
      </c>
      <c r="I72" s="18" t="s">
        <v>780</v>
      </c>
      <c r="J72" s="65">
        <v>199</v>
      </c>
      <c r="K72" s="24"/>
      <c r="L72" s="24">
        <v>43003</v>
      </c>
      <c r="M72" s="18" t="s">
        <v>60</v>
      </c>
      <c r="N72" s="19"/>
      <c r="O72" s="3">
        <v>26.5</v>
      </c>
      <c r="P72" s="31"/>
      <c r="Q72" s="26">
        <v>19800</v>
      </c>
      <c r="R72" s="3">
        <f t="shared" si="101"/>
        <v>13000</v>
      </c>
      <c r="S72" s="27">
        <f t="shared" si="102"/>
        <v>-7600</v>
      </c>
      <c r="T72" s="27">
        <f>X72*F72*0.0045</f>
        <v>3351.3678128848519</v>
      </c>
      <c r="U72" s="3">
        <f>E72*5</f>
        <v>1000</v>
      </c>
      <c r="V72" s="19"/>
      <c r="W72" s="3">
        <v>0.3</v>
      </c>
      <c r="X72" s="3">
        <f>((O72*F72)+Q72+R72+S72+U72)/G72</f>
        <v>35.676570197044335</v>
      </c>
      <c r="Y72" s="3">
        <f t="shared" si="103"/>
        <v>36.182935210153005</v>
      </c>
      <c r="Z72" s="29">
        <f>Y72*G72</f>
        <v>587610.86781288486</v>
      </c>
      <c r="AA72" s="30">
        <v>43017</v>
      </c>
    </row>
    <row r="73" spans="1:27" s="22" customFormat="1" x14ac:dyDescent="0.25">
      <c r="A73" s="122"/>
      <c r="B73" s="17" t="s">
        <v>439</v>
      </c>
      <c r="C73" s="19" t="s">
        <v>440</v>
      </c>
      <c r="D73" s="18" t="s">
        <v>596</v>
      </c>
      <c r="E73" s="19" t="s">
        <v>781</v>
      </c>
      <c r="F73" s="20">
        <v>156.22999999999999</v>
      </c>
      <c r="G73" s="21">
        <v>156.22999999999999</v>
      </c>
      <c r="H73" s="21">
        <f t="shared" si="100"/>
        <v>0</v>
      </c>
      <c r="I73" s="18"/>
      <c r="J73" s="19"/>
      <c r="K73" s="24"/>
      <c r="L73" s="24">
        <v>43003</v>
      </c>
      <c r="M73" s="18" t="s">
        <v>60</v>
      </c>
      <c r="N73" s="19"/>
      <c r="O73" s="3">
        <v>31</v>
      </c>
      <c r="P73" s="31"/>
      <c r="Q73" s="3"/>
      <c r="R73" s="3"/>
      <c r="S73" s="27"/>
      <c r="T73" s="27"/>
      <c r="U73" s="3"/>
      <c r="V73" s="19"/>
      <c r="W73" s="3"/>
      <c r="X73" s="3">
        <f t="shared" ref="X73:X74" si="104">IF(O73&gt;0,O73,((P73*2.2046*S73)+(Q73+R73)/G73)+V73)</f>
        <v>31</v>
      </c>
      <c r="Y73" s="3">
        <f t="shared" ref="Y73:Y74" si="105">IF(O73&gt;0,O73,((P73*2.2046*S73)+(Q73+R73+T73)/G73)+V73+W73)</f>
        <v>31</v>
      </c>
      <c r="Z73" s="29">
        <f t="shared" ref="Z73:Z74" si="106">Y73*F73</f>
        <v>4843.13</v>
      </c>
      <c r="AA73" s="30">
        <v>43010</v>
      </c>
    </row>
    <row r="74" spans="1:27" s="22" customFormat="1" x14ac:dyDescent="0.25">
      <c r="A74" s="122"/>
      <c r="B74" s="17" t="s">
        <v>26</v>
      </c>
      <c r="C74" s="18" t="s">
        <v>37</v>
      </c>
      <c r="D74" s="18" t="s">
        <v>37</v>
      </c>
      <c r="E74" s="19" t="s">
        <v>28</v>
      </c>
      <c r="F74" s="20">
        <f>41283*0.4536</f>
        <v>18725.968799999999</v>
      </c>
      <c r="G74" s="21">
        <v>18675.580000000002</v>
      </c>
      <c r="H74" s="21">
        <f t="shared" si="100"/>
        <v>-50.388799999996991</v>
      </c>
      <c r="I74" s="22" t="s">
        <v>782</v>
      </c>
      <c r="J74" s="23" t="s">
        <v>30</v>
      </c>
      <c r="K74" s="24">
        <v>43003</v>
      </c>
      <c r="L74" s="24">
        <v>43004</v>
      </c>
      <c r="M74" s="18" t="s">
        <v>62</v>
      </c>
      <c r="N74" s="18" t="s">
        <v>783</v>
      </c>
      <c r="O74" s="3"/>
      <c r="P74" s="25">
        <f>0.6057+0.095</f>
        <v>0.70069999999999999</v>
      </c>
      <c r="Q74" s="26">
        <v>23000</v>
      </c>
      <c r="R74" s="3">
        <v>9400</v>
      </c>
      <c r="S74" s="51">
        <v>17.779</v>
      </c>
      <c r="T74" s="27">
        <f>X74*F74*0.005</f>
        <v>2745.1550402807275</v>
      </c>
      <c r="V74" s="3">
        <v>0.12</v>
      </c>
      <c r="W74" s="3">
        <v>0.3</v>
      </c>
      <c r="X74" s="3">
        <f t="shared" si="104"/>
        <v>29.319231166087683</v>
      </c>
      <c r="Y74" s="3">
        <f t="shared" si="105"/>
        <v>29.766222854714261</v>
      </c>
      <c r="Z74" s="29">
        <f t="shared" si="106"/>
        <v>557401.36047122616</v>
      </c>
      <c r="AA74" s="30">
        <v>42997</v>
      </c>
    </row>
    <row r="75" spans="1:27" s="22" customFormat="1" x14ac:dyDescent="0.25">
      <c r="A75" s="122"/>
      <c r="B75" s="17" t="s">
        <v>41</v>
      </c>
      <c r="C75" s="19" t="s">
        <v>42</v>
      </c>
      <c r="D75" s="18" t="s">
        <v>43</v>
      </c>
      <c r="E75" s="19">
        <f>230</f>
        <v>230</v>
      </c>
      <c r="F75" s="20">
        <f>28240</f>
        <v>28240</v>
      </c>
      <c r="G75" s="21">
        <f>18880</f>
        <v>18880</v>
      </c>
      <c r="H75" s="21">
        <f>G75-F75</f>
        <v>-9360</v>
      </c>
      <c r="I75" s="18" t="s">
        <v>784</v>
      </c>
      <c r="J75" s="19">
        <v>200</v>
      </c>
      <c r="K75" s="24"/>
      <c r="L75" s="24">
        <v>43004</v>
      </c>
      <c r="M75" s="18" t="s">
        <v>62</v>
      </c>
      <c r="N75" s="19"/>
      <c r="O75" s="3">
        <v>26.5</v>
      </c>
      <c r="P75" s="31"/>
      <c r="Q75" s="33">
        <f>19800</f>
        <v>19800</v>
      </c>
      <c r="R75" s="3">
        <f>65*E75</f>
        <v>14950</v>
      </c>
      <c r="S75" s="27">
        <f>-38*E75</f>
        <v>-8740</v>
      </c>
      <c r="T75" s="27">
        <f t="shared" ref="T75:T76" si="107">X75*F75*0.005</f>
        <v>5799.969491525424</v>
      </c>
      <c r="U75" s="3">
        <f>E75*5</f>
        <v>1150</v>
      </c>
      <c r="V75" s="19"/>
      <c r="W75" s="3">
        <v>0.3</v>
      </c>
      <c r="X75" s="3">
        <f>((O75*F75)+Q75+R75+S75+U75)/G75</f>
        <v>41.076271186440678</v>
      </c>
      <c r="Y75" s="3">
        <f>((O75*F75)+Q75+R75+S75+T75+U75)/G75+W75</f>
        <v>41.68347296035622</v>
      </c>
      <c r="Z75" s="29">
        <f>Y75*G75</f>
        <v>786983.96949152544</v>
      </c>
      <c r="AA75" s="30">
        <v>43017</v>
      </c>
    </row>
    <row r="76" spans="1:27" s="22" customFormat="1" x14ac:dyDescent="0.25">
      <c r="A76" s="122"/>
      <c r="B76" s="17" t="s">
        <v>41</v>
      </c>
      <c r="C76" s="19" t="s">
        <v>42</v>
      </c>
      <c r="D76" s="18" t="s">
        <v>228</v>
      </c>
      <c r="E76" s="19">
        <v>100</v>
      </c>
      <c r="F76" s="20">
        <v>11350</v>
      </c>
      <c r="G76" s="21">
        <v>12120</v>
      </c>
      <c r="H76" s="21">
        <f>G76-F76</f>
        <v>770</v>
      </c>
      <c r="I76" s="18" t="s">
        <v>785</v>
      </c>
      <c r="J76" s="19">
        <v>130</v>
      </c>
      <c r="K76" s="24"/>
      <c r="L76" s="24">
        <v>43004</v>
      </c>
      <c r="M76" s="18" t="s">
        <v>62</v>
      </c>
      <c r="N76" s="19"/>
      <c r="O76" s="3">
        <v>26.5</v>
      </c>
      <c r="P76" s="31"/>
      <c r="Q76" s="26">
        <v>15700</v>
      </c>
      <c r="R76" s="3">
        <f>65*E76</f>
        <v>6500</v>
      </c>
      <c r="S76" s="27">
        <f>-38*E76</f>
        <v>-3800</v>
      </c>
      <c r="T76" s="27">
        <f t="shared" si="107"/>
        <v>1496.8280734323432</v>
      </c>
      <c r="U76" s="3">
        <f>E76*5</f>
        <v>500</v>
      </c>
      <c r="V76" s="19"/>
      <c r="W76" s="3">
        <v>0.3</v>
      </c>
      <c r="X76" s="3">
        <f>((O76*F76)+Q76+R76+S76+U76)/G76</f>
        <v>26.37582508250825</v>
      </c>
      <c r="Y76" s="3">
        <f>((O76*F76)+Q76+R76+S76+T76+U76)/G76+W76</f>
        <v>26.799325748633031</v>
      </c>
      <c r="Z76" s="29">
        <f>Y76*G76</f>
        <v>324807.82807343232</v>
      </c>
      <c r="AA76" s="30">
        <v>43017</v>
      </c>
    </row>
    <row r="77" spans="1:27" s="22" customFormat="1" x14ac:dyDescent="0.25">
      <c r="A77" s="122"/>
      <c r="B77" s="17" t="s">
        <v>26</v>
      </c>
      <c r="C77" s="18" t="s">
        <v>37</v>
      </c>
      <c r="D77" s="18" t="s">
        <v>37</v>
      </c>
      <c r="E77" s="19" t="s">
        <v>28</v>
      </c>
      <c r="F77" s="20">
        <f>41765*0.4536</f>
        <v>18944.603999999999</v>
      </c>
      <c r="G77" s="21">
        <v>18944</v>
      </c>
      <c r="H77" s="21">
        <f>G77-F77</f>
        <v>-0.60399999999935972</v>
      </c>
      <c r="I77" s="22" t="s">
        <v>786</v>
      </c>
      <c r="J77" s="23" t="s">
        <v>30</v>
      </c>
      <c r="K77" s="24">
        <v>43004</v>
      </c>
      <c r="L77" s="24">
        <v>43005</v>
      </c>
      <c r="M77" s="18" t="s">
        <v>31</v>
      </c>
      <c r="N77" s="18" t="s">
        <v>787</v>
      </c>
      <c r="O77" s="3"/>
      <c r="P77" s="25">
        <f>0.5755+0.095</f>
        <v>0.67049999999999998</v>
      </c>
      <c r="Q77" s="26">
        <v>23000</v>
      </c>
      <c r="R77" s="3">
        <v>9400</v>
      </c>
      <c r="S77" s="51">
        <v>17.779</v>
      </c>
      <c r="T77" s="27">
        <f>X77*F77*0.005</f>
        <v>2662.7533898410102</v>
      </c>
      <c r="V77" s="3">
        <v>0.12</v>
      </c>
      <c r="W77" s="3">
        <v>0.3</v>
      </c>
      <c r="X77" s="3">
        <f t="shared" ref="X77" si="108">IF(O77&gt;0,O77,((P77*2.2046*S77)+(Q77+R77)/G77)+V77)</f>
        <v>28.110942723754057</v>
      </c>
      <c r="Y77" s="3">
        <f t="shared" ref="Y77" si="109">IF(O77&gt;0,O77,((P77*2.2046*S77)+(Q77+R77+T77)/G77)+V77+W77)</f>
        <v>28.551501918741444</v>
      </c>
      <c r="Z77" s="29">
        <f t="shared" ref="Z77" si="110">Y77*F77</f>
        <v>540896.89745579683</v>
      </c>
      <c r="AA77" s="30">
        <v>42998</v>
      </c>
    </row>
    <row r="78" spans="1:27" s="22" customFormat="1" x14ac:dyDescent="0.25">
      <c r="A78" s="122"/>
      <c r="B78" s="17" t="s">
        <v>41</v>
      </c>
      <c r="C78" s="19" t="s">
        <v>42</v>
      </c>
      <c r="D78" s="18" t="s">
        <v>43</v>
      </c>
      <c r="E78" s="19">
        <v>130</v>
      </c>
      <c r="F78" s="20">
        <v>15915</v>
      </c>
      <c r="G78" s="21">
        <v>12270</v>
      </c>
      <c r="H78" s="21">
        <f t="shared" ref="H78" si="111">G78-F78</f>
        <v>-3645</v>
      </c>
      <c r="I78" s="18" t="s">
        <v>788</v>
      </c>
      <c r="J78" s="19"/>
      <c r="K78" s="24"/>
      <c r="L78" s="24">
        <v>43005</v>
      </c>
      <c r="M78" s="18" t="s">
        <v>31</v>
      </c>
      <c r="N78" s="19"/>
      <c r="O78" s="3">
        <v>26.5</v>
      </c>
      <c r="P78" s="31"/>
      <c r="Q78" s="26">
        <v>15700</v>
      </c>
      <c r="R78" s="3">
        <f>65*E78</f>
        <v>8450</v>
      </c>
      <c r="S78" s="27">
        <f>-38*E78</f>
        <v>-4940</v>
      </c>
      <c r="T78" s="27">
        <f>X78*F78*0.0045</f>
        <v>2577.5733603300732</v>
      </c>
      <c r="U78" s="3">
        <f>E78*5</f>
        <v>650</v>
      </c>
      <c r="V78" s="19"/>
      <c r="W78" s="3"/>
      <c r="X78" s="3">
        <f>((O78*F78)+Q78+R78+S78+U78)/G78</f>
        <v>35.99083129584352</v>
      </c>
      <c r="Y78" s="3">
        <f t="shared" ref="Y78" si="112">((O78*F78)+Q78+R78+S78+T78+U78)/G78+W78</f>
        <v>36.200902474354528</v>
      </c>
      <c r="Z78" s="29">
        <f>Y78*G78</f>
        <v>444185.07336033008</v>
      </c>
      <c r="AA78" s="30">
        <v>43018</v>
      </c>
    </row>
    <row r="79" spans="1:27" s="22" customFormat="1" x14ac:dyDescent="0.25">
      <c r="A79" s="122"/>
      <c r="B79" s="17" t="s">
        <v>26</v>
      </c>
      <c r="C79" s="18" t="s">
        <v>27</v>
      </c>
      <c r="D79" s="18" t="s">
        <v>27</v>
      </c>
      <c r="E79" s="147" t="s">
        <v>789</v>
      </c>
      <c r="F79" s="20">
        <v>18500</v>
      </c>
      <c r="G79" s="21">
        <v>18500</v>
      </c>
      <c r="H79" s="21">
        <f>G79-F79</f>
        <v>0</v>
      </c>
      <c r="I79" s="22" t="s">
        <v>790</v>
      </c>
      <c r="J79" s="147" t="s">
        <v>791</v>
      </c>
      <c r="K79" s="24">
        <v>43005</v>
      </c>
      <c r="L79" s="24">
        <v>43006</v>
      </c>
      <c r="M79" s="18" t="s">
        <v>47</v>
      </c>
      <c r="N79" s="18" t="s">
        <v>787</v>
      </c>
      <c r="O79" s="3"/>
      <c r="P79" s="25">
        <v>0.67049999999999998</v>
      </c>
      <c r="Q79" s="148">
        <v>23000</v>
      </c>
      <c r="R79" s="3">
        <v>9500</v>
      </c>
      <c r="S79" s="51">
        <v>18.100000000000001</v>
      </c>
      <c r="T79" s="149">
        <f>X79*F79*0.005</f>
        <v>2637.3500642750005</v>
      </c>
      <c r="V79" s="3"/>
      <c r="W79" s="3">
        <v>0.3</v>
      </c>
      <c r="X79" s="3">
        <f>IF(O79&gt;0,O79,((P79*2.2046*S79)+(Q79+R79)/G79)+V79)</f>
        <v>28.511892586756762</v>
      </c>
      <c r="Y79" s="150">
        <f>IF(O79&gt;0,O79,((P79*2.2046*S79)+(Q79+R79+T79)/G79)+V79+W79)</f>
        <v>28.954452049690545</v>
      </c>
      <c r="Z79" s="29">
        <f>Y79*F79</f>
        <v>535657.36291927507</v>
      </c>
      <c r="AA79" s="151" t="s">
        <v>789</v>
      </c>
    </row>
    <row r="80" spans="1:27" s="22" customFormat="1" x14ac:dyDescent="0.25">
      <c r="A80" s="122"/>
      <c r="B80" s="17" t="s">
        <v>26</v>
      </c>
      <c r="C80" s="18" t="s">
        <v>33</v>
      </c>
      <c r="D80" s="18" t="s">
        <v>33</v>
      </c>
      <c r="E80" s="19" t="s">
        <v>34</v>
      </c>
      <c r="F80" s="20">
        <f>42069*0.4536</f>
        <v>19082.4984</v>
      </c>
      <c r="G80" s="21">
        <v>19022.810000000001</v>
      </c>
      <c r="H80" s="21">
        <f>G80-F80</f>
        <v>-59.688399999999092</v>
      </c>
      <c r="I80" s="22" t="s">
        <v>792</v>
      </c>
      <c r="J80" s="23" t="s">
        <v>39</v>
      </c>
      <c r="K80" s="24">
        <v>43005</v>
      </c>
      <c r="L80" s="24">
        <v>43006</v>
      </c>
      <c r="M80" s="18" t="s">
        <v>47</v>
      </c>
      <c r="N80" s="18" t="s">
        <v>793</v>
      </c>
      <c r="O80" s="3"/>
      <c r="P80" s="25">
        <f>0.5441+0.105</f>
        <v>0.64910000000000001</v>
      </c>
      <c r="Q80" s="26">
        <v>23000</v>
      </c>
      <c r="R80" s="3">
        <v>9400</v>
      </c>
      <c r="S80" s="51">
        <v>17.739999999999998</v>
      </c>
      <c r="T80" s="27">
        <f>X80*F80*0.005</f>
        <v>2596.1035268472128</v>
      </c>
      <c r="V80" s="3">
        <v>0.12</v>
      </c>
      <c r="W80" s="3">
        <v>0.3</v>
      </c>
      <c r="X80" s="3">
        <f t="shared" ref="X80" si="113">IF(O80&gt;0,O80,((P80*2.2046*S80)+(Q80+R80)/G80)+V80)</f>
        <v>27.209262355784741</v>
      </c>
      <c r="Y80" s="3">
        <f t="shared" ref="Y80" si="114">IF(O80&gt;0,O80,((P80*2.2046*S80)+(Q80+R80+T80)/G80)+V80+W80)</f>
        <v>27.645735543859857</v>
      </c>
      <c r="Z80" s="29">
        <f t="shared" ref="Z80" si="115">Y80*F80</f>
        <v>527549.70428252884</v>
      </c>
      <c r="AA80" s="30">
        <v>42999</v>
      </c>
    </row>
    <row r="81" spans="1:27" s="22" customFormat="1" x14ac:dyDescent="0.25">
      <c r="A81" s="122"/>
      <c r="B81" s="17" t="s">
        <v>41</v>
      </c>
      <c r="C81" s="19" t="s">
        <v>42</v>
      </c>
      <c r="D81" s="18" t="s">
        <v>53</v>
      </c>
      <c r="E81" s="19">
        <f>229</f>
        <v>229</v>
      </c>
      <c r="F81" s="20">
        <f>27465</f>
        <v>27465</v>
      </c>
      <c r="G81" s="21">
        <f>18760</f>
        <v>18760</v>
      </c>
      <c r="H81" s="21">
        <f t="shared" ref="H81:H82" si="116">G81-F81</f>
        <v>-8705</v>
      </c>
      <c r="I81" s="22" t="s">
        <v>794</v>
      </c>
      <c r="J81" s="19">
        <v>200</v>
      </c>
      <c r="K81" s="24"/>
      <c r="L81" s="24">
        <v>43006</v>
      </c>
      <c r="M81" s="18" t="s">
        <v>47</v>
      </c>
      <c r="N81" s="19"/>
      <c r="O81" s="3">
        <v>26.5</v>
      </c>
      <c r="P81" s="31"/>
      <c r="Q81" s="33">
        <f>19800</f>
        <v>19800</v>
      </c>
      <c r="R81" s="3">
        <f t="shared" ref="R81:R82" si="117">65*E81</f>
        <v>14885</v>
      </c>
      <c r="S81" s="27">
        <f t="shared" ref="S81:S82" si="118">-38*E81</f>
        <v>-8702</v>
      </c>
      <c r="T81" s="27">
        <f t="shared" ref="T81:T82" si="119">X81*F81*0.0045</f>
        <v>4973.6790869536244</v>
      </c>
      <c r="U81" s="3">
        <f t="shared" ref="U81:U82" si="120">E81*5</f>
        <v>1145</v>
      </c>
      <c r="V81" s="19"/>
      <c r="W81" s="3">
        <v>0.3</v>
      </c>
      <c r="X81" s="3">
        <f t="shared" ref="X81:X82" si="121">((O81*F81)+Q81+R81+S81+U81)/G81</f>
        <v>40.242563965884862</v>
      </c>
      <c r="Y81" s="3">
        <f t="shared" ref="Y81:Y82" si="122">((O81*F81)+Q81+R81+S81+T81+U81)/G81+W81</f>
        <v>40.80768545239625</v>
      </c>
      <c r="Z81" s="29">
        <f t="shared" ref="Z81:Z82" si="123">Y81*G81</f>
        <v>765552.17908695363</v>
      </c>
      <c r="AA81" s="30">
        <v>43019</v>
      </c>
    </row>
    <row r="82" spans="1:27" s="22" customFormat="1" x14ac:dyDescent="0.25">
      <c r="A82" s="122"/>
      <c r="B82" s="17" t="s">
        <v>41</v>
      </c>
      <c r="C82" s="19" t="s">
        <v>42</v>
      </c>
      <c r="D82" s="18" t="s">
        <v>43</v>
      </c>
      <c r="E82" s="19">
        <v>100</v>
      </c>
      <c r="F82" s="20">
        <v>12010</v>
      </c>
      <c r="G82" s="21">
        <v>12200</v>
      </c>
      <c r="H82" s="21">
        <f t="shared" si="116"/>
        <v>190</v>
      </c>
      <c r="I82" s="22" t="s">
        <v>795</v>
      </c>
      <c r="J82" s="19">
        <v>129</v>
      </c>
      <c r="K82" s="24"/>
      <c r="L82" s="24">
        <v>43006</v>
      </c>
      <c r="M82" s="18" t="s">
        <v>47</v>
      </c>
      <c r="N82" s="19"/>
      <c r="O82" s="3">
        <v>26.5</v>
      </c>
      <c r="P82" s="31"/>
      <c r="Q82" s="26">
        <v>15700</v>
      </c>
      <c r="R82" s="3">
        <f t="shared" si="117"/>
        <v>6500</v>
      </c>
      <c r="S82" s="27">
        <f t="shared" si="118"/>
        <v>-3800</v>
      </c>
      <c r="T82" s="27">
        <f t="shared" si="119"/>
        <v>1493.61331352459</v>
      </c>
      <c r="U82" s="3">
        <f t="shared" si="120"/>
        <v>500</v>
      </c>
      <c r="V82" s="19"/>
      <c r="W82" s="3">
        <v>0.3</v>
      </c>
      <c r="X82" s="3">
        <f t="shared" si="121"/>
        <v>27.636475409836066</v>
      </c>
      <c r="Y82" s="3">
        <f t="shared" si="122"/>
        <v>28.058902730616769</v>
      </c>
      <c r="Z82" s="29">
        <f t="shared" si="123"/>
        <v>342318.61331352458</v>
      </c>
      <c r="AA82" s="30">
        <v>43019</v>
      </c>
    </row>
    <row r="83" spans="1:27" s="22" customFormat="1" x14ac:dyDescent="0.25">
      <c r="A83" s="122"/>
      <c r="B83" s="17" t="s">
        <v>26</v>
      </c>
      <c r="C83" s="18" t="s">
        <v>27</v>
      </c>
      <c r="D83" s="18" t="s">
        <v>27</v>
      </c>
      <c r="E83" s="19" t="s">
        <v>28</v>
      </c>
      <c r="F83" s="20">
        <f>41305.5*0.4536</f>
        <v>18736.174800000001</v>
      </c>
      <c r="G83" s="21">
        <v>18672.88</v>
      </c>
      <c r="H83" s="21">
        <f>G83-F83</f>
        <v>-63.294799999999668</v>
      </c>
      <c r="I83" s="22" t="s">
        <v>796</v>
      </c>
      <c r="J83" s="23" t="s">
        <v>30</v>
      </c>
      <c r="K83" s="24">
        <v>43006</v>
      </c>
      <c r="L83" s="24">
        <v>43007</v>
      </c>
      <c r="M83" s="18" t="s">
        <v>49</v>
      </c>
      <c r="N83" s="18" t="s">
        <v>797</v>
      </c>
      <c r="O83" s="3"/>
      <c r="P83" s="25">
        <f>0.5441+0.095</f>
        <v>0.6391</v>
      </c>
      <c r="Q83" s="26">
        <v>23000</v>
      </c>
      <c r="R83" s="152">
        <v>9400</v>
      </c>
      <c r="S83" s="51">
        <v>18.614999999999998</v>
      </c>
      <c r="T83" s="27">
        <f>X83*F83*0.005</f>
        <v>2630.8329141615427</v>
      </c>
      <c r="V83" s="3">
        <v>0.12</v>
      </c>
      <c r="W83" s="3">
        <v>0.3</v>
      </c>
      <c r="X83" s="3">
        <f t="shared" ref="X83:X84" si="124">IF(O83&gt;0,O83,((P83*2.2046*S83)+(Q83+R83)/G83)+V83)</f>
        <v>28.082924526958855</v>
      </c>
      <c r="Y83" s="3">
        <f t="shared" ref="Y83:Y84" si="125">IF(O83&gt;0,O83,((P83*2.2046*S83)+(Q83+R83+T83)/G83)+V83+W83)</f>
        <v>28.523815108066941</v>
      </c>
      <c r="Z83" s="29">
        <f t="shared" ref="Z83:Z84" si="126">Y83*F83</f>
        <v>534427.18582762312</v>
      </c>
      <c r="AA83" s="30">
        <v>43018</v>
      </c>
    </row>
    <row r="84" spans="1:27" s="22" customFormat="1" x14ac:dyDescent="0.25">
      <c r="A84" s="122"/>
      <c r="B84" s="17" t="s">
        <v>26</v>
      </c>
      <c r="C84" s="18" t="s">
        <v>33</v>
      </c>
      <c r="D84" s="18" t="s">
        <v>33</v>
      </c>
      <c r="E84" s="19" t="s">
        <v>34</v>
      </c>
      <c r="F84" s="20">
        <f>42609*0.4536</f>
        <v>19327.4424</v>
      </c>
      <c r="G84" s="21">
        <v>19235.97</v>
      </c>
      <c r="H84" s="21">
        <f t="shared" ref="H84:H87" si="127">G84-F84</f>
        <v>-91.472399999998743</v>
      </c>
      <c r="I84" s="22" t="s">
        <v>798</v>
      </c>
      <c r="J84" s="23" t="s">
        <v>30</v>
      </c>
      <c r="K84" s="24">
        <v>43006</v>
      </c>
      <c r="L84" s="24">
        <v>43007</v>
      </c>
      <c r="M84" s="18" t="s">
        <v>49</v>
      </c>
      <c r="N84" s="18" t="s">
        <v>799</v>
      </c>
      <c r="O84" s="3"/>
      <c r="P84" s="25">
        <f>0.5607+0.105</f>
        <v>0.66569999999999996</v>
      </c>
      <c r="Q84" s="26">
        <v>23000</v>
      </c>
      <c r="R84" s="3">
        <v>9400</v>
      </c>
      <c r="S84" s="51">
        <v>17.709</v>
      </c>
      <c r="T84" s="27">
        <f t="shared" ref="T84" si="128">X84*F84*0.005</f>
        <v>2685.9455130093907</v>
      </c>
      <c r="V84" s="3">
        <v>0.12</v>
      </c>
      <c r="W84" s="3">
        <v>0.3</v>
      </c>
      <c r="X84" s="3">
        <f t="shared" si="124"/>
        <v>27.794112199857242</v>
      </c>
      <c r="Y84" s="3">
        <f t="shared" si="125"/>
        <v>28.233743604616627</v>
      </c>
      <c r="Z84" s="29">
        <f t="shared" si="126"/>
        <v>545686.05325459619</v>
      </c>
      <c r="AA84" s="30">
        <v>43000</v>
      </c>
    </row>
    <row r="85" spans="1:27" s="22" customFormat="1" x14ac:dyDescent="0.25">
      <c r="A85" s="122"/>
      <c r="B85" s="17" t="s">
        <v>41</v>
      </c>
      <c r="C85" s="19" t="s">
        <v>42</v>
      </c>
      <c r="D85" s="18" t="s">
        <v>228</v>
      </c>
      <c r="E85" s="19">
        <f>230</f>
        <v>230</v>
      </c>
      <c r="F85" s="20">
        <f>26080</f>
        <v>26080</v>
      </c>
      <c r="G85" s="21">
        <f>18090</f>
        <v>18090</v>
      </c>
      <c r="H85" s="21">
        <f t="shared" si="127"/>
        <v>-7990</v>
      </c>
      <c r="I85" s="22" t="s">
        <v>800</v>
      </c>
      <c r="J85" s="19">
        <v>200</v>
      </c>
      <c r="K85" s="24"/>
      <c r="L85" s="24">
        <v>43007</v>
      </c>
      <c r="M85" s="18" t="s">
        <v>49</v>
      </c>
      <c r="N85" s="19"/>
      <c r="O85" s="3">
        <v>26.5</v>
      </c>
      <c r="P85" s="31"/>
      <c r="Q85" s="26">
        <f>19800</f>
        <v>19800</v>
      </c>
      <c r="R85" s="3">
        <f t="shared" ref="R85:R86" si="129">65*E85</f>
        <v>14950</v>
      </c>
      <c r="S85" s="27">
        <f t="shared" ref="S85:S86" si="130">-38*E85</f>
        <v>-8740</v>
      </c>
      <c r="T85" s="27">
        <f>X85*F85*0.0045</f>
        <v>4659.8861691542288</v>
      </c>
      <c r="U85" s="3">
        <f>E85*5</f>
        <v>1150</v>
      </c>
      <c r="V85" s="19"/>
      <c r="W85" s="3">
        <v>0.3</v>
      </c>
      <c r="X85" s="3">
        <f>((O85*F85)+Q85+R85+S85+U85)/G85</f>
        <v>39.705914870093977</v>
      </c>
      <c r="Y85" s="3">
        <f t="shared" ref="Y85:Y86" si="131">((O85*F85)+Q85+R85+S85+T85+U85)/G85+W85</f>
        <v>40.263509462087015</v>
      </c>
      <c r="Z85" s="29">
        <f t="shared" ref="Z85:Z86" si="132">Y85*G85</f>
        <v>728366.88616915408</v>
      </c>
      <c r="AA85" s="30">
        <v>43020</v>
      </c>
    </row>
    <row r="86" spans="1:27" s="22" customFormat="1" x14ac:dyDescent="0.25">
      <c r="A86" s="122"/>
      <c r="B86" s="17" t="s">
        <v>41</v>
      </c>
      <c r="C86" s="19" t="s">
        <v>42</v>
      </c>
      <c r="D86" s="18" t="s">
        <v>45</v>
      </c>
      <c r="E86" s="19">
        <v>100</v>
      </c>
      <c r="F86" s="20">
        <v>11770</v>
      </c>
      <c r="G86" s="21">
        <v>11060</v>
      </c>
      <c r="H86" s="21">
        <f t="shared" si="127"/>
        <v>-710</v>
      </c>
      <c r="I86" s="18" t="s">
        <v>801</v>
      </c>
      <c r="J86" s="19">
        <v>130</v>
      </c>
      <c r="K86" s="24"/>
      <c r="L86" s="24">
        <v>43007</v>
      </c>
      <c r="M86" s="18" t="s">
        <v>49</v>
      </c>
      <c r="N86" s="19"/>
      <c r="O86" s="3">
        <v>26.5</v>
      </c>
      <c r="P86" s="31"/>
      <c r="Q86" s="26">
        <v>15700</v>
      </c>
      <c r="R86" s="3">
        <f t="shared" si="129"/>
        <v>6500</v>
      </c>
      <c r="S86" s="27">
        <f t="shared" si="130"/>
        <v>-3800</v>
      </c>
      <c r="T86" s="27">
        <f>X86*F86*0.0045</f>
        <v>1584.185065551537</v>
      </c>
      <c r="U86" s="3">
        <f>E86*5</f>
        <v>500</v>
      </c>
      <c r="V86" s="19"/>
      <c r="W86" s="3">
        <v>0.3</v>
      </c>
      <c r="X86" s="3">
        <f>((O86*F86)+Q86+R86+S86+U86)/G86</f>
        <v>29.910036166365281</v>
      </c>
      <c r="Y86" s="3">
        <f t="shared" si="131"/>
        <v>30.353271705746071</v>
      </c>
      <c r="Z86" s="29">
        <f t="shared" si="132"/>
        <v>335707.18506555154</v>
      </c>
      <c r="AA86" s="30">
        <v>43020</v>
      </c>
    </row>
    <row r="87" spans="1:27" s="22" customFormat="1" x14ac:dyDescent="0.25">
      <c r="A87" s="122"/>
      <c r="B87" s="17" t="s">
        <v>439</v>
      </c>
      <c r="C87" s="19" t="s">
        <v>440</v>
      </c>
      <c r="D87" s="18" t="s">
        <v>596</v>
      </c>
      <c r="E87" s="19" t="s">
        <v>802</v>
      </c>
      <c r="F87" s="20">
        <f>250.43+317.15</f>
        <v>567.57999999999993</v>
      </c>
      <c r="G87" s="21">
        <v>567.58000000000004</v>
      </c>
      <c r="H87" s="21">
        <f t="shared" si="127"/>
        <v>0</v>
      </c>
      <c r="I87" s="18" t="s">
        <v>803</v>
      </c>
      <c r="J87" s="19"/>
      <c r="K87" s="24"/>
      <c r="L87" s="24">
        <v>43007</v>
      </c>
      <c r="M87" s="18" t="s">
        <v>49</v>
      </c>
      <c r="N87" s="19"/>
      <c r="O87" s="3">
        <v>31</v>
      </c>
      <c r="P87" s="31"/>
      <c r="Q87" s="3"/>
      <c r="R87" s="3"/>
      <c r="S87" s="27"/>
      <c r="T87" s="27"/>
      <c r="U87" s="3"/>
      <c r="V87" s="19"/>
      <c r="W87" s="3"/>
      <c r="X87" s="3">
        <f t="shared" ref="X87" si="133">IF(O87&gt;0,O87,((P87*2.2046*S87)+(Q87+R87)/G87)+V87)</f>
        <v>31</v>
      </c>
      <c r="Y87" s="3">
        <f t="shared" ref="Y87" si="134">IF(O87&gt;0,O87,((P87*2.2046*S87)+(Q87+R87+T87)/G87)+V87+W87)</f>
        <v>31</v>
      </c>
      <c r="Z87" s="29">
        <f t="shared" ref="Z87" si="135">Y87*F87</f>
        <v>17594.979999999996</v>
      </c>
      <c r="AA87" s="30">
        <v>43014</v>
      </c>
    </row>
    <row r="88" spans="1:27" s="22" customFormat="1" ht="15.75" thickBot="1" x14ac:dyDescent="0.3">
      <c r="A88" s="124"/>
      <c r="B88" s="34"/>
      <c r="C88" s="6"/>
      <c r="D88" s="6"/>
      <c r="E88" s="6"/>
      <c r="F88" s="35"/>
      <c r="G88" s="35"/>
      <c r="H88" s="35"/>
      <c r="I88" s="9"/>
      <c r="J88" s="6"/>
      <c r="K88" s="10"/>
      <c r="L88" s="10"/>
      <c r="M88" s="6"/>
      <c r="N88" s="6"/>
      <c r="O88" s="11"/>
      <c r="P88" s="12"/>
      <c r="Q88" s="11"/>
      <c r="R88" s="11"/>
      <c r="S88" s="11"/>
      <c r="T88" s="11"/>
      <c r="U88" s="11"/>
      <c r="V88" s="11"/>
      <c r="W88" s="11"/>
      <c r="X88" s="11"/>
      <c r="Y88" s="11"/>
      <c r="Z88" s="15"/>
      <c r="AA88" s="36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92"/>
  <sheetViews>
    <sheetView topLeftCell="D1" workbookViewId="0">
      <selection activeCell="Q7" sqref="Q7"/>
    </sheetView>
  </sheetViews>
  <sheetFormatPr baseColWidth="10" defaultRowHeight="15" x14ac:dyDescent="0.25"/>
  <cols>
    <col min="1" max="1" width="3.28515625" customWidth="1"/>
    <col min="2" max="2" width="16.28515625" customWidth="1"/>
    <col min="4" max="4" width="20.140625" customWidth="1"/>
    <col min="5" max="5" width="11.140625" customWidth="1"/>
    <col min="6" max="6" width="12.28515625" customWidth="1"/>
    <col min="7" max="7" width="12.140625" customWidth="1"/>
    <col min="8" max="8" width="10.85546875" customWidth="1"/>
    <col min="10" max="11" width="0" hidden="1" customWidth="1"/>
    <col min="13" max="13" width="3.42578125" customWidth="1"/>
    <col min="14" max="14" width="7.140625" customWidth="1"/>
    <col min="15" max="21" width="11.42578125" customWidth="1"/>
    <col min="22" max="22" width="7.42578125" customWidth="1"/>
    <col min="23" max="23" width="8.28515625" bestFit="1" customWidth="1"/>
    <col min="24" max="24" width="14.7109375" bestFit="1" customWidth="1"/>
    <col min="26" max="26" width="16.140625" customWidth="1"/>
  </cols>
  <sheetData>
    <row r="2" spans="1:27" x14ac:dyDescent="0.25">
      <c r="A2" s="1" t="s">
        <v>804</v>
      </c>
      <c r="S2" s="2"/>
      <c r="W2" s="3"/>
      <c r="Z2" s="4"/>
    </row>
    <row r="3" spans="1:27" ht="30.75" thickBot="1" x14ac:dyDescent="0.3">
      <c r="A3" s="5"/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 t="s">
        <v>7</v>
      </c>
      <c r="I3" s="9" t="s">
        <v>8</v>
      </c>
      <c r="J3" s="6" t="s">
        <v>9</v>
      </c>
      <c r="K3" s="10" t="s">
        <v>10</v>
      </c>
      <c r="L3" s="10" t="s">
        <v>11</v>
      </c>
      <c r="M3" s="6" t="s">
        <v>12</v>
      </c>
      <c r="N3" s="6" t="s">
        <v>13</v>
      </c>
      <c r="O3" s="11" t="s">
        <v>14</v>
      </c>
      <c r="P3" s="12" t="s">
        <v>15</v>
      </c>
      <c r="Q3" s="11" t="s">
        <v>16</v>
      </c>
      <c r="R3" s="13" t="s">
        <v>17</v>
      </c>
      <c r="S3" s="13" t="s">
        <v>18</v>
      </c>
      <c r="T3" s="14" t="s">
        <v>19</v>
      </c>
      <c r="U3" s="11" t="s">
        <v>20</v>
      </c>
      <c r="V3" s="11" t="s">
        <v>21</v>
      </c>
      <c r="W3" s="14" t="s">
        <v>22</v>
      </c>
      <c r="X3" s="11" t="s">
        <v>23</v>
      </c>
      <c r="Y3" s="11" t="s">
        <v>24</v>
      </c>
      <c r="Z3" s="15" t="s">
        <v>25</v>
      </c>
      <c r="AA3" s="11"/>
    </row>
    <row r="4" spans="1:27" s="22" customFormat="1" x14ac:dyDescent="0.25">
      <c r="A4" s="120"/>
      <c r="B4" s="38" t="s">
        <v>41</v>
      </c>
      <c r="C4" s="38" t="s">
        <v>42</v>
      </c>
      <c r="D4" s="39" t="s">
        <v>43</v>
      </c>
      <c r="E4" s="38">
        <f>230</f>
        <v>230</v>
      </c>
      <c r="F4" s="40">
        <f>25845</f>
        <v>25845</v>
      </c>
      <c r="G4" s="41">
        <f>17900</f>
        <v>17900</v>
      </c>
      <c r="H4" s="21">
        <f t="shared" ref="H4:H6" si="0">G4-F4</f>
        <v>-7945</v>
      </c>
      <c r="I4" s="39" t="s">
        <v>805</v>
      </c>
      <c r="J4" s="38"/>
      <c r="K4" s="42"/>
      <c r="L4" s="42">
        <v>43009</v>
      </c>
      <c r="M4" s="39" t="s">
        <v>57</v>
      </c>
      <c r="N4" s="38"/>
      <c r="O4" s="43">
        <v>26</v>
      </c>
      <c r="P4" s="44"/>
      <c r="Q4" s="45">
        <f>19800</f>
        <v>19800</v>
      </c>
      <c r="R4" s="43">
        <f t="shared" ref="R4:R6" si="1">65*E4</f>
        <v>14950</v>
      </c>
      <c r="S4" s="153">
        <f t="shared" ref="S4:S6" si="2">-38*E4</f>
        <v>-8740</v>
      </c>
      <c r="T4" s="46">
        <f>X4*F4*0.0045</f>
        <v>4542.4897667597761</v>
      </c>
      <c r="U4" s="43">
        <f>E4*5</f>
        <v>1150</v>
      </c>
      <c r="V4" s="38"/>
      <c r="W4" s="43">
        <v>0.3</v>
      </c>
      <c r="X4" s="43">
        <f>((O4*F4)+Q4+R4+S4+U4)/G4</f>
        <v>39.05754189944134</v>
      </c>
      <c r="Y4" s="47">
        <f t="shared" ref="Y4:Y6" si="3">((O4*F4)+Q4+R4+S4+T4+U4)/G4+W4</f>
        <v>39.611312277472614</v>
      </c>
      <c r="Z4" s="47">
        <f>Y4*G4</f>
        <v>709042.4897667598</v>
      </c>
      <c r="AA4" s="48">
        <v>43024</v>
      </c>
    </row>
    <row r="5" spans="1:27" s="22" customFormat="1" x14ac:dyDescent="0.25">
      <c r="A5" s="122"/>
      <c r="B5" s="17" t="s">
        <v>41</v>
      </c>
      <c r="C5" s="19" t="s">
        <v>42</v>
      </c>
      <c r="D5" s="18" t="s">
        <v>228</v>
      </c>
      <c r="E5" s="19">
        <v>99</v>
      </c>
      <c r="F5" s="20">
        <v>11320</v>
      </c>
      <c r="G5" s="21">
        <v>11540</v>
      </c>
      <c r="H5" s="21">
        <f t="shared" si="0"/>
        <v>220</v>
      </c>
      <c r="I5" s="18" t="s">
        <v>806</v>
      </c>
      <c r="J5" s="19"/>
      <c r="K5" s="24"/>
      <c r="L5" s="24">
        <v>43009</v>
      </c>
      <c r="M5" s="18" t="s">
        <v>57</v>
      </c>
      <c r="N5" s="19"/>
      <c r="O5" s="3">
        <v>26</v>
      </c>
      <c r="P5" s="31"/>
      <c r="Q5" s="26">
        <v>15700</v>
      </c>
      <c r="R5" s="3">
        <f t="shared" si="1"/>
        <v>6435</v>
      </c>
      <c r="S5" s="32">
        <f t="shared" si="2"/>
        <v>-3762</v>
      </c>
      <c r="T5" s="27">
        <f>X5*F5*0.0045</f>
        <v>1382.4780519930675</v>
      </c>
      <c r="U5" s="3">
        <f>E5*5</f>
        <v>495</v>
      </c>
      <c r="V5" s="19"/>
      <c r="W5" s="3">
        <v>0.3</v>
      </c>
      <c r="X5" s="3">
        <f>((O5*F5)+Q5+R5+S5+U5)/G5</f>
        <v>27.139341421143847</v>
      </c>
      <c r="Y5" s="3">
        <f t="shared" si="3"/>
        <v>27.559140212477736</v>
      </c>
      <c r="Z5" s="29">
        <f>Y5*G5</f>
        <v>318032.47805199306</v>
      </c>
      <c r="AA5" s="30">
        <v>43024</v>
      </c>
    </row>
    <row r="6" spans="1:27" s="22" customFormat="1" x14ac:dyDescent="0.25">
      <c r="A6" s="122"/>
      <c r="B6" s="17" t="s">
        <v>41</v>
      </c>
      <c r="C6" s="19" t="s">
        <v>42</v>
      </c>
      <c r="D6" s="18" t="s">
        <v>45</v>
      </c>
      <c r="E6" s="19">
        <v>230</v>
      </c>
      <c r="F6" s="20">
        <v>25290</v>
      </c>
      <c r="G6" s="21">
        <f>12820+6910</f>
        <v>19730</v>
      </c>
      <c r="H6" s="21">
        <f t="shared" si="0"/>
        <v>-5560</v>
      </c>
      <c r="I6" s="18" t="s">
        <v>807</v>
      </c>
      <c r="J6" s="19"/>
      <c r="K6" s="24"/>
      <c r="L6" s="24">
        <v>43010</v>
      </c>
      <c r="M6" s="18" t="s">
        <v>60</v>
      </c>
      <c r="N6" s="19"/>
      <c r="O6" s="3">
        <v>26</v>
      </c>
      <c r="P6" s="31"/>
      <c r="Q6" s="26">
        <v>19800</v>
      </c>
      <c r="R6" s="3">
        <f t="shared" si="1"/>
        <v>14950</v>
      </c>
      <c r="S6" s="27">
        <f t="shared" si="2"/>
        <v>-8740</v>
      </c>
      <c r="T6" s="27">
        <f>X6*F6*0.0045</f>
        <v>3949.4315002534208</v>
      </c>
      <c r="U6" s="3">
        <f>E6*5</f>
        <v>1150</v>
      </c>
      <c r="V6" s="19"/>
      <c r="W6" s="3">
        <v>0.3</v>
      </c>
      <c r="X6" s="3">
        <f>((O6*F6)+Q6+R6+S6+U6)/G6</f>
        <v>34.703497212366955</v>
      </c>
      <c r="Y6" s="3">
        <f t="shared" si="3"/>
        <v>35.203671135339754</v>
      </c>
      <c r="Z6" s="29">
        <f>Y6*G6</f>
        <v>694568.43150025338</v>
      </c>
      <c r="AA6" s="30">
        <v>43024</v>
      </c>
    </row>
    <row r="7" spans="1:27" s="22" customFormat="1" x14ac:dyDescent="0.25">
      <c r="A7" s="122"/>
      <c r="B7" s="17" t="s">
        <v>26</v>
      </c>
      <c r="C7" s="18" t="s">
        <v>27</v>
      </c>
      <c r="D7" s="18" t="s">
        <v>27</v>
      </c>
      <c r="E7" s="19" t="s">
        <v>28</v>
      </c>
      <c r="F7" s="20">
        <f>41283*0.4536</f>
        <v>18725.968799999999</v>
      </c>
      <c r="G7" s="21">
        <v>18634.28</v>
      </c>
      <c r="H7" s="21">
        <f>G7-F7</f>
        <v>-91.688799999999901</v>
      </c>
      <c r="I7" s="22" t="s">
        <v>808</v>
      </c>
      <c r="J7" s="23" t="s">
        <v>30</v>
      </c>
      <c r="K7" s="24">
        <v>43011</v>
      </c>
      <c r="L7" s="24">
        <v>43012</v>
      </c>
      <c r="M7" s="18" t="s">
        <v>31</v>
      </c>
      <c r="N7" s="18" t="s">
        <v>809</v>
      </c>
      <c r="O7" s="3"/>
      <c r="P7" s="25">
        <f>0.5876+0.095</f>
        <v>0.68259999999999998</v>
      </c>
      <c r="Q7" s="26">
        <v>23000</v>
      </c>
      <c r="R7" s="152">
        <v>9400</v>
      </c>
      <c r="S7" s="51">
        <v>18.777000000000001</v>
      </c>
      <c r="T7" s="27">
        <f>X7*F7*0.005</f>
        <v>2819.7082985683428</v>
      </c>
      <c r="V7" s="3">
        <v>0.12</v>
      </c>
      <c r="W7" s="3">
        <v>0.3</v>
      </c>
      <c r="X7" s="3">
        <f>IF(O7&gt;0,O7,((P7*2.2046*S7)+(Q7+R7)/G7)+V7)</f>
        <v>30.115486452891481</v>
      </c>
      <c r="Y7" s="3">
        <f t="shared" ref="Y7:Y8" si="4">IF(O7&gt;0,O7,((P7*2.2046*S7)+(Q7+R7+T7)/G7)+V7+W7)</f>
        <v>30.566804791918713</v>
      </c>
      <c r="Z7" s="29">
        <f>Y7*F7</f>
        <v>572393.03284916026</v>
      </c>
      <c r="AA7" s="30">
        <v>43021</v>
      </c>
    </row>
    <row r="8" spans="1:27" s="22" customFormat="1" x14ac:dyDescent="0.25">
      <c r="A8" s="122"/>
      <c r="B8" s="17" t="s">
        <v>26</v>
      </c>
      <c r="C8" s="18" t="s">
        <v>37</v>
      </c>
      <c r="D8" s="18" t="s">
        <v>37</v>
      </c>
      <c r="E8" s="19" t="s">
        <v>28</v>
      </c>
      <c r="F8" s="20">
        <f>41037*0.4536</f>
        <v>18614.3832</v>
      </c>
      <c r="G8" s="21">
        <v>18496.86</v>
      </c>
      <c r="H8" s="21">
        <f>G8-F8</f>
        <v>-117.52319999999963</v>
      </c>
      <c r="I8" s="144" t="s">
        <v>810</v>
      </c>
      <c r="J8" s="23" t="s">
        <v>30</v>
      </c>
      <c r="K8" s="24">
        <v>43011</v>
      </c>
      <c r="L8" s="24">
        <v>43012</v>
      </c>
      <c r="M8" s="18" t="s">
        <v>31</v>
      </c>
      <c r="N8" s="18" t="s">
        <v>811</v>
      </c>
      <c r="O8" s="3"/>
      <c r="P8" s="25">
        <f>0.565+0.095</f>
        <v>0.65999999999999992</v>
      </c>
      <c r="Q8" s="26">
        <v>23000</v>
      </c>
      <c r="R8" s="3">
        <v>9400</v>
      </c>
      <c r="S8" s="51">
        <v>17.77</v>
      </c>
      <c r="T8" s="27">
        <f>X8*F8*0.005</f>
        <v>2580.6644300146431</v>
      </c>
      <c r="V8" s="3">
        <v>0.12</v>
      </c>
      <c r="W8" s="3">
        <v>0.3</v>
      </c>
      <c r="X8" s="3">
        <f t="shared" ref="X8" si="5">IF(O8&gt;0,O8,((P8*2.2046*S8)+(Q8+R8)/G8)+V8)</f>
        <v>27.727638378204691</v>
      </c>
      <c r="Y8" s="3">
        <f t="shared" si="4"/>
        <v>28.167157433331596</v>
      </c>
      <c r="Z8" s="29">
        <f t="shared" ref="Z8" si="6">Y8*F8</f>
        <v>524314.26211876282</v>
      </c>
      <c r="AA8" s="30">
        <v>43004</v>
      </c>
    </row>
    <row r="9" spans="1:27" s="22" customFormat="1" x14ac:dyDescent="0.25">
      <c r="A9" s="122"/>
      <c r="B9" s="17" t="s">
        <v>41</v>
      </c>
      <c r="C9" s="19" t="s">
        <v>42</v>
      </c>
      <c r="D9" s="18" t="s">
        <v>812</v>
      </c>
      <c r="E9" s="19">
        <f>258+3</f>
        <v>261</v>
      </c>
      <c r="F9" s="20">
        <f>29680+325</f>
        <v>30005</v>
      </c>
      <c r="G9" s="21">
        <f>17010+6380</f>
        <v>23390</v>
      </c>
      <c r="H9" s="21">
        <f>G9-F9</f>
        <v>-6615</v>
      </c>
      <c r="I9" s="18" t="s">
        <v>813</v>
      </c>
      <c r="J9" s="19"/>
      <c r="K9" s="24"/>
      <c r="L9" s="24">
        <v>43011</v>
      </c>
      <c r="M9" s="18" t="s">
        <v>62</v>
      </c>
      <c r="N9" s="19"/>
      <c r="O9" s="3">
        <v>26</v>
      </c>
      <c r="P9" s="31"/>
      <c r="Q9" s="33">
        <v>19800</v>
      </c>
      <c r="R9" s="3">
        <f>65*E9</f>
        <v>16965</v>
      </c>
      <c r="S9" s="27">
        <f>-38*E9</f>
        <v>-9918</v>
      </c>
      <c r="T9" s="27">
        <f t="shared" ref="T9" si="7">X9*F9*0.005</f>
        <v>5184.3739653698158</v>
      </c>
      <c r="U9" s="3">
        <f>E9*5</f>
        <v>1305</v>
      </c>
      <c r="V9" s="19"/>
      <c r="W9" s="3">
        <v>0.3</v>
      </c>
      <c r="X9" s="3">
        <f>((O9*F9)+Q9+R9+S9+U9)/G9</f>
        <v>34.55673364685763</v>
      </c>
      <c r="Y9" s="3">
        <f>((O9*F9)+Q9+R9+S9+T9+U9)/G9+W9</f>
        <v>35.078382811687462</v>
      </c>
      <c r="Z9" s="29">
        <f>Y9*G9</f>
        <v>820483.37396536977</v>
      </c>
      <c r="AA9" s="30">
        <v>43024</v>
      </c>
    </row>
    <row r="10" spans="1:27" s="22" customFormat="1" x14ac:dyDescent="0.25">
      <c r="A10" s="122"/>
      <c r="B10" s="17" t="s">
        <v>26</v>
      </c>
      <c r="C10" s="18" t="s">
        <v>37</v>
      </c>
      <c r="D10" s="18" t="s">
        <v>37</v>
      </c>
      <c r="E10" s="19" t="s">
        <v>28</v>
      </c>
      <c r="F10" s="20">
        <f>41711*0.4536</f>
        <v>18920.1096</v>
      </c>
      <c r="G10" s="21">
        <v>18894.669999999998</v>
      </c>
      <c r="H10" s="21">
        <f>G10-F10</f>
        <v>-25.439600000001519</v>
      </c>
      <c r="I10" s="144" t="s">
        <v>814</v>
      </c>
      <c r="J10" s="23" t="s">
        <v>30</v>
      </c>
      <c r="K10" s="24">
        <v>43011</v>
      </c>
      <c r="L10" s="24">
        <v>43012</v>
      </c>
      <c r="M10" s="18" t="s">
        <v>31</v>
      </c>
      <c r="N10" s="18" t="s">
        <v>809</v>
      </c>
      <c r="O10" s="3"/>
      <c r="P10" s="25">
        <f>0.5879+0.095</f>
        <v>0.68289999999999995</v>
      </c>
      <c r="Q10" s="26">
        <v>23000</v>
      </c>
      <c r="R10" s="3">
        <v>9400</v>
      </c>
      <c r="S10" s="51">
        <v>18.149999999999999</v>
      </c>
      <c r="T10" s="27">
        <f>X10*F10*0.005</f>
        <v>2758.5502407680392</v>
      </c>
      <c r="V10" s="3">
        <v>0.12</v>
      </c>
      <c r="W10" s="3">
        <v>0.3</v>
      </c>
      <c r="X10" s="3">
        <f t="shared" ref="X10" si="8">IF(O10&gt;0,O10,((P10*2.2046*S10)+(Q10+R10)/G10)+V10)</f>
        <v>29.15998161837328</v>
      </c>
      <c r="Y10" s="3">
        <f t="shared" ref="Y10" si="9">IF(O10&gt;0,O10,((P10*2.2046*S10)+(Q10+R10+T10)/G10)+V10+W10)</f>
        <v>29.605977830043983</v>
      </c>
      <c r="Z10" s="29">
        <f t="shared" ref="Z10" si="10">Y10*F10</f>
        <v>560148.34535960236</v>
      </c>
      <c r="AA10" s="30">
        <v>43005</v>
      </c>
    </row>
    <row r="11" spans="1:27" s="22" customFormat="1" x14ac:dyDescent="0.25">
      <c r="A11" s="122"/>
      <c r="B11" s="17" t="s">
        <v>41</v>
      </c>
      <c r="C11" s="19" t="s">
        <v>42</v>
      </c>
      <c r="D11" s="18" t="s">
        <v>53</v>
      </c>
      <c r="E11" s="19">
        <v>220</v>
      </c>
      <c r="F11" s="20">
        <v>23800</v>
      </c>
      <c r="G11" s="21">
        <f>12560+5920</f>
        <v>18480</v>
      </c>
      <c r="H11" s="21">
        <f t="shared" ref="H11" si="11">G11-F11</f>
        <v>-5320</v>
      </c>
      <c r="I11" s="22" t="s">
        <v>815</v>
      </c>
      <c r="J11" s="19"/>
      <c r="K11" s="24"/>
      <c r="L11" s="24">
        <v>43012</v>
      </c>
      <c r="M11" s="18" t="s">
        <v>31</v>
      </c>
      <c r="N11" s="19"/>
      <c r="O11" s="3">
        <v>26</v>
      </c>
      <c r="P11" s="31"/>
      <c r="Q11" s="26">
        <v>19800</v>
      </c>
      <c r="R11" s="3">
        <f>65*E11</f>
        <v>14300</v>
      </c>
      <c r="S11" s="27">
        <f>-38*E11</f>
        <v>-8360</v>
      </c>
      <c r="T11" s="27">
        <f>X11*F11*0.0045</f>
        <v>3741.7772727272727</v>
      </c>
      <c r="U11" s="3">
        <f>E11*5</f>
        <v>1100</v>
      </c>
      <c r="V11" s="19"/>
      <c r="W11" s="3">
        <v>0.3</v>
      </c>
      <c r="X11" s="3">
        <f>((O11*F11)+Q11+R11+S11+U11)/G11</f>
        <v>34.937229437229441</v>
      </c>
      <c r="Y11" s="3">
        <f t="shared" ref="Y11" si="12">((O11*F11)+Q11+R11+S11+T11+U11)/G11+W11</f>
        <v>35.439706562377012</v>
      </c>
      <c r="Z11" s="29">
        <f>Y11*G11</f>
        <v>654925.77727272722</v>
      </c>
      <c r="AA11" s="30">
        <v>43025</v>
      </c>
    </row>
    <row r="12" spans="1:27" s="22" customFormat="1" x14ac:dyDescent="0.25">
      <c r="A12" s="122"/>
      <c r="B12" s="17" t="s">
        <v>26</v>
      </c>
      <c r="C12" s="18" t="s">
        <v>33</v>
      </c>
      <c r="D12" s="18" t="s">
        <v>33</v>
      </c>
      <c r="E12" s="19" t="s">
        <v>34</v>
      </c>
      <c r="F12" s="20">
        <f>42321*0.4536</f>
        <v>19196.8056</v>
      </c>
      <c r="G12" s="21">
        <v>19137.86</v>
      </c>
      <c r="H12" s="21">
        <f>G12-F12</f>
        <v>-58.945599999999104</v>
      </c>
      <c r="I12" s="22" t="s">
        <v>816</v>
      </c>
      <c r="J12" s="23" t="s">
        <v>39</v>
      </c>
      <c r="K12" s="24">
        <v>43012</v>
      </c>
      <c r="L12" s="24">
        <v>43013</v>
      </c>
      <c r="M12" s="18" t="s">
        <v>47</v>
      </c>
      <c r="N12" s="18" t="s">
        <v>817</v>
      </c>
      <c r="O12" s="3"/>
      <c r="P12" s="25">
        <f>0.583+0.105</f>
        <v>0.68799999999999994</v>
      </c>
      <c r="Q12" s="26">
        <v>23000</v>
      </c>
      <c r="R12" s="3">
        <v>9400</v>
      </c>
      <c r="S12" s="51">
        <v>18.193000000000001</v>
      </c>
      <c r="T12" s="27">
        <f>X12*F12*0.005</f>
        <v>2822.6485049787593</v>
      </c>
      <c r="V12" s="3">
        <v>0.12</v>
      </c>
      <c r="W12" s="3">
        <v>0.3</v>
      </c>
      <c r="X12" s="3">
        <f t="shared" ref="X12" si="13">IF(O12&gt;0,O12,((P12*2.2046*S12)+(Q12+R12)/G12)+V12)</f>
        <v>29.407481263223911</v>
      </c>
      <c r="Y12" s="3">
        <f t="shared" ref="Y12" si="14">IF(O12&gt;0,O12,((P12*2.2046*S12)+(Q12+R12+T12)/G12)+V12+W12)</f>
        <v>29.854971552366941</v>
      </c>
      <c r="Z12" s="29">
        <f t="shared" ref="Z12" si="15">Y12*F12</f>
        <v>573120.08508431842</v>
      </c>
      <c r="AA12" s="30">
        <v>43006</v>
      </c>
    </row>
    <row r="13" spans="1:27" s="22" customFormat="1" x14ac:dyDescent="0.25">
      <c r="A13" s="122"/>
      <c r="B13" s="17" t="s">
        <v>41</v>
      </c>
      <c r="C13" s="19" t="s">
        <v>42</v>
      </c>
      <c r="D13" s="18" t="s">
        <v>45</v>
      </c>
      <c r="E13" s="19">
        <f>230</f>
        <v>230</v>
      </c>
      <c r="F13" s="20">
        <f>26440</f>
        <v>26440</v>
      </c>
      <c r="G13" s="21">
        <f>17640</f>
        <v>17640</v>
      </c>
      <c r="H13" s="21">
        <f t="shared" ref="H13:H14" si="16">G13-F13</f>
        <v>-8800</v>
      </c>
      <c r="I13" s="22" t="s">
        <v>818</v>
      </c>
      <c r="J13" s="19"/>
      <c r="K13" s="24"/>
      <c r="L13" s="24">
        <v>43013</v>
      </c>
      <c r="M13" s="18" t="s">
        <v>47</v>
      </c>
      <c r="N13" s="19"/>
      <c r="O13" s="3">
        <v>25.5</v>
      </c>
      <c r="P13" s="31"/>
      <c r="Q13" s="33">
        <f>19800</f>
        <v>19800</v>
      </c>
      <c r="R13" s="3">
        <f t="shared" ref="R13:R14" si="17">65*E13</f>
        <v>14950</v>
      </c>
      <c r="S13" s="27">
        <f t="shared" ref="S13:S14" si="18">-38*E13</f>
        <v>-8740</v>
      </c>
      <c r="T13" s="27">
        <f t="shared" ref="T13:T14" si="19">X13*F13*0.0045</f>
        <v>4730.7365306122438</v>
      </c>
      <c r="U13" s="3">
        <f t="shared" ref="U13:U14" si="20">E13*5</f>
        <v>1150</v>
      </c>
      <c r="V13" s="19"/>
      <c r="W13" s="3">
        <v>0.3</v>
      </c>
      <c r="X13" s="3">
        <f t="shared" ref="X13:X14" si="21">((O13*F13)+Q13+R13+S13+U13)/G13</f>
        <v>39.760770975056687</v>
      </c>
      <c r="Y13" s="3">
        <f t="shared" ref="Y13:Y14" si="22">((O13*F13)+Q13+R13+S13+T13+U13)/G13+W13</f>
        <v>40.328953318061913</v>
      </c>
      <c r="Z13" s="29">
        <f t="shared" ref="Z13:Z14" si="23">Y13*G13</f>
        <v>711402.73653061211</v>
      </c>
      <c r="AA13" s="30">
        <v>43026</v>
      </c>
    </row>
    <row r="14" spans="1:27" s="22" customFormat="1" x14ac:dyDescent="0.25">
      <c r="A14" s="122"/>
      <c r="B14" s="17" t="s">
        <v>41</v>
      </c>
      <c r="C14" s="19" t="s">
        <v>42</v>
      </c>
      <c r="D14" s="18" t="s">
        <v>228</v>
      </c>
      <c r="E14" s="19">
        <v>100</v>
      </c>
      <c r="F14" s="20">
        <v>11015</v>
      </c>
      <c r="G14" s="21">
        <v>11410</v>
      </c>
      <c r="H14" s="21">
        <f t="shared" si="16"/>
        <v>395</v>
      </c>
      <c r="I14" s="22" t="s">
        <v>819</v>
      </c>
      <c r="J14" s="19"/>
      <c r="K14" s="24"/>
      <c r="L14" s="24">
        <v>43013</v>
      </c>
      <c r="M14" s="18" t="s">
        <v>47</v>
      </c>
      <c r="N14" s="19"/>
      <c r="O14" s="3">
        <v>25.5</v>
      </c>
      <c r="P14" s="31"/>
      <c r="Q14" s="26">
        <v>15700</v>
      </c>
      <c r="R14" s="3">
        <f t="shared" si="17"/>
        <v>6500</v>
      </c>
      <c r="S14" s="27">
        <f t="shared" si="18"/>
        <v>-3800</v>
      </c>
      <c r="T14" s="27">
        <f t="shared" si="19"/>
        <v>1302.3198132120947</v>
      </c>
      <c r="U14" s="3">
        <f t="shared" si="20"/>
        <v>500</v>
      </c>
      <c r="V14" s="19"/>
      <c r="W14" s="3">
        <v>0.3</v>
      </c>
      <c r="X14" s="3">
        <f t="shared" si="21"/>
        <v>26.273663453111308</v>
      </c>
      <c r="Y14" s="3">
        <f t="shared" si="22"/>
        <v>26.687801911762673</v>
      </c>
      <c r="Z14" s="29">
        <f t="shared" si="23"/>
        <v>304507.81981321209</v>
      </c>
      <c r="AA14" s="30">
        <v>43026</v>
      </c>
    </row>
    <row r="15" spans="1:27" s="22" customFormat="1" x14ac:dyDescent="0.25">
      <c r="A15" s="122"/>
      <c r="B15" s="17" t="s">
        <v>26</v>
      </c>
      <c r="C15" s="18" t="s">
        <v>33</v>
      </c>
      <c r="D15" s="18" t="s">
        <v>33</v>
      </c>
      <c r="E15" s="19" t="s">
        <v>34</v>
      </c>
      <c r="F15" s="20">
        <f>42257*0.4536</f>
        <v>19167.7752</v>
      </c>
      <c r="G15" s="21">
        <v>19133.27</v>
      </c>
      <c r="H15" s="21">
        <f>G15-F15</f>
        <v>-34.505199999999604</v>
      </c>
      <c r="I15" s="22" t="s">
        <v>820</v>
      </c>
      <c r="J15" s="23" t="s">
        <v>30</v>
      </c>
      <c r="K15" s="24">
        <v>43013</v>
      </c>
      <c r="L15" s="24">
        <v>43014</v>
      </c>
      <c r="M15" s="18" t="s">
        <v>98</v>
      </c>
      <c r="N15" s="18" t="s">
        <v>821</v>
      </c>
      <c r="O15" s="3"/>
      <c r="P15" s="25">
        <f>0.5918+0.105</f>
        <v>0.69679999999999997</v>
      </c>
      <c r="Q15" s="26">
        <v>23000</v>
      </c>
      <c r="R15" s="3">
        <v>9400</v>
      </c>
      <c r="S15" s="51">
        <v>18.242999999999999</v>
      </c>
      <c r="T15" s="27">
        <f t="shared" ref="T15:T16" si="24">X15*F15*0.005</f>
        <v>2859.6067042363825</v>
      </c>
      <c r="V15" s="3">
        <v>0.12</v>
      </c>
      <c r="W15" s="3">
        <v>0.3</v>
      </c>
      <c r="X15" s="3">
        <f>IF(O15&gt;0,O15,((P15*2.2046*S15)+(Q15+R15)/G15)+V15)</f>
        <v>29.837648599263439</v>
      </c>
      <c r="Y15" s="3">
        <f>IF(O15&gt;0,O15,((P15*2.2046*S15)+(Q15+R15+T15)/G15)+V15+W15)</f>
        <v>30.287105890371357</v>
      </c>
      <c r="Z15" s="29">
        <f>Y15*F15</f>
        <v>580536.43716523401</v>
      </c>
      <c r="AA15" s="30">
        <v>43010</v>
      </c>
    </row>
    <row r="16" spans="1:27" s="22" customFormat="1" x14ac:dyDescent="0.25">
      <c r="A16" s="122"/>
      <c r="B16" s="17" t="s">
        <v>26</v>
      </c>
      <c r="C16" s="18" t="s">
        <v>33</v>
      </c>
      <c r="D16" s="18" t="s">
        <v>33</v>
      </c>
      <c r="E16" s="19" t="s">
        <v>34</v>
      </c>
      <c r="F16" s="20">
        <f>42362*0.4536</f>
        <v>19215.403200000001</v>
      </c>
      <c r="G16" s="21">
        <v>19135.580000000002</v>
      </c>
      <c r="H16" s="21">
        <f>G16-F16</f>
        <v>-79.823199999998906</v>
      </c>
      <c r="I16" s="22" t="s">
        <v>822</v>
      </c>
      <c r="J16" s="23" t="s">
        <v>30</v>
      </c>
      <c r="K16" s="24">
        <v>43013</v>
      </c>
      <c r="L16" s="24">
        <v>43014</v>
      </c>
      <c r="M16" s="18" t="s">
        <v>49</v>
      </c>
      <c r="N16" s="18" t="s">
        <v>823</v>
      </c>
      <c r="O16" s="3"/>
      <c r="P16" s="25">
        <f>0.5897+0.105</f>
        <v>0.69469999999999998</v>
      </c>
      <c r="Q16" s="26">
        <v>23000</v>
      </c>
      <c r="R16" s="3">
        <v>9400</v>
      </c>
      <c r="S16" s="51">
        <v>18.178000000000001</v>
      </c>
      <c r="T16" s="27">
        <f t="shared" si="24"/>
        <v>2849.013594613145</v>
      </c>
      <c r="V16" s="3">
        <v>0.12</v>
      </c>
      <c r="W16" s="3">
        <v>0.3</v>
      </c>
      <c r="X16" s="3">
        <f>IF(O16&gt;0,O16,((P16*2.2046*S16)+(Q16+R16)/G16)+V16)</f>
        <v>29.653435475276886</v>
      </c>
      <c r="Y16" s="3">
        <f>IF(O16&gt;0,O16,((P16*2.2046*S16)+(Q16+R16+T16)/G16)+V16+W16)</f>
        <v>30.10232114242746</v>
      </c>
      <c r="Z16" s="29">
        <f>Y16*F16</f>
        <v>578428.23800762824</v>
      </c>
      <c r="AA16" s="30">
        <v>43007</v>
      </c>
    </row>
    <row r="17" spans="1:27" s="22" customFormat="1" x14ac:dyDescent="0.25">
      <c r="A17" s="122"/>
      <c r="B17" s="17" t="s">
        <v>41</v>
      </c>
      <c r="C17" s="19" t="s">
        <v>42</v>
      </c>
      <c r="D17" s="18" t="s">
        <v>824</v>
      </c>
      <c r="E17" s="19">
        <f>200</f>
        <v>200</v>
      </c>
      <c r="F17" s="20">
        <f>22810</f>
        <v>22810</v>
      </c>
      <c r="G17" s="21">
        <f>17990</f>
        <v>17990</v>
      </c>
      <c r="H17" s="21">
        <f t="shared" ref="H17:H18" si="25">G17-F17</f>
        <v>-4820</v>
      </c>
      <c r="I17" s="22" t="s">
        <v>825</v>
      </c>
      <c r="J17" s="19"/>
      <c r="K17" s="24"/>
      <c r="L17" s="24">
        <v>43014</v>
      </c>
      <c r="M17" s="18" t="s">
        <v>49</v>
      </c>
      <c r="N17" s="19"/>
      <c r="O17" s="3">
        <v>25.5</v>
      </c>
      <c r="P17" s="31"/>
      <c r="Q17" s="26">
        <f>19800</f>
        <v>19800</v>
      </c>
      <c r="R17" s="3">
        <f t="shared" ref="R17:R18" si="26">65*E17</f>
        <v>13000</v>
      </c>
      <c r="S17" s="27">
        <f t="shared" ref="S17:S18" si="27">-38*E17</f>
        <v>-7600</v>
      </c>
      <c r="T17" s="27">
        <f>X17*F17*0.0045</f>
        <v>3468.2199263479711</v>
      </c>
      <c r="U17" s="3">
        <f>E17*5</f>
        <v>1000</v>
      </c>
      <c r="V17" s="19"/>
      <c r="W17" s="3">
        <v>0.3</v>
      </c>
      <c r="X17" s="3">
        <f>((O17*F17)+Q17+R17+S17+U17)/G17</f>
        <v>33.788493607559758</v>
      </c>
      <c r="Y17" s="3">
        <f t="shared" ref="Y17:Y18" si="28">((O17*F17)+Q17+R17+S17+T17+U17)/G17+W17</f>
        <v>34.2812795956836</v>
      </c>
      <c r="Z17" s="29">
        <f t="shared" ref="Z17:Z18" si="29">Y17*G17</f>
        <v>616720.21992634796</v>
      </c>
      <c r="AA17" s="30">
        <v>43027</v>
      </c>
    </row>
    <row r="18" spans="1:27" s="22" customFormat="1" x14ac:dyDescent="0.25">
      <c r="A18" s="122"/>
      <c r="B18" s="17" t="s">
        <v>41</v>
      </c>
      <c r="C18" s="19" t="s">
        <v>42</v>
      </c>
      <c r="D18" s="18" t="s">
        <v>58</v>
      </c>
      <c r="E18" s="19">
        <v>130</v>
      </c>
      <c r="F18" s="20">
        <v>13700</v>
      </c>
      <c r="G18" s="21">
        <v>10410</v>
      </c>
      <c r="H18" s="21">
        <f t="shared" si="25"/>
        <v>-3290</v>
      </c>
      <c r="I18" s="18" t="s">
        <v>826</v>
      </c>
      <c r="J18" s="19"/>
      <c r="K18" s="24"/>
      <c r="L18" s="24">
        <v>43014</v>
      </c>
      <c r="M18" s="18" t="s">
        <v>49</v>
      </c>
      <c r="N18" s="19"/>
      <c r="O18" s="3">
        <v>25.5</v>
      </c>
      <c r="P18" s="31"/>
      <c r="Q18" s="26">
        <v>15700</v>
      </c>
      <c r="R18" s="3">
        <f t="shared" si="26"/>
        <v>8450</v>
      </c>
      <c r="S18" s="27">
        <f t="shared" si="27"/>
        <v>-4940</v>
      </c>
      <c r="T18" s="27">
        <f>X18*F18*0.0045</f>
        <v>2186.5318443804035</v>
      </c>
      <c r="U18" s="3">
        <f>E18*5</f>
        <v>650</v>
      </c>
      <c r="V18" s="19"/>
      <c r="W18" s="3">
        <v>0.3</v>
      </c>
      <c r="X18" s="3">
        <f>((O18*F18)+Q18+R18+S18+U18)/G18</f>
        <v>35.466858789625363</v>
      </c>
      <c r="Y18" s="3">
        <f t="shared" si="28"/>
        <v>35.976900273235387</v>
      </c>
      <c r="Z18" s="29">
        <f t="shared" si="29"/>
        <v>374519.53184438037</v>
      </c>
      <c r="AA18" s="30">
        <v>43027</v>
      </c>
    </row>
    <row r="19" spans="1:27" s="22" customFormat="1" x14ac:dyDescent="0.25">
      <c r="A19" s="122"/>
      <c r="B19" s="17" t="s">
        <v>26</v>
      </c>
      <c r="C19" s="18" t="s">
        <v>27</v>
      </c>
      <c r="D19" s="18" t="s">
        <v>27</v>
      </c>
      <c r="E19" s="19" t="s">
        <v>28</v>
      </c>
      <c r="F19" s="20">
        <f>41122*0.4536</f>
        <v>18652.939200000001</v>
      </c>
      <c r="G19" s="21">
        <v>18531.560000000001</v>
      </c>
      <c r="H19" s="21">
        <f>G19-F19</f>
        <v>-121.3791999999994</v>
      </c>
      <c r="I19" s="22" t="s">
        <v>827</v>
      </c>
      <c r="J19" s="23" t="s">
        <v>30</v>
      </c>
      <c r="K19" s="24">
        <v>43014</v>
      </c>
      <c r="L19" s="24">
        <v>43015</v>
      </c>
      <c r="M19" s="18" t="s">
        <v>98</v>
      </c>
      <c r="N19" s="18" t="s">
        <v>828</v>
      </c>
      <c r="O19" s="3"/>
      <c r="P19" s="25">
        <f>0.583+0.095</f>
        <v>0.67799999999999994</v>
      </c>
      <c r="Q19" s="26">
        <v>23000</v>
      </c>
      <c r="R19" s="152">
        <v>9400</v>
      </c>
      <c r="S19" s="51">
        <v>19.084</v>
      </c>
      <c r="T19" s="27">
        <f>X19*F19*0.005</f>
        <v>2834.648214307198</v>
      </c>
      <c r="V19" s="3">
        <v>0.12</v>
      </c>
      <c r="W19" s="3">
        <v>0.3</v>
      </c>
      <c r="X19" s="3">
        <f t="shared" ref="X19" si="30">IF(O19&gt;0,O19,((P19*2.2046*S19)+(Q19+R19)/G19)+V19)</f>
        <v>30.393582308006426</v>
      </c>
      <c r="Y19" s="3">
        <f t="shared" ref="Y19" si="31">IF(O19&gt;0,O19,((P19*2.2046*S19)+(Q19+R19+T19)/G19)+V19+W19)</f>
        <v>30.846545588718207</v>
      </c>
      <c r="Z19" s="29">
        <f t="shared" ref="Z19" si="32">Y19*F19</f>
        <v>575378.73939638899</v>
      </c>
      <c r="AA19" s="30">
        <v>43025</v>
      </c>
    </row>
    <row r="20" spans="1:27" s="22" customFormat="1" ht="15.75" thickBot="1" x14ac:dyDescent="0.3">
      <c r="A20" s="124"/>
      <c r="B20" s="34"/>
      <c r="C20" s="6"/>
      <c r="D20" s="6"/>
      <c r="E20" s="6"/>
      <c r="F20" s="35"/>
      <c r="G20" s="35"/>
      <c r="H20" s="35"/>
      <c r="I20" s="9"/>
      <c r="J20" s="6"/>
      <c r="K20" s="10"/>
      <c r="L20" s="10"/>
      <c r="M20" s="6"/>
      <c r="N20" s="6"/>
      <c r="O20" s="11"/>
      <c r="P20" s="12"/>
      <c r="Q20" s="11"/>
      <c r="R20" s="11"/>
      <c r="S20" s="11"/>
      <c r="T20" s="11"/>
      <c r="U20" s="11"/>
      <c r="V20" s="11"/>
      <c r="W20" s="11"/>
      <c r="X20" s="11"/>
      <c r="Y20" s="11"/>
      <c r="Z20" s="15"/>
      <c r="AA20" s="36"/>
    </row>
    <row r="21" spans="1:27" s="22" customFormat="1" x14ac:dyDescent="0.25">
      <c r="A21" s="154"/>
      <c r="B21" s="38" t="s">
        <v>41</v>
      </c>
      <c r="C21" s="38" t="s">
        <v>42</v>
      </c>
      <c r="D21" s="39" t="s">
        <v>336</v>
      </c>
      <c r="E21" s="38">
        <v>200</v>
      </c>
      <c r="F21" s="40">
        <v>25880</v>
      </c>
      <c r="G21" s="41">
        <v>20660</v>
      </c>
      <c r="H21" s="21">
        <f t="shared" ref="H21:H29" si="33">G21-F21</f>
        <v>-5220</v>
      </c>
      <c r="I21" s="39" t="s">
        <v>829</v>
      </c>
      <c r="J21" s="38"/>
      <c r="K21" s="42"/>
      <c r="L21" s="42">
        <v>43016</v>
      </c>
      <c r="M21" s="39" t="s">
        <v>57</v>
      </c>
      <c r="N21" s="38"/>
      <c r="O21" s="43">
        <v>25.5</v>
      </c>
      <c r="P21" s="44"/>
      <c r="Q21" s="45">
        <v>19800</v>
      </c>
      <c r="R21" s="43">
        <f t="shared" ref="R21:R22" si="34">65*E21</f>
        <v>13000</v>
      </c>
      <c r="S21" s="43">
        <f t="shared" ref="S21:S22" si="35">-38*E21</f>
        <v>-7600</v>
      </c>
      <c r="T21" s="46">
        <f>X21*F21*0.0045</f>
        <v>3867.7572313649566</v>
      </c>
      <c r="U21" s="43">
        <f>E21*5</f>
        <v>1000</v>
      </c>
      <c r="V21" s="38"/>
      <c r="W21" s="43">
        <v>0.3</v>
      </c>
      <c r="X21" s="43">
        <f>((O21*F21)+Q21+R21+S21+U21)/G21</f>
        <v>33.211035818005811</v>
      </c>
      <c r="Y21" s="47">
        <f t="shared" ref="Y21:Y22" si="36">((O21*F21)+Q21+R21+S21+T21+U21)/G21+W21</f>
        <v>33.698245751760162</v>
      </c>
      <c r="Z21" s="47">
        <f>Y21*G21</f>
        <v>696205.75723136496</v>
      </c>
      <c r="AA21" s="48">
        <v>43031</v>
      </c>
    </row>
    <row r="22" spans="1:27" s="22" customFormat="1" x14ac:dyDescent="0.25">
      <c r="A22" s="155"/>
      <c r="B22" s="17" t="s">
        <v>41</v>
      </c>
      <c r="C22" s="19" t="s">
        <v>42</v>
      </c>
      <c r="D22" s="18" t="s">
        <v>830</v>
      </c>
      <c r="E22" s="19">
        <f>240+20</f>
        <v>260</v>
      </c>
      <c r="F22" s="20">
        <f>28455+2215</f>
        <v>30670</v>
      </c>
      <c r="G22" s="21">
        <f>17570+6590</f>
        <v>24160</v>
      </c>
      <c r="H22" s="21">
        <f t="shared" si="33"/>
        <v>-6510</v>
      </c>
      <c r="I22" s="22" t="s">
        <v>831</v>
      </c>
      <c r="J22" s="19"/>
      <c r="K22" s="24"/>
      <c r="L22" s="24">
        <v>43017</v>
      </c>
      <c r="M22" s="18" t="s">
        <v>60</v>
      </c>
      <c r="N22" s="19"/>
      <c r="O22" s="3">
        <v>25.5</v>
      </c>
      <c r="P22" s="31"/>
      <c r="Q22" s="26">
        <v>19800</v>
      </c>
      <c r="R22" s="3">
        <f t="shared" si="34"/>
        <v>16900</v>
      </c>
      <c r="S22" s="27">
        <f t="shared" si="35"/>
        <v>-9880</v>
      </c>
      <c r="T22" s="27">
        <f>X22*F22*0.0045</f>
        <v>4628.3295974751654</v>
      </c>
      <c r="U22" s="3">
        <f>E22*5</f>
        <v>1300</v>
      </c>
      <c r="V22" s="19"/>
      <c r="W22" s="3">
        <v>0.3</v>
      </c>
      <c r="X22" s="3">
        <f>((O22*F22)+Q22+R22+S22+U22)/G22</f>
        <v>33.534975165562912</v>
      </c>
      <c r="Y22" s="3">
        <f t="shared" si="36"/>
        <v>34.026545099233239</v>
      </c>
      <c r="Z22" s="29">
        <f>Y22*G22</f>
        <v>822081.32959747501</v>
      </c>
      <c r="AA22" s="30">
        <v>43031</v>
      </c>
    </row>
    <row r="23" spans="1:27" s="22" customFormat="1" x14ac:dyDescent="0.25">
      <c r="A23" s="155"/>
      <c r="B23" s="17" t="s">
        <v>26</v>
      </c>
      <c r="C23" s="18" t="s">
        <v>27</v>
      </c>
      <c r="D23" s="18" t="s">
        <v>27</v>
      </c>
      <c r="E23" s="19" t="s">
        <v>28</v>
      </c>
      <c r="F23" s="20">
        <f>41712*0.4536</f>
        <v>18920.563200000001</v>
      </c>
      <c r="G23" s="21">
        <v>18825.66</v>
      </c>
      <c r="H23" s="21">
        <f t="shared" si="33"/>
        <v>-94.903200000000652</v>
      </c>
      <c r="I23" s="22" t="s">
        <v>832</v>
      </c>
      <c r="J23" s="59" t="s">
        <v>30</v>
      </c>
      <c r="K23" s="24">
        <v>43017</v>
      </c>
      <c r="L23" s="24">
        <v>43018</v>
      </c>
      <c r="M23" s="18" t="s">
        <v>62</v>
      </c>
      <c r="N23" s="18" t="s">
        <v>833</v>
      </c>
      <c r="O23" s="3"/>
      <c r="P23" s="25">
        <f>0.6095+0.095</f>
        <v>0.70450000000000002</v>
      </c>
      <c r="Q23" s="26">
        <v>23000</v>
      </c>
      <c r="R23" s="152">
        <v>9400</v>
      </c>
      <c r="S23" s="51">
        <v>18.975000000000001</v>
      </c>
      <c r="T23" s="27">
        <f>X23*F23*0.005</f>
        <v>2962.1939124717733</v>
      </c>
      <c r="V23" s="3">
        <v>0.12</v>
      </c>
      <c r="W23" s="3">
        <v>0.3</v>
      </c>
      <c r="X23" s="3">
        <f>IF(O23&gt;0,O23,((P23*2.2046*S23)+(Q23+R23)/G23)+V23)</f>
        <v>31.311899980564775</v>
      </c>
      <c r="Y23" s="3">
        <f t="shared" ref="Y23:Y24" si="37">IF(O23&gt;0,O23,((P23*2.2046*S23)+(Q23+R23+T23)/G23)+V23+W23)</f>
        <v>31.76924872225414</v>
      </c>
      <c r="Z23" s="29">
        <f>Y23*F23</f>
        <v>601092.07826592878</v>
      </c>
      <c r="AA23" s="30">
        <v>43028</v>
      </c>
    </row>
    <row r="24" spans="1:27" s="22" customFormat="1" x14ac:dyDescent="0.25">
      <c r="A24" s="155"/>
      <c r="B24" s="17" t="s">
        <v>26</v>
      </c>
      <c r="C24" s="18" t="s">
        <v>37</v>
      </c>
      <c r="D24" s="18" t="s">
        <v>37</v>
      </c>
      <c r="E24" s="19" t="s">
        <v>28</v>
      </c>
      <c r="F24" s="20">
        <f>41268*0.4536</f>
        <v>18719.164799999999</v>
      </c>
      <c r="G24" s="21">
        <v>18637.810000000001</v>
      </c>
      <c r="H24" s="21">
        <f t="shared" si="33"/>
        <v>-81.35479999999734</v>
      </c>
      <c r="I24" s="144" t="s">
        <v>834</v>
      </c>
      <c r="J24" s="59" t="s">
        <v>30</v>
      </c>
      <c r="K24" s="24">
        <v>43017</v>
      </c>
      <c r="L24" s="24">
        <v>43018</v>
      </c>
      <c r="M24" s="18" t="s">
        <v>62</v>
      </c>
      <c r="N24" s="18" t="s">
        <v>835</v>
      </c>
      <c r="O24" s="3"/>
      <c r="P24" s="25">
        <f>0.6083+0.095</f>
        <v>0.70329999999999993</v>
      </c>
      <c r="Q24" s="26">
        <v>23000</v>
      </c>
      <c r="R24" s="3">
        <v>9400</v>
      </c>
      <c r="S24" s="51">
        <v>18.238</v>
      </c>
      <c r="T24" s="27">
        <f>X24*F24*0.005</f>
        <v>2820.6348971298571</v>
      </c>
      <c r="V24" s="3">
        <v>0.12</v>
      </c>
      <c r="W24" s="3">
        <v>0.3</v>
      </c>
      <c r="X24" s="3">
        <f t="shared" ref="X24" si="38">IF(O24&gt;0,O24,((P24*2.2046*S24)+(Q24+R24)/G24)+V24)</f>
        <v>30.136332761276368</v>
      </c>
      <c r="Y24" s="3">
        <f t="shared" si="37"/>
        <v>30.587672156684405</v>
      </c>
      <c r="Z24" s="29">
        <f t="shared" ref="Z24" si="39">Y24*F24</f>
        <v>572575.67594934674</v>
      </c>
      <c r="AA24" s="30">
        <v>43011</v>
      </c>
    </row>
    <row r="25" spans="1:27" s="22" customFormat="1" x14ac:dyDescent="0.25">
      <c r="A25" s="155"/>
      <c r="B25" s="17" t="s">
        <v>41</v>
      </c>
      <c r="C25" s="19" t="s">
        <v>42</v>
      </c>
      <c r="D25" s="18" t="s">
        <v>43</v>
      </c>
      <c r="E25" s="19">
        <f>240+20</f>
        <v>260</v>
      </c>
      <c r="F25" s="20">
        <v>28430</v>
      </c>
      <c r="G25" s="21">
        <f>16580+6080</f>
        <v>22660</v>
      </c>
      <c r="H25" s="21">
        <f t="shared" si="33"/>
        <v>-5770</v>
      </c>
      <c r="I25" s="22" t="s">
        <v>836</v>
      </c>
      <c r="J25" s="19"/>
      <c r="K25" s="24"/>
      <c r="L25" s="24">
        <v>43018</v>
      </c>
      <c r="M25" s="18" t="s">
        <v>62</v>
      </c>
      <c r="N25" s="19"/>
      <c r="O25" s="3">
        <v>25.5</v>
      </c>
      <c r="P25" s="31"/>
      <c r="Q25" s="33">
        <v>19800</v>
      </c>
      <c r="R25" s="3">
        <f>65*E25</f>
        <v>16900</v>
      </c>
      <c r="S25" s="27">
        <f>-38*E25</f>
        <v>-9880</v>
      </c>
      <c r="T25" s="27">
        <f t="shared" ref="T25" si="40">X25*F25*0.005</f>
        <v>4724.2291593115624</v>
      </c>
      <c r="U25" s="3">
        <f>E25*5</f>
        <v>1300</v>
      </c>
      <c r="V25" s="19"/>
      <c r="W25" s="3">
        <v>0.3</v>
      </c>
      <c r="X25" s="3">
        <f>((O25*F25)+Q25+R25+S25+U25)/G25</f>
        <v>33.234112974404233</v>
      </c>
      <c r="Y25" s="3">
        <f>((O25*F25)+Q25+R25+S25+T25+U25)/G25+W25</f>
        <v>33.742596167665994</v>
      </c>
      <c r="Z25" s="29">
        <f>Y25*G25</f>
        <v>764607.22915931139</v>
      </c>
      <c r="AA25" s="30">
        <v>43031</v>
      </c>
    </row>
    <row r="26" spans="1:27" s="22" customFormat="1" x14ac:dyDescent="0.25">
      <c r="A26" s="155"/>
      <c r="B26" s="17" t="s">
        <v>837</v>
      </c>
      <c r="C26" s="19" t="s">
        <v>838</v>
      </c>
      <c r="D26" s="18" t="s">
        <v>94</v>
      </c>
      <c r="E26" s="19" t="s">
        <v>251</v>
      </c>
      <c r="F26" s="20">
        <v>100</v>
      </c>
      <c r="G26" s="21">
        <v>100</v>
      </c>
      <c r="H26" s="21">
        <f t="shared" si="33"/>
        <v>0</v>
      </c>
      <c r="I26" s="22" t="s">
        <v>839</v>
      </c>
      <c r="J26" s="19"/>
      <c r="K26" s="24"/>
      <c r="L26" s="24">
        <v>43018</v>
      </c>
      <c r="M26" s="18" t="s">
        <v>62</v>
      </c>
      <c r="N26" s="19"/>
      <c r="O26" s="3">
        <v>170</v>
      </c>
      <c r="P26" s="31"/>
      <c r="Q26" s="3"/>
      <c r="R26" s="3"/>
      <c r="S26" s="27"/>
      <c r="T26" s="27"/>
      <c r="U26" s="3"/>
      <c r="V26" s="19"/>
      <c r="W26" s="3"/>
      <c r="X26" s="3">
        <f t="shared" ref="X26:X28" si="41">IF(O26&gt;0,O26,((P26*2.2046*S26)+(Q26+R26)/G26)+V26)</f>
        <v>170</v>
      </c>
      <c r="Y26" s="3">
        <f t="shared" ref="Y26:Y28" si="42">IF(O26&gt;0,O26,((P26*2.2046*S26)+(Q26+R26+T26)/G26)+V26+W26)</f>
        <v>170</v>
      </c>
      <c r="Z26" s="29">
        <f t="shared" ref="Z26:Z28" si="43">Y26*F26</f>
        <v>17000</v>
      </c>
      <c r="AA26" s="30">
        <v>43019</v>
      </c>
    </row>
    <row r="27" spans="1:27" s="22" customFormat="1" x14ac:dyDescent="0.25">
      <c r="A27" s="155"/>
      <c r="B27" s="17" t="s">
        <v>76</v>
      </c>
      <c r="C27" s="19" t="s">
        <v>33</v>
      </c>
      <c r="D27" s="18" t="s">
        <v>77</v>
      </c>
      <c r="E27" s="19" t="s">
        <v>840</v>
      </c>
      <c r="F27" s="20">
        <f>907.2+937.1+942.1+922.1+922.1</f>
        <v>4630.6000000000004</v>
      </c>
      <c r="G27" s="21">
        <v>4630.6000000000004</v>
      </c>
      <c r="H27" s="21">
        <f t="shared" si="33"/>
        <v>0</v>
      </c>
      <c r="I27" s="22" t="s">
        <v>841</v>
      </c>
      <c r="J27" s="19"/>
      <c r="K27" s="24"/>
      <c r="L27" s="24">
        <v>43018</v>
      </c>
      <c r="M27" s="18" t="s">
        <v>62</v>
      </c>
      <c r="N27" s="19"/>
      <c r="O27" s="3">
        <v>18.5</v>
      </c>
      <c r="P27" s="31"/>
      <c r="Q27" s="3"/>
      <c r="R27" s="3"/>
      <c r="S27" s="27"/>
      <c r="T27" s="27"/>
      <c r="U27" s="3"/>
      <c r="V27" s="19"/>
      <c r="W27" s="3"/>
      <c r="X27" s="3">
        <f t="shared" si="41"/>
        <v>18.5</v>
      </c>
      <c r="Y27" s="3">
        <f t="shared" si="42"/>
        <v>18.5</v>
      </c>
      <c r="Z27" s="29">
        <f t="shared" si="43"/>
        <v>85666.1</v>
      </c>
      <c r="AA27" s="30">
        <v>43025</v>
      </c>
    </row>
    <row r="28" spans="1:27" s="22" customFormat="1" x14ac:dyDescent="0.25">
      <c r="A28" s="155"/>
      <c r="B28" s="17" t="s">
        <v>26</v>
      </c>
      <c r="C28" s="18" t="s">
        <v>37</v>
      </c>
      <c r="D28" s="18" t="s">
        <v>37</v>
      </c>
      <c r="E28" s="19" t="s">
        <v>28</v>
      </c>
      <c r="F28" s="20">
        <f>41148*0.4536</f>
        <v>18664.732800000002</v>
      </c>
      <c r="G28" s="21">
        <v>18555.95</v>
      </c>
      <c r="H28" s="21">
        <f t="shared" si="33"/>
        <v>-108.78280000000086</v>
      </c>
      <c r="I28" s="144" t="s">
        <v>842</v>
      </c>
      <c r="J28" s="59" t="s">
        <v>39</v>
      </c>
      <c r="K28" s="24">
        <v>43018</v>
      </c>
      <c r="L28" s="24">
        <v>43019</v>
      </c>
      <c r="M28" s="18" t="s">
        <v>31</v>
      </c>
      <c r="N28" s="18" t="s">
        <v>833</v>
      </c>
      <c r="O28" s="3"/>
      <c r="P28" s="25">
        <v>0.70450000000000002</v>
      </c>
      <c r="Q28" s="26">
        <v>23000</v>
      </c>
      <c r="R28" s="3">
        <v>9400</v>
      </c>
      <c r="S28" s="51">
        <v>18.239000000000001</v>
      </c>
      <c r="T28" s="27">
        <f>X28*F28*0.005</f>
        <v>2817.796409547148</v>
      </c>
      <c r="V28" s="3">
        <v>0.12</v>
      </c>
      <c r="W28" s="3">
        <v>0.3</v>
      </c>
      <c r="X28" s="3">
        <f t="shared" si="41"/>
        <v>30.193803894660071</v>
      </c>
      <c r="Y28" s="3">
        <f t="shared" si="42"/>
        <v>30.64565795815707</v>
      </c>
      <c r="Z28" s="29">
        <f t="shared" si="43"/>
        <v>571993.01726919529</v>
      </c>
      <c r="AA28" s="30">
        <v>43012</v>
      </c>
    </row>
    <row r="29" spans="1:27" s="22" customFormat="1" x14ac:dyDescent="0.25">
      <c r="A29" s="155"/>
      <c r="B29" s="17" t="s">
        <v>41</v>
      </c>
      <c r="C29" s="19" t="s">
        <v>42</v>
      </c>
      <c r="D29" s="18" t="s">
        <v>53</v>
      </c>
      <c r="E29" s="19">
        <v>258</v>
      </c>
      <c r="F29" s="20">
        <v>28290</v>
      </c>
      <c r="G29" s="21">
        <f>16060+5950</f>
        <v>22010</v>
      </c>
      <c r="H29" s="21">
        <f t="shared" si="33"/>
        <v>-6280</v>
      </c>
      <c r="I29" s="22" t="s">
        <v>843</v>
      </c>
      <c r="J29" s="19"/>
      <c r="K29" s="24"/>
      <c r="L29" s="24">
        <v>43019</v>
      </c>
      <c r="M29" s="18" t="s">
        <v>31</v>
      </c>
      <c r="N29" s="19"/>
      <c r="O29" s="3">
        <v>25</v>
      </c>
      <c r="P29" s="31"/>
      <c r="Q29" s="26">
        <v>19800</v>
      </c>
      <c r="R29" s="3">
        <f>65*E29</f>
        <v>16770</v>
      </c>
      <c r="S29" s="27">
        <f>-38*E29</f>
        <v>-9804</v>
      </c>
      <c r="T29" s="27">
        <f>X29*F29*0.0045</f>
        <v>4252.9818414357114</v>
      </c>
      <c r="U29" s="3">
        <f>E29*5</f>
        <v>1290</v>
      </c>
      <c r="V29" s="19"/>
      <c r="W29" s="3">
        <v>0.3</v>
      </c>
      <c r="X29" s="3">
        <f>((O29*F29)+Q29+R29+S29+U29)/G29</f>
        <v>33.407814629713769</v>
      </c>
      <c r="Y29" s="3">
        <f t="shared" ref="Y29" si="44">((O29*F29)+Q29+R29+S29+T29+U29)/G29+W29</f>
        <v>33.901044154540465</v>
      </c>
      <c r="Z29" s="29">
        <f>Y29*G29</f>
        <v>746161.98184143566</v>
      </c>
      <c r="AA29" s="30">
        <v>43032</v>
      </c>
    </row>
    <row r="30" spans="1:27" s="22" customFormat="1" x14ac:dyDescent="0.25">
      <c r="A30" s="155"/>
      <c r="B30" s="17" t="s">
        <v>26</v>
      </c>
      <c r="C30" s="18" t="s">
        <v>33</v>
      </c>
      <c r="D30" s="18" t="s">
        <v>33</v>
      </c>
      <c r="E30" s="19" t="s">
        <v>34</v>
      </c>
      <c r="F30" s="20">
        <f>41675*0.4536</f>
        <v>18903.78</v>
      </c>
      <c r="G30" s="21">
        <v>18835.599999999999</v>
      </c>
      <c r="H30" s="21">
        <f>G30-F30</f>
        <v>-68.180000000000291</v>
      </c>
      <c r="I30" s="22" t="s">
        <v>844</v>
      </c>
      <c r="J30" s="59" t="s">
        <v>30</v>
      </c>
      <c r="K30" s="24">
        <v>43019</v>
      </c>
      <c r="L30" s="24">
        <v>43020</v>
      </c>
      <c r="M30" s="18" t="s">
        <v>47</v>
      </c>
      <c r="N30" s="18" t="s">
        <v>845</v>
      </c>
      <c r="O30" s="3"/>
      <c r="P30" s="25">
        <f>0.6187+0.105</f>
        <v>0.72370000000000001</v>
      </c>
      <c r="Q30" s="26">
        <v>23000</v>
      </c>
      <c r="R30" s="3">
        <v>9400</v>
      </c>
      <c r="S30" s="51">
        <v>18.251000000000001</v>
      </c>
      <c r="T30" s="27">
        <f>X30*F30*0.005</f>
        <v>2926.2155438431982</v>
      </c>
      <c r="V30" s="3">
        <v>0.12</v>
      </c>
      <c r="W30" s="3">
        <v>0.3</v>
      </c>
      <c r="X30" s="3">
        <f t="shared" ref="X30" si="45">IF(O30&gt;0,O30,((P30*2.2046*S30)+(Q30+R30)/G30)+V30)</f>
        <v>30.95905203978462</v>
      </c>
      <c r="Y30" s="3">
        <f t="shared" ref="Y30" si="46">IF(O30&gt;0,O30,((P30*2.2046*S30)+(Q30+R30+T30)/G30)+V30+W30)</f>
        <v>31.414407618786257</v>
      </c>
      <c r="Z30" s="29">
        <f t="shared" ref="Z30" si="47">Y30*F30</f>
        <v>593851.05045585928</v>
      </c>
      <c r="AA30" s="30">
        <v>43013</v>
      </c>
    </row>
    <row r="31" spans="1:27" s="22" customFormat="1" x14ac:dyDescent="0.25">
      <c r="A31" s="155"/>
      <c r="B31" s="17" t="s">
        <v>41</v>
      </c>
      <c r="C31" s="19" t="s">
        <v>42</v>
      </c>
      <c r="D31" s="18" t="s">
        <v>336</v>
      </c>
      <c r="E31" s="19">
        <f>199</f>
        <v>199</v>
      </c>
      <c r="F31" s="20">
        <f>23155</f>
        <v>23155</v>
      </c>
      <c r="G31" s="21">
        <f>17790</f>
        <v>17790</v>
      </c>
      <c r="H31" s="21">
        <f t="shared" ref="H31:H32" si="48">G31-F31</f>
        <v>-5365</v>
      </c>
      <c r="I31" s="22" t="s">
        <v>846</v>
      </c>
      <c r="J31" s="19">
        <v>200</v>
      </c>
      <c r="K31" s="24"/>
      <c r="L31" s="24">
        <v>43020</v>
      </c>
      <c r="M31" s="18" t="s">
        <v>47</v>
      </c>
      <c r="N31" s="19"/>
      <c r="O31" s="3">
        <v>25</v>
      </c>
      <c r="P31" s="31"/>
      <c r="Q31" s="33">
        <f>19800</f>
        <v>19800</v>
      </c>
      <c r="R31" s="3">
        <f t="shared" ref="R31:R32" si="49">65*E31</f>
        <v>12935</v>
      </c>
      <c r="S31" s="27">
        <f t="shared" ref="S31:S32" si="50">-38*E31</f>
        <v>-7562</v>
      </c>
      <c r="T31" s="27">
        <f t="shared" ref="T31:T32" si="51">X31*F31*0.0045</f>
        <v>3543.7868461214161</v>
      </c>
      <c r="U31" s="3">
        <f t="shared" ref="U31:U32" si="52">E31*5</f>
        <v>995</v>
      </c>
      <c r="V31" s="19"/>
      <c r="W31" s="3">
        <v>0.3</v>
      </c>
      <c r="X31" s="3">
        <f t="shared" ref="X31:X32" si="53">((O31*F31)+Q31+R31+S31+U31)/G31</f>
        <v>34.010286677908937</v>
      </c>
      <c r="Y31" s="3">
        <f t="shared" ref="Y31:Y32" si="54">((O31*F31)+Q31+R31+S31+T31+U31)/G31+W31</f>
        <v>34.509487737274952</v>
      </c>
      <c r="Z31" s="29">
        <f t="shared" ref="Z31:Z32" si="55">Y31*G31</f>
        <v>613923.78684612142</v>
      </c>
      <c r="AA31" s="30">
        <v>43033</v>
      </c>
    </row>
    <row r="32" spans="1:27" s="22" customFormat="1" x14ac:dyDescent="0.25">
      <c r="A32" s="155"/>
      <c r="B32" s="17" t="s">
        <v>41</v>
      </c>
      <c r="C32" s="19" t="s">
        <v>42</v>
      </c>
      <c r="D32" s="18" t="s">
        <v>43</v>
      </c>
      <c r="E32" s="19">
        <v>129</v>
      </c>
      <c r="F32" s="20">
        <v>14080</v>
      </c>
      <c r="G32" s="21">
        <v>11270</v>
      </c>
      <c r="H32" s="21">
        <f t="shared" si="48"/>
        <v>-2810</v>
      </c>
      <c r="I32" s="22" t="s">
        <v>847</v>
      </c>
      <c r="J32" s="19">
        <v>128</v>
      </c>
      <c r="K32" s="24"/>
      <c r="L32" s="24">
        <v>43020</v>
      </c>
      <c r="M32" s="18" t="s">
        <v>47</v>
      </c>
      <c r="N32" s="19"/>
      <c r="O32" s="3">
        <v>25</v>
      </c>
      <c r="P32" s="31"/>
      <c r="Q32" s="26">
        <v>15700</v>
      </c>
      <c r="R32" s="3">
        <f t="shared" si="49"/>
        <v>8385</v>
      </c>
      <c r="S32" s="27">
        <f t="shared" si="50"/>
        <v>-4902</v>
      </c>
      <c r="T32" s="27">
        <f t="shared" si="51"/>
        <v>2090.4189955634429</v>
      </c>
      <c r="U32" s="3">
        <f t="shared" si="52"/>
        <v>645</v>
      </c>
      <c r="V32" s="19"/>
      <c r="W32" s="3">
        <v>0.3</v>
      </c>
      <c r="X32" s="3">
        <f t="shared" si="53"/>
        <v>32.992724046140196</v>
      </c>
      <c r="Y32" s="3">
        <f t="shared" si="54"/>
        <v>33.478209316376521</v>
      </c>
      <c r="Z32" s="29">
        <f t="shared" si="55"/>
        <v>377299.41899556341</v>
      </c>
      <c r="AA32" s="30">
        <v>43033</v>
      </c>
    </row>
    <row r="33" spans="1:27" s="22" customFormat="1" x14ac:dyDescent="0.25">
      <c r="A33" s="155"/>
      <c r="B33" s="17" t="s">
        <v>26</v>
      </c>
      <c r="C33" s="18" t="s">
        <v>27</v>
      </c>
      <c r="D33" s="18" t="s">
        <v>27</v>
      </c>
      <c r="E33" s="19" t="s">
        <v>28</v>
      </c>
      <c r="F33" s="20">
        <f>41452*0.4536</f>
        <v>18802.627199999999</v>
      </c>
      <c r="G33" s="21">
        <v>18684.75</v>
      </c>
      <c r="H33" s="21">
        <f>G33-F33</f>
        <v>-117.87719999999899</v>
      </c>
      <c r="I33" s="22" t="s">
        <v>848</v>
      </c>
      <c r="J33" s="59" t="s">
        <v>30</v>
      </c>
      <c r="K33" s="24">
        <v>43020</v>
      </c>
      <c r="L33" s="24">
        <v>43021</v>
      </c>
      <c r="M33" s="18" t="s">
        <v>49</v>
      </c>
      <c r="N33" s="18" t="s">
        <v>849</v>
      </c>
      <c r="O33" s="3"/>
      <c r="P33" s="25">
        <f>0.6187+0.095</f>
        <v>0.7137</v>
      </c>
      <c r="Q33" s="26">
        <v>23000</v>
      </c>
      <c r="R33" s="150">
        <v>9400</v>
      </c>
      <c r="S33" s="51">
        <v>19.25</v>
      </c>
      <c r="T33" s="27">
        <f>X33*F33*0.005</f>
        <v>3021.8104149645869</v>
      </c>
      <c r="V33" s="3">
        <v>0.12</v>
      </c>
      <c r="W33" s="3">
        <v>0.3</v>
      </c>
      <c r="X33" s="3">
        <f t="shared" ref="X33" si="56">IF(O33&gt;0,O33,((P33*2.2046*S33)+(Q33+R33)/G33)+V33)</f>
        <v>32.142427574850679</v>
      </c>
      <c r="Y33" s="3">
        <f t="shared" ref="Y33" si="57">IF(O33&gt;0,O33,((P33*2.2046*S33)+(Q33+R33+T33)/G33)+V33+W33)</f>
        <v>32.60415360356204</v>
      </c>
      <c r="Z33" s="29">
        <f t="shared" ref="Z33" si="58">Y33*F33</f>
        <v>613043.74537931359</v>
      </c>
      <c r="AA33" s="30">
        <v>43032</v>
      </c>
    </row>
    <row r="34" spans="1:27" s="22" customFormat="1" x14ac:dyDescent="0.25">
      <c r="A34" s="155"/>
      <c r="B34" s="17" t="s">
        <v>41</v>
      </c>
      <c r="C34" s="19" t="s">
        <v>42</v>
      </c>
      <c r="D34" s="18" t="s">
        <v>336</v>
      </c>
      <c r="E34" s="19">
        <f>200</f>
        <v>200</v>
      </c>
      <c r="F34" s="20">
        <f>22550</f>
        <v>22550</v>
      </c>
      <c r="G34" s="21">
        <f>18220</f>
        <v>18220</v>
      </c>
      <c r="H34" s="21">
        <f t="shared" ref="H34:H35" si="59">G34-F34</f>
        <v>-4330</v>
      </c>
      <c r="I34" s="22" t="s">
        <v>850</v>
      </c>
      <c r="J34" s="19"/>
      <c r="K34" s="24"/>
      <c r="L34" s="24">
        <v>43021</v>
      </c>
      <c r="M34" s="18" t="s">
        <v>49</v>
      </c>
      <c r="N34" s="19"/>
      <c r="O34" s="3">
        <v>25</v>
      </c>
      <c r="P34" s="31"/>
      <c r="Q34" s="3">
        <f>19800</f>
        <v>19800</v>
      </c>
      <c r="R34" s="3">
        <f t="shared" ref="R34:R35" si="60">65*E34</f>
        <v>13000</v>
      </c>
      <c r="S34" s="27">
        <f t="shared" ref="S34:S35" si="61">-38*E34</f>
        <v>-7600</v>
      </c>
      <c r="T34" s="27">
        <f>X34*F34*0.0045</f>
        <v>3285.684755762898</v>
      </c>
      <c r="U34" s="3">
        <f>E34*5</f>
        <v>1000</v>
      </c>
      <c r="V34" s="19"/>
      <c r="W34" s="3">
        <v>0.3</v>
      </c>
      <c r="X34" s="3">
        <f>((O34*F34)+Q34+R34+S34+U34)/G34</f>
        <v>32.379253567508236</v>
      </c>
      <c r="Y34" s="3">
        <f t="shared" ref="Y34:Y35" si="62">((O34*F34)+Q34+R34+S34+T34+U34)/G34+W34</f>
        <v>32.859587527758663</v>
      </c>
      <c r="Z34" s="29">
        <f t="shared" ref="Z34:Z35" si="63">Y34*G34</f>
        <v>598701.68475576281</v>
      </c>
      <c r="AA34" s="30">
        <v>43034</v>
      </c>
    </row>
    <row r="35" spans="1:27" s="22" customFormat="1" x14ac:dyDescent="0.25">
      <c r="A35" s="155"/>
      <c r="B35" s="17" t="s">
        <v>41</v>
      </c>
      <c r="C35" s="19" t="s">
        <v>42</v>
      </c>
      <c r="D35" s="18" t="s">
        <v>45</v>
      </c>
      <c r="E35" s="19">
        <v>130</v>
      </c>
      <c r="F35" s="20">
        <v>15085</v>
      </c>
      <c r="G35" s="21">
        <v>11700</v>
      </c>
      <c r="H35" s="21">
        <f t="shared" si="59"/>
        <v>-3385</v>
      </c>
      <c r="I35" s="18" t="s">
        <v>851</v>
      </c>
      <c r="J35" s="19"/>
      <c r="K35" s="24"/>
      <c r="L35" s="24">
        <v>43021</v>
      </c>
      <c r="M35" s="18" t="s">
        <v>49</v>
      </c>
      <c r="N35" s="19"/>
      <c r="O35" s="3">
        <v>25</v>
      </c>
      <c r="P35" s="31"/>
      <c r="Q35" s="3">
        <v>15700</v>
      </c>
      <c r="R35" s="3">
        <f t="shared" si="60"/>
        <v>8450</v>
      </c>
      <c r="S35" s="27">
        <f t="shared" si="61"/>
        <v>-4940</v>
      </c>
      <c r="T35" s="27">
        <f>X35*F35*0.0045</f>
        <v>2303.2764326923075</v>
      </c>
      <c r="U35" s="3">
        <f>E35*5</f>
        <v>650</v>
      </c>
      <c r="V35" s="19"/>
      <c r="W35" s="3">
        <v>0.3</v>
      </c>
      <c r="X35" s="3">
        <f>((O35*F35)+Q35+R35+S35+U35)/G35</f>
        <v>33.930341880341878</v>
      </c>
      <c r="Y35" s="3">
        <f t="shared" si="62"/>
        <v>34.427203113905321</v>
      </c>
      <c r="Z35" s="29">
        <f t="shared" si="63"/>
        <v>402798.27643269225</v>
      </c>
      <c r="AA35" s="30">
        <v>43034</v>
      </c>
    </row>
    <row r="36" spans="1:27" s="22" customFormat="1" x14ac:dyDescent="0.25">
      <c r="A36" s="155"/>
      <c r="B36" s="17" t="s">
        <v>26</v>
      </c>
      <c r="C36" s="18" t="s">
        <v>33</v>
      </c>
      <c r="D36" s="18" t="s">
        <v>33</v>
      </c>
      <c r="E36" s="19" t="s">
        <v>34</v>
      </c>
      <c r="F36" s="20">
        <f>42656*0.4536</f>
        <v>19348.761600000002</v>
      </c>
      <c r="G36" s="21">
        <v>19244.22</v>
      </c>
      <c r="H36" s="21">
        <f>G36-F36</f>
        <v>-104.54160000000047</v>
      </c>
      <c r="I36" s="22" t="s">
        <v>852</v>
      </c>
      <c r="J36" s="59" t="s">
        <v>30</v>
      </c>
      <c r="K36" s="24">
        <v>43021</v>
      </c>
      <c r="L36" s="24">
        <v>43022</v>
      </c>
      <c r="M36" s="18" t="s">
        <v>98</v>
      </c>
      <c r="N36" s="18" t="s">
        <v>853</v>
      </c>
      <c r="O36" s="3"/>
      <c r="P36" s="25">
        <f>0.6223+0.105</f>
        <v>0.72729999999999995</v>
      </c>
      <c r="Q36" s="26">
        <v>23000</v>
      </c>
      <c r="R36" s="27">
        <v>9400</v>
      </c>
      <c r="S36" s="51">
        <v>18.699000000000002</v>
      </c>
      <c r="T36" s="27">
        <f t="shared" ref="T36" si="64">X36*F36*0.005</f>
        <v>3075.0699818016456</v>
      </c>
      <c r="V36" s="3">
        <v>0.12</v>
      </c>
      <c r="W36" s="3">
        <v>0.3</v>
      </c>
      <c r="X36" s="3">
        <f>IF(O36&gt;0,O36,((P36*2.2046*S36)+(Q36+R36)/G36)+V36)</f>
        <v>31.785703347563551</v>
      </c>
      <c r="Y36" s="3">
        <f>IF(O36&gt;0,O36,((P36*2.2046*S36)+(Q36+R36+T36)/G36)+V36+W36)</f>
        <v>32.24549522178873</v>
      </c>
      <c r="Z36" s="29">
        <f>Y36*F36</f>
        <v>623910.39972032933</v>
      </c>
      <c r="AA36" s="30">
        <v>43017</v>
      </c>
    </row>
    <row r="37" spans="1:27" s="22" customFormat="1" ht="15.75" thickBot="1" x14ac:dyDescent="0.3">
      <c r="A37" s="156"/>
      <c r="B37" s="34"/>
      <c r="C37" s="6"/>
      <c r="D37" s="6"/>
      <c r="E37" s="6"/>
      <c r="F37" s="35"/>
      <c r="G37" s="35"/>
      <c r="H37" s="35"/>
      <c r="I37" s="9"/>
      <c r="J37" s="6"/>
      <c r="K37" s="10"/>
      <c r="L37" s="10"/>
      <c r="M37" s="6"/>
      <c r="N37" s="6"/>
      <c r="O37" s="11"/>
      <c r="P37" s="12"/>
      <c r="Q37" s="11"/>
      <c r="R37" s="11"/>
      <c r="S37" s="11"/>
      <c r="T37" s="11"/>
      <c r="U37" s="11"/>
      <c r="V37" s="11"/>
      <c r="W37" s="11"/>
      <c r="X37" s="11"/>
      <c r="Y37" s="11"/>
      <c r="Z37" s="15"/>
      <c r="AA37" s="36"/>
    </row>
    <row r="38" spans="1:27" s="22" customFormat="1" x14ac:dyDescent="0.25">
      <c r="A38" s="136"/>
      <c r="B38" s="38" t="s">
        <v>41</v>
      </c>
      <c r="C38" s="38" t="s">
        <v>42</v>
      </c>
      <c r="D38" s="39" t="s">
        <v>43</v>
      </c>
      <c r="E38" s="38">
        <f>198</f>
        <v>198</v>
      </c>
      <c r="F38" s="40">
        <f>23895</f>
        <v>23895</v>
      </c>
      <c r="G38" s="41">
        <f>19370</f>
        <v>19370</v>
      </c>
      <c r="H38" s="21">
        <f t="shared" ref="H38:H41" si="65">G38-F38</f>
        <v>-4525</v>
      </c>
      <c r="I38" s="39" t="s">
        <v>854</v>
      </c>
      <c r="J38" s="38"/>
      <c r="K38" s="42"/>
      <c r="L38" s="42">
        <v>43023</v>
      </c>
      <c r="M38" s="39" t="s">
        <v>57</v>
      </c>
      <c r="N38" s="38"/>
      <c r="O38" s="43">
        <v>25</v>
      </c>
      <c r="P38" s="44"/>
      <c r="Q38" s="45">
        <f>19800</f>
        <v>19800</v>
      </c>
      <c r="R38" s="43">
        <f t="shared" ref="R38:R40" si="66">65*E38</f>
        <v>12870</v>
      </c>
      <c r="S38" s="43">
        <f t="shared" ref="S38:S40" si="67">-38*E38</f>
        <v>-7524</v>
      </c>
      <c r="T38" s="46">
        <f>X38*F38*0.0045</f>
        <v>3461.2585984770262</v>
      </c>
      <c r="U38" s="43">
        <f>E38*5</f>
        <v>990</v>
      </c>
      <c r="V38" s="38"/>
      <c r="W38" s="43">
        <v>0.3</v>
      </c>
      <c r="X38" s="43">
        <f>((O38*F38)+Q38+R38+S38+U38)/G38</f>
        <v>32.189519876097059</v>
      </c>
      <c r="Y38" s="47">
        <f t="shared" ref="Y38:Y40" si="68">((O38*F38)+Q38+R38+S38+T38+U38)/G38+W38</f>
        <v>32.668211595171755</v>
      </c>
      <c r="Z38" s="47">
        <f>Y38*G38</f>
        <v>632783.25859847688</v>
      </c>
      <c r="AA38" s="48">
        <v>43038</v>
      </c>
    </row>
    <row r="39" spans="1:27" s="22" customFormat="1" x14ac:dyDescent="0.25">
      <c r="A39" s="137"/>
      <c r="B39" s="17" t="s">
        <v>41</v>
      </c>
      <c r="C39" s="19" t="s">
        <v>42</v>
      </c>
      <c r="D39" s="18" t="s">
        <v>45</v>
      </c>
      <c r="E39" s="19">
        <v>130</v>
      </c>
      <c r="F39" s="20">
        <v>14330</v>
      </c>
      <c r="G39" s="21">
        <v>11120</v>
      </c>
      <c r="H39" s="21">
        <f t="shared" si="65"/>
        <v>-3210</v>
      </c>
      <c r="I39" s="18" t="s">
        <v>855</v>
      </c>
      <c r="J39" s="19"/>
      <c r="K39" s="24"/>
      <c r="L39" s="24">
        <v>43023</v>
      </c>
      <c r="M39" s="18" t="s">
        <v>57</v>
      </c>
      <c r="N39" s="19"/>
      <c r="O39" s="3">
        <v>25</v>
      </c>
      <c r="P39" s="31"/>
      <c r="Q39" s="26">
        <v>15700</v>
      </c>
      <c r="R39" s="3">
        <f t="shared" si="66"/>
        <v>8450</v>
      </c>
      <c r="S39" s="27">
        <f t="shared" si="67"/>
        <v>-4940</v>
      </c>
      <c r="T39" s="27">
        <f>X39*F39*0.0045</f>
        <v>2192.6639703237411</v>
      </c>
      <c r="U39" s="3">
        <f>E39*5</f>
        <v>650</v>
      </c>
      <c r="V39" s="19"/>
      <c r="W39" s="3">
        <v>0.3</v>
      </c>
      <c r="X39" s="3">
        <f>((O39*F39)+Q39+R39+S39+U39)/G39</f>
        <v>34.002697841726622</v>
      </c>
      <c r="Y39" s="3">
        <f t="shared" si="68"/>
        <v>34.49987985344638</v>
      </c>
      <c r="Z39" s="29">
        <f>Y39*G39</f>
        <v>383638.66397032375</v>
      </c>
      <c r="AA39" s="30">
        <v>43038</v>
      </c>
    </row>
    <row r="40" spans="1:27" s="22" customFormat="1" x14ac:dyDescent="0.25">
      <c r="A40" s="137"/>
      <c r="B40" s="17" t="s">
        <v>41</v>
      </c>
      <c r="C40" s="19" t="s">
        <v>42</v>
      </c>
      <c r="D40" s="18" t="s">
        <v>228</v>
      </c>
      <c r="E40" s="19">
        <v>260</v>
      </c>
      <c r="F40" s="20">
        <v>28480</v>
      </c>
      <c r="G40" s="21">
        <f>6030+16230</f>
        <v>22260</v>
      </c>
      <c r="H40" s="21">
        <f t="shared" si="65"/>
        <v>-6220</v>
      </c>
      <c r="I40" s="18" t="s">
        <v>856</v>
      </c>
      <c r="J40" s="19">
        <f>70+190</f>
        <v>260</v>
      </c>
      <c r="K40" s="24"/>
      <c r="L40" s="24">
        <v>43024</v>
      </c>
      <c r="M40" s="18" t="s">
        <v>60</v>
      </c>
      <c r="N40" s="19"/>
      <c r="O40" s="3">
        <v>25</v>
      </c>
      <c r="P40" s="31"/>
      <c r="Q40" s="26">
        <v>19800</v>
      </c>
      <c r="R40" s="3">
        <f t="shared" si="66"/>
        <v>16900</v>
      </c>
      <c r="S40" s="27">
        <f t="shared" si="67"/>
        <v>-9880</v>
      </c>
      <c r="T40" s="27">
        <f>X40*F40*0.0045</f>
        <v>4261.1760646900266</v>
      </c>
      <c r="U40" s="3">
        <f>E40*5</f>
        <v>1300</v>
      </c>
      <c r="V40" s="19"/>
      <c r="W40" s="3">
        <v>0.3</v>
      </c>
      <c r="X40" s="3">
        <f>((O40*F40)+Q40+R40+S40+U40)/G40</f>
        <v>33.248876909254271</v>
      </c>
      <c r="Y40" s="3">
        <f t="shared" si="68"/>
        <v>33.740304405421831</v>
      </c>
      <c r="Z40" s="29">
        <f>Y40*G40</f>
        <v>751059.17606468999</v>
      </c>
      <c r="AA40" s="30">
        <v>43038</v>
      </c>
    </row>
    <row r="41" spans="1:27" s="22" customFormat="1" x14ac:dyDescent="0.25">
      <c r="A41" s="137"/>
      <c r="B41" s="17" t="s">
        <v>76</v>
      </c>
      <c r="C41" s="19" t="s">
        <v>33</v>
      </c>
      <c r="D41" s="18" t="s">
        <v>77</v>
      </c>
      <c r="E41" s="19" t="s">
        <v>840</v>
      </c>
      <c r="F41" s="20">
        <v>4582.3</v>
      </c>
      <c r="G41" s="21">
        <v>4582.3</v>
      </c>
      <c r="H41" s="21">
        <f t="shared" si="65"/>
        <v>0</v>
      </c>
      <c r="I41" s="18" t="s">
        <v>857</v>
      </c>
      <c r="J41" s="19"/>
      <c r="K41" s="24"/>
      <c r="L41" s="24">
        <v>43024</v>
      </c>
      <c r="M41" s="18" t="s">
        <v>60</v>
      </c>
      <c r="N41" s="19"/>
      <c r="O41" s="3">
        <v>19.5</v>
      </c>
      <c r="P41" s="31"/>
      <c r="Q41" s="3"/>
      <c r="R41" s="3"/>
      <c r="S41" s="27"/>
      <c r="T41" s="27"/>
      <c r="U41" s="3"/>
      <c r="V41" s="19"/>
      <c r="W41" s="3"/>
      <c r="X41" s="3">
        <f>IF(O41&gt;0,O41,((P41*2.2046*S41)+(Q41+R41)/G41)+V41)</f>
        <v>19.5</v>
      </c>
      <c r="Y41" s="3">
        <f t="shared" ref="Y41:Y43" si="69">IF(O41&gt;0,O41,((P41*2.2046*S41)+(Q41+R41+T41)/G41)+V41+W41)</f>
        <v>19.5</v>
      </c>
      <c r="Z41" s="29">
        <f>Y41*F41</f>
        <v>89354.85</v>
      </c>
      <c r="AA41" s="30">
        <v>43031</v>
      </c>
    </row>
    <row r="42" spans="1:27" s="22" customFormat="1" x14ac:dyDescent="0.25">
      <c r="A42" s="137"/>
      <c r="B42" s="17" t="s">
        <v>26</v>
      </c>
      <c r="C42" s="18" t="s">
        <v>27</v>
      </c>
      <c r="D42" s="18" t="s">
        <v>27</v>
      </c>
      <c r="E42" s="19" t="s">
        <v>28</v>
      </c>
      <c r="F42" s="20">
        <f>41288*0.4536</f>
        <v>18728.236799999999</v>
      </c>
      <c r="G42" s="21">
        <v>18660.63</v>
      </c>
      <c r="H42" s="21">
        <f>G42-F42</f>
        <v>-67.606799999997747</v>
      </c>
      <c r="I42" s="22" t="s">
        <v>858</v>
      </c>
      <c r="J42" s="59" t="s">
        <v>30</v>
      </c>
      <c r="K42" s="24">
        <v>43025</v>
      </c>
      <c r="L42" s="24">
        <v>43026</v>
      </c>
      <c r="M42" s="18" t="s">
        <v>31</v>
      </c>
      <c r="N42" s="18" t="s">
        <v>859</v>
      </c>
      <c r="O42" s="3"/>
      <c r="P42" s="25">
        <f>0.6512+0.095</f>
        <v>0.74619999999999997</v>
      </c>
      <c r="Q42" s="26">
        <v>23000</v>
      </c>
      <c r="R42" s="150">
        <v>9400</v>
      </c>
      <c r="S42" s="51">
        <v>19.087</v>
      </c>
      <c r="T42" s="27">
        <f>X42*F42*0.005</f>
        <v>3114.1101434161465</v>
      </c>
      <c r="V42" s="3">
        <v>0.12</v>
      </c>
      <c r="W42" s="3">
        <v>0.3</v>
      </c>
      <c r="X42" s="3">
        <f>IF(O42&gt;0,O42,((P42*2.2046*S42)+(Q42+R42)/G42)+V42)</f>
        <v>33.255774974141147</v>
      </c>
      <c r="Y42" s="3">
        <f t="shared" si="69"/>
        <v>33.722656271472275</v>
      </c>
      <c r="Z42" s="29">
        <f>Y42*F42</f>
        <v>631565.89217713778</v>
      </c>
      <c r="AA42" s="30">
        <v>43035</v>
      </c>
    </row>
    <row r="43" spans="1:27" s="22" customFormat="1" x14ac:dyDescent="0.25">
      <c r="A43" s="137"/>
      <c r="B43" s="17" t="s">
        <v>26</v>
      </c>
      <c r="C43" s="18" t="s">
        <v>37</v>
      </c>
      <c r="D43" s="18" t="s">
        <v>37</v>
      </c>
      <c r="E43" s="19" t="s">
        <v>28</v>
      </c>
      <c r="F43" s="20">
        <f>40547*0.4536</f>
        <v>18392.119200000001</v>
      </c>
      <c r="G43" s="21">
        <v>18320.53</v>
      </c>
      <c r="H43" s="21">
        <f>G43-F43</f>
        <v>-71.589200000002165</v>
      </c>
      <c r="I43" s="144" t="s">
        <v>860</v>
      </c>
      <c r="J43" s="59" t="s">
        <v>30</v>
      </c>
      <c r="K43" s="24">
        <v>43024</v>
      </c>
      <c r="L43" s="24">
        <v>43025</v>
      </c>
      <c r="M43" s="18" t="s">
        <v>62</v>
      </c>
      <c r="N43" s="18" t="s">
        <v>861</v>
      </c>
      <c r="O43" s="3"/>
      <c r="P43" s="25">
        <v>0.72030000000000005</v>
      </c>
      <c r="Q43" s="26">
        <v>23000</v>
      </c>
      <c r="R43" s="3">
        <v>9400</v>
      </c>
      <c r="S43" s="51">
        <v>18.614999999999998</v>
      </c>
      <c r="T43" s="27">
        <f>X43*F43*0.005</f>
        <v>2892.0349657848064</v>
      </c>
      <c r="V43" s="3">
        <v>0.12</v>
      </c>
      <c r="W43" s="3">
        <v>0.3</v>
      </c>
      <c r="X43" s="3">
        <f t="shared" ref="X43" si="70">IF(O43&gt;0,O43,((P43*2.2046*S43)+(Q43+R43)/G43)+V43)</f>
        <v>31.448632257503053</v>
      </c>
      <c r="Y43" s="3">
        <f t="shared" si="69"/>
        <v>31.90648986128334</v>
      </c>
      <c r="Z43" s="29">
        <f t="shared" ref="Z43" si="71">Y43*F43</f>
        <v>586827.96478231472</v>
      </c>
      <c r="AA43" s="30">
        <v>43018</v>
      </c>
    </row>
    <row r="44" spans="1:27" s="22" customFormat="1" x14ac:dyDescent="0.25">
      <c r="A44" s="137"/>
      <c r="B44" s="17" t="s">
        <v>41</v>
      </c>
      <c r="C44" s="19" t="s">
        <v>42</v>
      </c>
      <c r="D44" s="18" t="s">
        <v>43</v>
      </c>
      <c r="E44" s="19">
        <v>260</v>
      </c>
      <c r="F44" s="20">
        <v>29110</v>
      </c>
      <c r="G44" s="21">
        <f>17110+6170</f>
        <v>23280</v>
      </c>
      <c r="H44" s="21">
        <f>G44-F44</f>
        <v>-5830</v>
      </c>
      <c r="I44" s="18" t="s">
        <v>862</v>
      </c>
      <c r="J44" s="19"/>
      <c r="K44" s="24"/>
      <c r="L44" s="24">
        <v>43025</v>
      </c>
      <c r="M44" s="18" t="s">
        <v>62</v>
      </c>
      <c r="N44" s="19"/>
      <c r="O44" s="3">
        <v>25</v>
      </c>
      <c r="P44" s="31"/>
      <c r="Q44" s="33">
        <v>19800</v>
      </c>
      <c r="R44" s="3">
        <f>65*E44</f>
        <v>16900</v>
      </c>
      <c r="S44" s="27">
        <f>-38*E44</f>
        <v>-9880</v>
      </c>
      <c r="T44" s="27">
        <f t="shared" ref="T44" si="72">X44*F44*0.005</f>
        <v>4725.8109321305847</v>
      </c>
      <c r="U44" s="3">
        <f>E44*5</f>
        <v>1300</v>
      </c>
      <c r="V44" s="19"/>
      <c r="W44" s="3">
        <v>0.3</v>
      </c>
      <c r="X44" s="3">
        <f>((O44*F44)+Q44+R44+S44+U44)/G44</f>
        <v>32.468642611683848</v>
      </c>
      <c r="Y44" s="3">
        <f>((O44*F44)+Q44+R44+S44+T44+U44)/G44+W44</f>
        <v>32.971641363064023</v>
      </c>
      <c r="Z44" s="29">
        <f>Y44*G44</f>
        <v>767579.81093213044</v>
      </c>
      <c r="AA44" s="30">
        <v>43038</v>
      </c>
    </row>
    <row r="45" spans="1:27" s="22" customFormat="1" x14ac:dyDescent="0.25">
      <c r="A45" s="137"/>
      <c r="B45" s="17" t="s">
        <v>26</v>
      </c>
      <c r="C45" s="18" t="s">
        <v>37</v>
      </c>
      <c r="D45" s="18" t="s">
        <v>37</v>
      </c>
      <c r="E45" s="19" t="s">
        <v>28</v>
      </c>
      <c r="F45" s="20">
        <f>40527*0.4536</f>
        <v>18383.047200000001</v>
      </c>
      <c r="G45" s="21">
        <v>18275.97</v>
      </c>
      <c r="H45" s="21">
        <f>G45-F45</f>
        <v>-107.07719999999972</v>
      </c>
      <c r="I45" s="144" t="s">
        <v>863</v>
      </c>
      <c r="J45" s="59" t="s">
        <v>30</v>
      </c>
      <c r="K45" s="24">
        <v>43025</v>
      </c>
      <c r="L45" s="24">
        <v>43026</v>
      </c>
      <c r="M45" s="18" t="s">
        <v>31</v>
      </c>
      <c r="N45" s="18" t="s">
        <v>859</v>
      </c>
      <c r="O45" s="3"/>
      <c r="P45" s="25">
        <v>0.72030000000000005</v>
      </c>
      <c r="Q45" s="26">
        <v>23000</v>
      </c>
      <c r="R45" s="3">
        <v>9400</v>
      </c>
      <c r="S45" s="51">
        <v>18.762</v>
      </c>
      <c r="T45" s="27">
        <f>X45*F45*0.005</f>
        <v>2912.460753261726</v>
      </c>
      <c r="V45" s="3">
        <v>0.12</v>
      </c>
      <c r="W45" s="3">
        <v>0.3</v>
      </c>
      <c r="X45" s="3">
        <f t="shared" ref="X45:X46" si="73">IF(O45&gt;0,O45,((P45*2.2046*S45)+(Q45+R45)/G45)+V45)</f>
        <v>31.686376274568079</v>
      </c>
      <c r="Y45" s="3">
        <f t="shared" ref="Y45:Y46" si="74">IF(O45&gt;0,O45,((P45*2.2046*S45)+(Q45+R45+T45)/G45)+V45+W45)</f>
        <v>32.145736393525475</v>
      </c>
      <c r="Z45" s="29">
        <f t="shared" ref="Z45:Z46" si="75">Y45*F45</f>
        <v>590936.58940093662</v>
      </c>
      <c r="AA45" s="30">
        <v>43019</v>
      </c>
    </row>
    <row r="46" spans="1:27" s="22" customFormat="1" x14ac:dyDescent="0.25">
      <c r="A46" s="137"/>
      <c r="B46" s="17" t="s">
        <v>26</v>
      </c>
      <c r="C46" s="18" t="s">
        <v>37</v>
      </c>
      <c r="D46" s="18" t="s">
        <v>37</v>
      </c>
      <c r="E46" s="19" t="s">
        <v>28</v>
      </c>
      <c r="F46" s="20">
        <f>41564*0.4536</f>
        <v>18853.430400000001</v>
      </c>
      <c r="G46" s="21">
        <v>18770.53</v>
      </c>
      <c r="H46" s="21">
        <f>G46-F46</f>
        <v>-82.900400000002264</v>
      </c>
      <c r="I46" s="144" t="s">
        <v>864</v>
      </c>
      <c r="J46" s="59" t="s">
        <v>39</v>
      </c>
      <c r="K46" s="24">
        <v>43025</v>
      </c>
      <c r="L46" s="24">
        <v>43026</v>
      </c>
      <c r="M46" s="18" t="s">
        <v>31</v>
      </c>
      <c r="N46" s="18" t="s">
        <v>859</v>
      </c>
      <c r="O46" s="3"/>
      <c r="P46" s="25">
        <v>0.74619999999999997</v>
      </c>
      <c r="Q46" s="26">
        <v>23000</v>
      </c>
      <c r="R46" s="3">
        <v>9400</v>
      </c>
      <c r="S46" s="51">
        <v>18.762</v>
      </c>
      <c r="T46" s="27">
        <f>X46*F46*0.005</f>
        <v>3083.5690991728743</v>
      </c>
      <c r="V46" s="3">
        <v>0.12</v>
      </c>
      <c r="W46" s="3">
        <v>0.3</v>
      </c>
      <c r="X46" s="3">
        <f t="shared" si="73"/>
        <v>32.710960644837066</v>
      </c>
      <c r="Y46" s="3">
        <f t="shared" si="74"/>
        <v>33.17523779093645</v>
      </c>
      <c r="Z46" s="29">
        <f t="shared" si="75"/>
        <v>625467.0366948701</v>
      </c>
      <c r="AA46" s="30">
        <v>43019</v>
      </c>
    </row>
    <row r="47" spans="1:27" s="22" customFormat="1" x14ac:dyDescent="0.25">
      <c r="A47" s="137"/>
      <c r="B47" s="17" t="s">
        <v>41</v>
      </c>
      <c r="C47" s="19" t="s">
        <v>42</v>
      </c>
      <c r="D47" s="18" t="s">
        <v>43</v>
      </c>
      <c r="E47" s="19">
        <f>230</f>
        <v>230</v>
      </c>
      <c r="F47" s="20">
        <f>26025</f>
        <v>26025</v>
      </c>
      <c r="G47" s="21">
        <f>18720</f>
        <v>18720</v>
      </c>
      <c r="H47" s="21">
        <f t="shared" ref="H47:H51" si="76">G47-F47</f>
        <v>-7305</v>
      </c>
      <c r="I47" s="22" t="s">
        <v>865</v>
      </c>
      <c r="J47" s="19"/>
      <c r="K47" s="24"/>
      <c r="L47" s="24">
        <v>43026</v>
      </c>
      <c r="M47" s="18" t="s">
        <v>31</v>
      </c>
      <c r="N47" s="19"/>
      <c r="O47" s="3">
        <v>25</v>
      </c>
      <c r="P47" s="31"/>
      <c r="Q47" s="26">
        <f>19800</f>
        <v>19800</v>
      </c>
      <c r="R47" s="3">
        <f>65*E47</f>
        <v>14950</v>
      </c>
      <c r="S47" s="27">
        <f>-38*E47</f>
        <v>-8740</v>
      </c>
      <c r="T47" s="27">
        <f>X47*F47*0.0045</f>
        <v>4240.2294771634615</v>
      </c>
      <c r="U47" s="3">
        <f>E47*5</f>
        <v>1150</v>
      </c>
      <c r="V47" s="19"/>
      <c r="W47" s="3">
        <v>0.3</v>
      </c>
      <c r="X47" s="3">
        <f>((O47*F47)+Q47+R47+S47+U47)/G47</f>
        <v>36.206463675213676</v>
      </c>
      <c r="Y47" s="3">
        <f t="shared" ref="Y47:Y48" si="77">((O47*F47)+Q47+R47+S47+T47+U47)/G47+W47</f>
        <v>36.73297166010488</v>
      </c>
      <c r="Z47" s="29">
        <f>Y47*G47</f>
        <v>687641.2294771634</v>
      </c>
      <c r="AA47" s="30">
        <v>43039</v>
      </c>
    </row>
    <row r="48" spans="1:27" s="22" customFormat="1" x14ac:dyDescent="0.25">
      <c r="A48" s="137"/>
      <c r="B48" s="17" t="s">
        <v>41</v>
      </c>
      <c r="C48" s="19" t="s">
        <v>42</v>
      </c>
      <c r="D48" s="18" t="s">
        <v>53</v>
      </c>
      <c r="E48" s="19">
        <v>100</v>
      </c>
      <c r="F48" s="20">
        <v>12230</v>
      </c>
      <c r="G48" s="21">
        <v>11770</v>
      </c>
      <c r="H48" s="21">
        <f t="shared" si="76"/>
        <v>-460</v>
      </c>
      <c r="I48" s="22" t="s">
        <v>866</v>
      </c>
      <c r="J48" s="19"/>
      <c r="K48" s="24"/>
      <c r="L48" s="24">
        <v>43026</v>
      </c>
      <c r="M48" s="18" t="s">
        <v>31</v>
      </c>
      <c r="N48" s="19"/>
      <c r="O48" s="3">
        <v>25</v>
      </c>
      <c r="P48" s="31"/>
      <c r="Q48" s="26">
        <v>15700</v>
      </c>
      <c r="R48" s="3">
        <f>65*E48</f>
        <v>6500</v>
      </c>
      <c r="S48" s="27">
        <f>-38*E48</f>
        <v>-3800</v>
      </c>
      <c r="T48" s="27">
        <f>X48*F48*0.0045</f>
        <v>1518.0214740866609</v>
      </c>
      <c r="U48" s="3">
        <f>E48*5</f>
        <v>500</v>
      </c>
      <c r="V48" s="19"/>
      <c r="W48" s="3">
        <v>0.3</v>
      </c>
      <c r="X48" s="3">
        <f>((O48*F48)+Q48+R48+S48+U48)/G48</f>
        <v>27.582837723024639</v>
      </c>
      <c r="Y48" s="3">
        <f t="shared" si="77"/>
        <v>28.011811510117816</v>
      </c>
      <c r="Z48" s="29">
        <f>Y48*G48</f>
        <v>329699.02147408668</v>
      </c>
      <c r="AA48" s="30">
        <v>43039</v>
      </c>
    </row>
    <row r="49" spans="1:27" s="22" customFormat="1" x14ac:dyDescent="0.25">
      <c r="A49" s="137"/>
      <c r="B49" s="17" t="s">
        <v>92</v>
      </c>
      <c r="C49" s="19" t="s">
        <v>867</v>
      </c>
      <c r="D49" s="18" t="s">
        <v>94</v>
      </c>
      <c r="E49" s="19" t="s">
        <v>868</v>
      </c>
      <c r="F49" s="20">
        <v>2000</v>
      </c>
      <c r="G49" s="21">
        <v>2000</v>
      </c>
      <c r="H49" s="21">
        <f t="shared" si="76"/>
        <v>0</v>
      </c>
      <c r="I49" s="22" t="s">
        <v>869</v>
      </c>
      <c r="J49" s="19"/>
      <c r="K49" s="24"/>
      <c r="L49" s="24">
        <v>43026</v>
      </c>
      <c r="M49" s="18" t="s">
        <v>31</v>
      </c>
      <c r="N49" s="19"/>
      <c r="O49" s="3">
        <v>38</v>
      </c>
      <c r="P49" s="31"/>
      <c r="Q49" s="3"/>
      <c r="R49" s="3"/>
      <c r="S49" s="27"/>
      <c r="T49" s="27"/>
      <c r="U49" s="3"/>
      <c r="V49" s="19"/>
      <c r="W49" s="3"/>
      <c r="X49" s="3">
        <f t="shared" ref="X49:X52" si="78">IF(O49&gt;0,O49,((P49*2.2046*S49)+(Q49+R49)/G49)+V49)</f>
        <v>38</v>
      </c>
      <c r="Y49" s="3">
        <f t="shared" ref="Y49:Y52" si="79">IF(O49&gt;0,O49,((P49*2.2046*S49)+(Q49+R49+T49)/G49)+V49+W49)</f>
        <v>38</v>
      </c>
      <c r="Z49" s="29">
        <f t="shared" ref="Z49:Z52" si="80">Y49*F49</f>
        <v>76000</v>
      </c>
      <c r="AA49" s="30">
        <v>43026</v>
      </c>
    </row>
    <row r="50" spans="1:27" s="22" customFormat="1" x14ac:dyDescent="0.25">
      <c r="A50" s="137"/>
      <c r="B50" s="17" t="s">
        <v>158</v>
      </c>
      <c r="C50" s="19" t="s">
        <v>870</v>
      </c>
      <c r="D50" s="18" t="s">
        <v>324</v>
      </c>
      <c r="E50" s="19" t="s">
        <v>871</v>
      </c>
      <c r="F50" s="20">
        <v>10016.959999999999</v>
      </c>
      <c r="G50" s="21">
        <v>10016.959999999999</v>
      </c>
      <c r="H50" s="21">
        <f t="shared" si="76"/>
        <v>0</v>
      </c>
      <c r="I50" s="22" t="s">
        <v>872</v>
      </c>
      <c r="J50" s="19"/>
      <c r="K50" s="24"/>
      <c r="L50" s="24">
        <v>43026</v>
      </c>
      <c r="M50" s="18" t="s">
        <v>31</v>
      </c>
      <c r="N50" s="19"/>
      <c r="O50" s="3">
        <v>39.5</v>
      </c>
      <c r="P50" s="31"/>
      <c r="Q50" s="3"/>
      <c r="R50" s="3"/>
      <c r="S50" s="27"/>
      <c r="T50" s="27"/>
      <c r="U50" s="3"/>
      <c r="V50" s="19"/>
      <c r="W50" s="3"/>
      <c r="X50" s="3">
        <f t="shared" si="78"/>
        <v>39.5</v>
      </c>
      <c r="Y50" s="3">
        <f t="shared" si="79"/>
        <v>39.5</v>
      </c>
      <c r="Z50" s="29">
        <f t="shared" si="80"/>
        <v>395669.92</v>
      </c>
      <c r="AA50" s="30">
        <v>43035</v>
      </c>
    </row>
    <row r="51" spans="1:27" s="22" customFormat="1" x14ac:dyDescent="0.25">
      <c r="A51" s="137"/>
      <c r="B51" s="17" t="s">
        <v>126</v>
      </c>
      <c r="C51" s="19" t="s">
        <v>127</v>
      </c>
      <c r="D51" s="18" t="s">
        <v>324</v>
      </c>
      <c r="E51" s="19" t="s">
        <v>873</v>
      </c>
      <c r="F51" s="20">
        <v>7022.4</v>
      </c>
      <c r="G51" s="21">
        <v>7022.4</v>
      </c>
      <c r="H51" s="21">
        <f t="shared" si="76"/>
        <v>0</v>
      </c>
      <c r="I51" s="22" t="s">
        <v>874</v>
      </c>
      <c r="J51" s="19"/>
      <c r="K51" s="24"/>
      <c r="L51" s="24">
        <v>43026</v>
      </c>
      <c r="M51" s="18" t="s">
        <v>31</v>
      </c>
      <c r="N51" s="19"/>
      <c r="O51" s="3">
        <v>86</v>
      </c>
      <c r="P51" s="31"/>
      <c r="Q51" s="3"/>
      <c r="R51" s="3"/>
      <c r="S51" s="27"/>
      <c r="T51" s="27"/>
      <c r="U51" s="3"/>
      <c r="V51" s="19"/>
      <c r="W51" s="3"/>
      <c r="X51" s="3">
        <f t="shared" si="78"/>
        <v>86</v>
      </c>
      <c r="Y51" s="3">
        <f t="shared" si="79"/>
        <v>86</v>
      </c>
      <c r="Z51" s="29">
        <f t="shared" si="80"/>
        <v>603926.4</v>
      </c>
      <c r="AA51" s="30">
        <v>43035</v>
      </c>
    </row>
    <row r="52" spans="1:27" s="22" customFormat="1" x14ac:dyDescent="0.25">
      <c r="A52" s="137"/>
      <c r="B52" s="17" t="s">
        <v>26</v>
      </c>
      <c r="C52" s="18" t="s">
        <v>33</v>
      </c>
      <c r="D52" s="18" t="s">
        <v>33</v>
      </c>
      <c r="E52" s="19" t="s">
        <v>34</v>
      </c>
      <c r="F52" s="20">
        <f>42523*0.4536</f>
        <v>19288.432799999999</v>
      </c>
      <c r="G52" s="21">
        <v>19222.88</v>
      </c>
      <c r="H52" s="21">
        <f>G52-F52</f>
        <v>-65.55279999999766</v>
      </c>
      <c r="I52" s="22" t="s">
        <v>875</v>
      </c>
      <c r="J52" s="59" t="s">
        <v>30</v>
      </c>
      <c r="K52" s="24">
        <v>43026</v>
      </c>
      <c r="L52" s="24">
        <v>43027</v>
      </c>
      <c r="M52" s="18" t="s">
        <v>47</v>
      </c>
      <c r="N52" s="18" t="s">
        <v>876</v>
      </c>
      <c r="O52" s="3"/>
      <c r="P52" s="25">
        <f>0.6559+0.105</f>
        <v>0.76090000000000002</v>
      </c>
      <c r="Q52" s="26">
        <v>23000</v>
      </c>
      <c r="R52" s="3">
        <v>9400</v>
      </c>
      <c r="S52" s="51">
        <v>18.798999999999999</v>
      </c>
      <c r="T52" s="27">
        <f>X52*F52*0.005</f>
        <v>3215.4242409369322</v>
      </c>
      <c r="V52" s="3">
        <v>0.12</v>
      </c>
      <c r="W52" s="3">
        <v>0.3</v>
      </c>
      <c r="X52" s="3">
        <f t="shared" si="78"/>
        <v>33.340440607874918</v>
      </c>
      <c r="Y52" s="3">
        <f t="shared" si="79"/>
        <v>33.807711289528072</v>
      </c>
      <c r="Z52" s="29">
        <f t="shared" si="80"/>
        <v>652097.76732986351</v>
      </c>
      <c r="AA52" s="30">
        <v>43020</v>
      </c>
    </row>
    <row r="53" spans="1:27" s="22" customFormat="1" x14ac:dyDescent="0.25">
      <c r="A53" s="137"/>
      <c r="B53" s="17" t="s">
        <v>41</v>
      </c>
      <c r="C53" s="19" t="s">
        <v>42</v>
      </c>
      <c r="D53" s="18" t="s">
        <v>51</v>
      </c>
      <c r="E53" s="19">
        <v>200</v>
      </c>
      <c r="F53" s="20">
        <v>22145</v>
      </c>
      <c r="G53" s="21">
        <v>17370</v>
      </c>
      <c r="H53" s="21">
        <f t="shared" ref="H53:H54" si="81">G53-F53</f>
        <v>-4775</v>
      </c>
      <c r="I53" s="22" t="s">
        <v>877</v>
      </c>
      <c r="J53" s="19"/>
      <c r="K53" s="24"/>
      <c r="L53" s="24">
        <v>43027</v>
      </c>
      <c r="M53" s="18" t="s">
        <v>47</v>
      </c>
      <c r="N53" s="19"/>
      <c r="O53" s="3">
        <v>25</v>
      </c>
      <c r="P53" s="31"/>
      <c r="Q53" s="33">
        <v>19800</v>
      </c>
      <c r="R53" s="3">
        <f t="shared" ref="R53:R54" si="82">65*E53</f>
        <v>13000</v>
      </c>
      <c r="S53" s="27">
        <f t="shared" ref="S53:S54" si="83">-38*E53</f>
        <v>-7600</v>
      </c>
      <c r="T53" s="27">
        <f t="shared" ref="T53:T54" si="84">X53*F53*0.0045</f>
        <v>3326.4830634715026</v>
      </c>
      <c r="U53" s="3">
        <f t="shared" ref="U53:U54" si="85">E53*5</f>
        <v>1000</v>
      </c>
      <c r="V53" s="19"/>
      <c r="W53" s="3">
        <v>0.3</v>
      </c>
      <c r="X53" s="3">
        <f t="shared" ref="X53:X54" si="86">((O53*F53)+Q53+R53+S53+U53)/G53</f>
        <v>33.380829015544045</v>
      </c>
      <c r="Y53" s="3">
        <f t="shared" ref="Y53:Y54" si="87">((O53*F53)+Q53+R53+S53+T53+U53)/G53+W53</f>
        <v>33.872336388225186</v>
      </c>
      <c r="Z53" s="29">
        <f t="shared" ref="Z53:Z54" si="88">Y53*G53</f>
        <v>588362.4830634715</v>
      </c>
      <c r="AA53" s="30">
        <v>43040</v>
      </c>
    </row>
    <row r="54" spans="1:27" s="22" customFormat="1" x14ac:dyDescent="0.25">
      <c r="A54" s="137"/>
      <c r="B54" s="17" t="s">
        <v>41</v>
      </c>
      <c r="C54" s="19" t="s">
        <v>42</v>
      </c>
      <c r="D54" s="18" t="s">
        <v>58</v>
      </c>
      <c r="E54" s="19">
        <v>130</v>
      </c>
      <c r="F54" s="20">
        <v>14220</v>
      </c>
      <c r="G54" s="21">
        <v>11080</v>
      </c>
      <c r="H54" s="21">
        <f t="shared" si="81"/>
        <v>-3140</v>
      </c>
      <c r="I54" s="22" t="s">
        <v>878</v>
      </c>
      <c r="J54" s="19"/>
      <c r="K54" s="24"/>
      <c r="L54" s="24">
        <v>43027</v>
      </c>
      <c r="M54" s="18" t="s">
        <v>47</v>
      </c>
      <c r="N54" s="19"/>
      <c r="O54" s="3">
        <v>25</v>
      </c>
      <c r="P54" s="31"/>
      <c r="Q54" s="26">
        <v>15700</v>
      </c>
      <c r="R54" s="3">
        <f t="shared" si="82"/>
        <v>8450</v>
      </c>
      <c r="S54" s="27">
        <f t="shared" si="83"/>
        <v>-4940</v>
      </c>
      <c r="T54" s="27">
        <f t="shared" si="84"/>
        <v>2167.8056317689529</v>
      </c>
      <c r="U54" s="3">
        <f t="shared" si="85"/>
        <v>650</v>
      </c>
      <c r="V54" s="19"/>
      <c r="W54" s="3">
        <v>0.3</v>
      </c>
      <c r="X54" s="3">
        <f t="shared" si="86"/>
        <v>33.877256317689529</v>
      </c>
      <c r="Y54" s="3">
        <f t="shared" si="87"/>
        <v>34.372906645466507</v>
      </c>
      <c r="Z54" s="29">
        <f t="shared" si="88"/>
        <v>380851.80563176889</v>
      </c>
      <c r="AA54" s="30">
        <v>43040</v>
      </c>
    </row>
    <row r="55" spans="1:27" s="22" customFormat="1" x14ac:dyDescent="0.25">
      <c r="A55" s="137"/>
      <c r="B55" s="17" t="s">
        <v>26</v>
      </c>
      <c r="C55" s="18" t="s">
        <v>27</v>
      </c>
      <c r="D55" s="18" t="s">
        <v>27</v>
      </c>
      <c r="E55" s="19" t="s">
        <v>28</v>
      </c>
      <c r="F55" s="20">
        <f>41896*0.4532</f>
        <v>18987.267199999998</v>
      </c>
      <c r="G55" s="21">
        <v>18878.830000000002</v>
      </c>
      <c r="H55" s="21">
        <f>G55-F55</f>
        <v>-108.43719999999666</v>
      </c>
      <c r="I55" s="22" t="s">
        <v>879</v>
      </c>
      <c r="J55" s="59" t="s">
        <v>30</v>
      </c>
      <c r="K55" s="24">
        <v>43027</v>
      </c>
      <c r="L55" s="24">
        <v>43028</v>
      </c>
      <c r="M55" s="18" t="s">
        <v>49</v>
      </c>
      <c r="N55" s="18" t="s">
        <v>880</v>
      </c>
      <c r="O55" s="3"/>
      <c r="P55" s="25">
        <f>0.6559+0.095</f>
        <v>0.75090000000000001</v>
      </c>
      <c r="Q55" s="26">
        <v>23000</v>
      </c>
      <c r="R55" s="150">
        <v>9400</v>
      </c>
      <c r="S55" s="157">
        <v>19.5</v>
      </c>
      <c r="T55" s="27">
        <f>X55*F55*0.005</f>
        <v>3238.9594732449718</v>
      </c>
      <c r="V55" s="3">
        <v>0.12</v>
      </c>
      <c r="W55" s="3">
        <v>0.3</v>
      </c>
      <c r="X55" s="3">
        <f t="shared" ref="X55" si="89">IF(O55&gt;0,O55,((P55*2.2046*S55)+(Q55+R55)/G55)+V55)</f>
        <v>34.117173778909816</v>
      </c>
      <c r="Y55" s="3">
        <f t="shared" ref="Y55" si="90">IF(O55&gt;0,O55,((P55*2.2046*S55)+(Q55+R55+T55)/G55)+V55+W55)</f>
        <v>34.588739467739309</v>
      </c>
      <c r="Z55" s="29">
        <f t="shared" ref="Z55" si="91">Y55*F55</f>
        <v>656745.63838515198</v>
      </c>
      <c r="AA55" s="30">
        <v>43039</v>
      </c>
    </row>
    <row r="56" spans="1:27" s="22" customFormat="1" x14ac:dyDescent="0.25">
      <c r="A56" s="137"/>
      <c r="B56" s="17" t="s">
        <v>41</v>
      </c>
      <c r="C56" s="19" t="s">
        <v>42</v>
      </c>
      <c r="D56" s="18" t="s">
        <v>336</v>
      </c>
      <c r="E56" s="19">
        <f>199</f>
        <v>199</v>
      </c>
      <c r="F56" s="20">
        <f>23430</f>
        <v>23430</v>
      </c>
      <c r="G56" s="21">
        <f>18390</f>
        <v>18390</v>
      </c>
      <c r="H56" s="21">
        <f t="shared" ref="H56:H58" si="92">G56-F56</f>
        <v>-5040</v>
      </c>
      <c r="I56" s="22" t="s">
        <v>881</v>
      </c>
      <c r="J56" s="19"/>
      <c r="K56" s="24"/>
      <c r="L56" s="24">
        <v>43028</v>
      </c>
      <c r="M56" s="18" t="s">
        <v>49</v>
      </c>
      <c r="N56" s="19"/>
      <c r="O56" s="3">
        <v>25</v>
      </c>
      <c r="P56" s="31"/>
      <c r="Q56" s="26">
        <f>19800</f>
        <v>19800</v>
      </c>
      <c r="R56" s="3">
        <f t="shared" ref="R56:R57" si="93">65*E56</f>
        <v>12935</v>
      </c>
      <c r="S56" s="27">
        <f t="shared" ref="S56:S57" si="94">-38*E56</f>
        <v>-7562</v>
      </c>
      <c r="T56" s="27">
        <f>X56*F56*0.0045</f>
        <v>3508.2965921696573</v>
      </c>
      <c r="U56" s="3">
        <f>E56*5</f>
        <v>995</v>
      </c>
      <c r="V56" s="19"/>
      <c r="W56" s="3">
        <v>0.3</v>
      </c>
      <c r="X56" s="3">
        <f>((O56*F56)+Q56+R56+S56+U56)/G56</f>
        <v>33.274497009244158</v>
      </c>
      <c r="Y56" s="3">
        <f t="shared" ref="Y56:Y57" si="95">((O56*F56)+Q56+R56+S56+T56+U56)/G56+W56</f>
        <v>33.765268982717217</v>
      </c>
      <c r="Z56" s="29">
        <f t="shared" ref="Z56:Z57" si="96">Y56*G56</f>
        <v>620943.29659216967</v>
      </c>
      <c r="AA56" s="30">
        <v>43041</v>
      </c>
    </row>
    <row r="57" spans="1:27" s="22" customFormat="1" x14ac:dyDescent="0.25">
      <c r="A57" s="137"/>
      <c r="B57" s="17" t="s">
        <v>41</v>
      </c>
      <c r="C57" s="19" t="s">
        <v>42</v>
      </c>
      <c r="D57" s="18" t="s">
        <v>43</v>
      </c>
      <c r="E57" s="19">
        <v>130</v>
      </c>
      <c r="F57" s="20">
        <v>15510</v>
      </c>
      <c r="G57" s="21">
        <v>11500</v>
      </c>
      <c r="H57" s="21">
        <f t="shared" si="92"/>
        <v>-4010</v>
      </c>
      <c r="I57" s="22" t="s">
        <v>882</v>
      </c>
      <c r="J57" s="19"/>
      <c r="K57" s="24"/>
      <c r="L57" s="24">
        <v>43028</v>
      </c>
      <c r="M57" s="18" t="s">
        <v>49</v>
      </c>
      <c r="N57" s="19"/>
      <c r="O57" s="3">
        <v>25</v>
      </c>
      <c r="P57" s="31"/>
      <c r="Q57" s="26">
        <v>15700</v>
      </c>
      <c r="R57" s="3">
        <f t="shared" si="93"/>
        <v>8450</v>
      </c>
      <c r="S57" s="27">
        <f t="shared" si="94"/>
        <v>-4940</v>
      </c>
      <c r="T57" s="27">
        <f>X57*F57*0.0045</f>
        <v>2473.8382565217389</v>
      </c>
      <c r="U57" s="3">
        <f>E57*5</f>
        <v>650</v>
      </c>
      <c r="V57" s="19"/>
      <c r="W57" s="3">
        <v>0.3</v>
      </c>
      <c r="X57" s="3">
        <f>((O57*F57)+Q57+R57+S57+U57)/G57</f>
        <v>35.444347826086954</v>
      </c>
      <c r="Y57" s="3">
        <f t="shared" si="95"/>
        <v>35.95946419621928</v>
      </c>
      <c r="Z57" s="29">
        <f t="shared" si="96"/>
        <v>413533.83825652173</v>
      </c>
      <c r="AA57" s="30">
        <v>43041</v>
      </c>
    </row>
    <row r="58" spans="1:27" s="22" customFormat="1" x14ac:dyDescent="0.25">
      <c r="A58" s="137"/>
      <c r="B58" s="17" t="s">
        <v>76</v>
      </c>
      <c r="C58" s="19" t="s">
        <v>33</v>
      </c>
      <c r="D58" s="18" t="s">
        <v>77</v>
      </c>
      <c r="E58" s="19" t="s">
        <v>883</v>
      </c>
      <c r="F58" s="20">
        <f>904.9+918.5+945.7+910.4+925.8+909.4+940.7</f>
        <v>6455.4</v>
      </c>
      <c r="G58" s="21">
        <v>6455.4</v>
      </c>
      <c r="H58" s="21">
        <f t="shared" si="92"/>
        <v>0</v>
      </c>
      <c r="I58" s="22" t="s">
        <v>884</v>
      </c>
      <c r="J58" s="19"/>
      <c r="K58" s="24"/>
      <c r="L58" s="24">
        <v>43029</v>
      </c>
      <c r="M58" s="18" t="s">
        <v>98</v>
      </c>
      <c r="N58" s="19"/>
      <c r="O58" s="3">
        <v>19.5</v>
      </c>
      <c r="P58" s="31"/>
      <c r="Q58" s="3"/>
      <c r="R58" s="3"/>
      <c r="S58" s="27"/>
      <c r="T58" s="27"/>
      <c r="U58" s="3"/>
      <c r="V58" s="19"/>
      <c r="W58" s="3"/>
      <c r="X58" s="3">
        <f t="shared" ref="X58" si="97">IF(O58&gt;0,O58,((P58*2.2046*S58)+(Q58+R58)/G58)+V58)</f>
        <v>19.5</v>
      </c>
      <c r="Y58" s="3">
        <f t="shared" ref="Y58" si="98">IF(O58&gt;0,O58,((P58*2.2046*S58)+(Q58+R58+T58)/G58)+V58+W58)</f>
        <v>19.5</v>
      </c>
      <c r="Z58" s="29">
        <f t="shared" ref="Z58" si="99">Y58*F58</f>
        <v>125880.29999999999</v>
      </c>
      <c r="AA58" s="30">
        <v>43038</v>
      </c>
    </row>
    <row r="59" spans="1:27" s="22" customFormat="1" ht="15.75" thickBot="1" x14ac:dyDescent="0.3">
      <c r="A59" s="138"/>
      <c r="B59" s="34"/>
      <c r="C59" s="6"/>
      <c r="D59" s="6"/>
      <c r="E59" s="6"/>
      <c r="F59" s="35"/>
      <c r="G59" s="35"/>
      <c r="H59" s="35"/>
      <c r="I59" s="9"/>
      <c r="J59" s="6"/>
      <c r="K59" s="10"/>
      <c r="L59" s="10"/>
      <c r="M59" s="6"/>
      <c r="N59" s="6"/>
      <c r="O59" s="11"/>
      <c r="P59" s="12"/>
      <c r="Q59" s="11"/>
      <c r="R59" s="11"/>
      <c r="S59" s="11"/>
      <c r="T59" s="11"/>
      <c r="U59" s="11"/>
      <c r="V59" s="11"/>
      <c r="W59" s="11"/>
      <c r="X59" s="11"/>
      <c r="Y59" s="11"/>
      <c r="Z59" s="15"/>
      <c r="AA59" s="36"/>
    </row>
    <row r="60" spans="1:27" s="22" customFormat="1" x14ac:dyDescent="0.25">
      <c r="A60" s="139"/>
      <c r="B60" s="38" t="s">
        <v>41</v>
      </c>
      <c r="C60" s="38" t="s">
        <v>42</v>
      </c>
      <c r="D60" s="39" t="s">
        <v>43</v>
      </c>
      <c r="E60" s="38">
        <f>230</f>
        <v>230</v>
      </c>
      <c r="F60" s="40">
        <f>26790</f>
        <v>26790</v>
      </c>
      <c r="G60" s="41">
        <f>18080</f>
        <v>18080</v>
      </c>
      <c r="H60" s="21">
        <f t="shared" ref="H60:H62" si="100">G60-F60</f>
        <v>-8710</v>
      </c>
      <c r="I60" s="39" t="s">
        <v>885</v>
      </c>
      <c r="J60" s="38"/>
      <c r="K60" s="42"/>
      <c r="L60" s="42">
        <v>43030</v>
      </c>
      <c r="M60" s="39" t="s">
        <v>57</v>
      </c>
      <c r="N60" s="38"/>
      <c r="O60" s="43">
        <v>24.5</v>
      </c>
      <c r="P60" s="44"/>
      <c r="Q60" s="43">
        <f>19800</f>
        <v>19800</v>
      </c>
      <c r="R60" s="43">
        <f t="shared" ref="R60:R62" si="101">65*E60</f>
        <v>14950</v>
      </c>
      <c r="S60" s="43">
        <f t="shared" ref="S60:S62" si="102">-38*E60</f>
        <v>-8740</v>
      </c>
      <c r="T60" s="46">
        <f>X60*F60*0.0045</f>
        <v>4557.5857757190261</v>
      </c>
      <c r="U60" s="43">
        <f>E60*5</f>
        <v>1150</v>
      </c>
      <c r="V60" s="38"/>
      <c r="W60" s="43">
        <v>0.3</v>
      </c>
      <c r="X60" s="43">
        <f>((O60*F60)+Q60+R60+S60+U60)/G60</f>
        <v>37.805033185840706</v>
      </c>
      <c r="Y60" s="47">
        <f t="shared" ref="Y60:Y62" si="103">((O60*F60)+Q60+R60+S60+T60+U60)/G60+W60</f>
        <v>38.357112045117198</v>
      </c>
      <c r="Z60" s="47">
        <f>Y60*G60</f>
        <v>693496.58577571891</v>
      </c>
      <c r="AA60" s="48">
        <v>43045</v>
      </c>
    </row>
    <row r="61" spans="1:27" s="22" customFormat="1" x14ac:dyDescent="0.25">
      <c r="A61" s="140"/>
      <c r="B61" s="17" t="s">
        <v>41</v>
      </c>
      <c r="C61" s="19" t="s">
        <v>42</v>
      </c>
      <c r="D61" s="18" t="s">
        <v>58</v>
      </c>
      <c r="E61" s="19">
        <v>100</v>
      </c>
      <c r="F61" s="20">
        <v>11450</v>
      </c>
      <c r="G61" s="21">
        <v>12040</v>
      </c>
      <c r="H61" s="21">
        <f t="shared" si="100"/>
        <v>590</v>
      </c>
      <c r="I61" s="18" t="s">
        <v>886</v>
      </c>
      <c r="J61" s="19"/>
      <c r="K61" s="24"/>
      <c r="L61" s="24">
        <v>43030</v>
      </c>
      <c r="M61" s="18" t="s">
        <v>57</v>
      </c>
      <c r="N61" s="19"/>
      <c r="O61" s="3">
        <v>24.5</v>
      </c>
      <c r="P61" s="31"/>
      <c r="Q61" s="3">
        <v>15700</v>
      </c>
      <c r="R61" s="3">
        <f t="shared" si="101"/>
        <v>6500</v>
      </c>
      <c r="S61" s="27">
        <f t="shared" si="102"/>
        <v>-3800</v>
      </c>
      <c r="T61" s="27">
        <f>X61*F61*0.0045</f>
        <v>1281.3848110465117</v>
      </c>
      <c r="U61" s="3">
        <f>E61*5</f>
        <v>500</v>
      </c>
      <c r="V61" s="19"/>
      <c r="W61" s="3">
        <v>0.3</v>
      </c>
      <c r="X61" s="3">
        <f>((O61*F61)+Q61+R61+S61+U61)/G61</f>
        <v>24.869186046511629</v>
      </c>
      <c r="Y61" s="3">
        <f t="shared" si="103"/>
        <v>25.275613356399216</v>
      </c>
      <c r="Z61" s="29">
        <f>Y61*G61</f>
        <v>304318.38481104653</v>
      </c>
      <c r="AA61" s="30">
        <v>43045</v>
      </c>
    </row>
    <row r="62" spans="1:27" s="22" customFormat="1" x14ac:dyDescent="0.25">
      <c r="A62" s="140"/>
      <c r="B62" s="17" t="s">
        <v>41</v>
      </c>
      <c r="C62" s="19" t="s">
        <v>42</v>
      </c>
      <c r="D62" s="18" t="s">
        <v>45</v>
      </c>
      <c r="E62" s="19">
        <v>261</v>
      </c>
      <c r="F62" s="20">
        <v>30100</v>
      </c>
      <c r="G62" s="21">
        <f>17760+6430</f>
        <v>24190</v>
      </c>
      <c r="H62" s="21">
        <f t="shared" si="100"/>
        <v>-5910</v>
      </c>
      <c r="I62" s="18" t="s">
        <v>887</v>
      </c>
      <c r="J62" s="19"/>
      <c r="K62" s="24"/>
      <c r="L62" s="24">
        <v>43031</v>
      </c>
      <c r="M62" s="18" t="s">
        <v>60</v>
      </c>
      <c r="N62" s="19"/>
      <c r="O62" s="3">
        <v>24.5</v>
      </c>
      <c r="P62" s="31"/>
      <c r="Q62" s="3">
        <v>19800</v>
      </c>
      <c r="R62" s="3">
        <f t="shared" si="101"/>
        <v>16965</v>
      </c>
      <c r="S62" s="27">
        <f t="shared" si="102"/>
        <v>-9918</v>
      </c>
      <c r="T62" s="27">
        <f>X62*F62*0.0045</f>
        <v>4286.9281066556423</v>
      </c>
      <c r="U62" s="3">
        <f>E62*5</f>
        <v>1305</v>
      </c>
      <c r="V62" s="19"/>
      <c r="W62" s="3">
        <v>0.3</v>
      </c>
      <c r="X62" s="3">
        <f>((O62*F62)+Q62+R62+S62+U62)/G62</f>
        <v>31.649524596940886</v>
      </c>
      <c r="Y62" s="3">
        <f t="shared" si="103"/>
        <v>32.126743617472329</v>
      </c>
      <c r="Z62" s="29">
        <f>Y62*G62</f>
        <v>777145.9281066556</v>
      </c>
      <c r="AA62" s="30">
        <v>43045</v>
      </c>
    </row>
    <row r="63" spans="1:27" s="22" customFormat="1" x14ac:dyDescent="0.25">
      <c r="A63" s="140"/>
      <c r="B63" s="17" t="s">
        <v>26</v>
      </c>
      <c r="C63" s="18" t="s">
        <v>27</v>
      </c>
      <c r="D63" s="18" t="s">
        <v>27</v>
      </c>
      <c r="E63" s="19" t="s">
        <v>28</v>
      </c>
      <c r="F63" s="20">
        <f>40461*0.4536</f>
        <v>18353.1096</v>
      </c>
      <c r="G63" s="158">
        <v>18300</v>
      </c>
      <c r="H63" s="21">
        <f>G63-F63</f>
        <v>-53.109599999999773</v>
      </c>
      <c r="I63" s="22" t="s">
        <v>888</v>
      </c>
      <c r="J63" s="159" t="s">
        <v>30</v>
      </c>
      <c r="K63" s="24">
        <v>43031</v>
      </c>
      <c r="L63" s="24">
        <v>43032</v>
      </c>
      <c r="M63" s="18" t="s">
        <v>62</v>
      </c>
      <c r="N63" s="18" t="s">
        <v>889</v>
      </c>
      <c r="O63" s="3"/>
      <c r="P63" s="25">
        <f>0.6994+0.095</f>
        <v>0.7944</v>
      </c>
      <c r="Q63" s="26">
        <v>23000</v>
      </c>
      <c r="R63" s="150">
        <v>9400</v>
      </c>
      <c r="S63" s="157">
        <v>19.5</v>
      </c>
      <c r="T63" s="27">
        <f>X63*F63*0.005</f>
        <v>3307.3688684802655</v>
      </c>
      <c r="U63" s="3"/>
      <c r="V63" s="3">
        <v>0.12</v>
      </c>
      <c r="W63" s="3">
        <v>0.3</v>
      </c>
      <c r="X63" s="3">
        <f>IF(O63&gt;0,O63,((P63*2.2046*S63)+(Q63+R63)/G63)+V63)</f>
        <v>36.041509483278688</v>
      </c>
      <c r="Y63" s="3">
        <f t="shared" ref="Y63:Y64" si="104">IF(O63&gt;0,O63,((P63*2.2046*S63)+(Q63+R63+T63)/G63)+V63+W63)</f>
        <v>36.522240022539904</v>
      </c>
      <c r="Z63" s="29">
        <f>Y63*F63</f>
        <v>670296.67397118127</v>
      </c>
      <c r="AA63" s="30">
        <v>43042</v>
      </c>
    </row>
    <row r="64" spans="1:27" s="22" customFormat="1" x14ac:dyDescent="0.25">
      <c r="A64" s="140"/>
      <c r="B64" s="17" t="s">
        <v>26</v>
      </c>
      <c r="C64" s="18" t="s">
        <v>37</v>
      </c>
      <c r="D64" s="18" t="s">
        <v>37</v>
      </c>
      <c r="E64" s="19" t="s">
        <v>28</v>
      </c>
      <c r="F64" s="20">
        <f>41370*0.4536</f>
        <v>18765.432000000001</v>
      </c>
      <c r="G64" s="158">
        <v>18750</v>
      </c>
      <c r="H64" s="21">
        <f>G64-F64</f>
        <v>-15.432000000000698</v>
      </c>
      <c r="I64" s="144" t="s">
        <v>890</v>
      </c>
      <c r="J64" s="159" t="s">
        <v>30</v>
      </c>
      <c r="K64" s="24">
        <v>43031</v>
      </c>
      <c r="L64" s="24">
        <v>43032</v>
      </c>
      <c r="M64" s="18" t="s">
        <v>62</v>
      </c>
      <c r="N64" s="18" t="s">
        <v>891</v>
      </c>
      <c r="O64" s="3"/>
      <c r="P64" s="25">
        <f>0.6785+0.095</f>
        <v>0.77349999999999997</v>
      </c>
      <c r="Q64" s="26">
        <v>23000</v>
      </c>
      <c r="R64" s="3">
        <v>9400</v>
      </c>
      <c r="S64" s="51">
        <v>19.096</v>
      </c>
      <c r="T64" s="27">
        <f>X64*F64*0.005</f>
        <v>3228.7435132505639</v>
      </c>
      <c r="V64" s="3">
        <v>0.12</v>
      </c>
      <c r="W64" s="3">
        <v>0.3</v>
      </c>
      <c r="X64" s="3">
        <f t="shared" ref="X64" si="105">IF(O64&gt;0,O64,((P64*2.2046*S64)+(Q64+R64)/G64)+V64)</f>
        <v>34.4116086776</v>
      </c>
      <c r="Y64" s="3">
        <f t="shared" si="104"/>
        <v>34.883808331640026</v>
      </c>
      <c r="Z64" s="29">
        <f t="shared" ref="Z64" si="106">Y64*F64</f>
        <v>654609.73314842442</v>
      </c>
      <c r="AA64" s="30">
        <v>43025</v>
      </c>
    </row>
    <row r="65" spans="1:27" s="22" customFormat="1" x14ac:dyDescent="0.25">
      <c r="A65" s="140"/>
      <c r="B65" s="17" t="s">
        <v>41</v>
      </c>
      <c r="C65" s="19" t="s">
        <v>42</v>
      </c>
      <c r="D65" s="18" t="s">
        <v>58</v>
      </c>
      <c r="E65" s="19">
        <v>259</v>
      </c>
      <c r="F65" s="20">
        <v>30365</v>
      </c>
      <c r="G65" s="21">
        <f>17740+6660</f>
        <v>24400</v>
      </c>
      <c r="H65" s="21">
        <f>G65-F65</f>
        <v>-5965</v>
      </c>
      <c r="I65" s="18" t="s">
        <v>892</v>
      </c>
      <c r="J65" s="19"/>
      <c r="K65" s="24"/>
      <c r="L65" s="24">
        <v>43032</v>
      </c>
      <c r="M65" s="18" t="s">
        <v>62</v>
      </c>
      <c r="N65" s="19"/>
      <c r="O65" s="3">
        <v>24.5</v>
      </c>
      <c r="P65" s="31"/>
      <c r="Q65" s="33">
        <v>19800</v>
      </c>
      <c r="R65" s="3">
        <f>65*E65</f>
        <v>16835</v>
      </c>
      <c r="S65" s="27">
        <f>-38*E65</f>
        <v>-9842</v>
      </c>
      <c r="T65" s="27">
        <f t="shared" ref="T65" si="107">X65*F65*0.005</f>
        <v>4803.8332238729508</v>
      </c>
      <c r="U65" s="3">
        <f>E65*5</f>
        <v>1295</v>
      </c>
      <c r="V65" s="19"/>
      <c r="W65" s="3">
        <v>0.3</v>
      </c>
      <c r="X65" s="3">
        <f>((O65*F65)+Q65+R65+S65+U65)/G65</f>
        <v>31.640594262295082</v>
      </c>
      <c r="Y65" s="3">
        <f>((O65*F65)+Q65+R65+S65+T65+U65)/G65+W65</f>
        <v>32.137472673109542</v>
      </c>
      <c r="Z65" s="29">
        <f>Y65*G65</f>
        <v>784154.33322387282</v>
      </c>
      <c r="AA65" s="30">
        <v>43045</v>
      </c>
    </row>
    <row r="66" spans="1:27" s="22" customFormat="1" x14ac:dyDescent="0.25">
      <c r="A66" s="140"/>
      <c r="B66" s="17" t="s">
        <v>26</v>
      </c>
      <c r="C66" s="18" t="s">
        <v>37</v>
      </c>
      <c r="D66" s="18" t="s">
        <v>37</v>
      </c>
      <c r="E66" s="19" t="s">
        <v>28</v>
      </c>
      <c r="F66" s="20">
        <f>40875*0.4536</f>
        <v>18540.900000000001</v>
      </c>
      <c r="G66" s="158">
        <v>18500</v>
      </c>
      <c r="H66" s="21">
        <f>G66-F66</f>
        <v>-40.900000000001455</v>
      </c>
      <c r="I66" s="144" t="s">
        <v>893</v>
      </c>
      <c r="J66" s="159" t="s">
        <v>30</v>
      </c>
      <c r="K66" s="24">
        <v>43032</v>
      </c>
      <c r="L66" s="24">
        <v>43033</v>
      </c>
      <c r="M66" s="18" t="s">
        <v>31</v>
      </c>
      <c r="N66" s="18" t="s">
        <v>889</v>
      </c>
      <c r="O66" s="3"/>
      <c r="P66" s="25">
        <f>0.6994+0.095</f>
        <v>0.7944</v>
      </c>
      <c r="Q66" s="26">
        <v>23000</v>
      </c>
      <c r="R66" s="3">
        <v>9400</v>
      </c>
      <c r="S66" s="51">
        <v>19.052</v>
      </c>
      <c r="T66" s="27">
        <f>X66*F66*0.005</f>
        <v>3266.6999687235798</v>
      </c>
      <c r="V66" s="3">
        <v>0.12</v>
      </c>
      <c r="W66" s="3">
        <v>0.3</v>
      </c>
      <c r="X66" s="3">
        <f t="shared" ref="X66" si="108">IF(O66&gt;0,O66,((P66*2.2046*S66)+(Q66+R66)/G66)+V66)</f>
        <v>35.237771291831351</v>
      </c>
      <c r="Y66" s="3">
        <f t="shared" ref="Y66" si="109">IF(O66&gt;0,O66,((P66*2.2046*S66)+(Q66+R66+T66)/G66)+V66+W66)</f>
        <v>35.714349668519105</v>
      </c>
      <c r="Z66" s="29">
        <f t="shared" ref="Z66" si="110">Y66*F66</f>
        <v>662176.18576904596</v>
      </c>
      <c r="AA66" s="30">
        <v>43026</v>
      </c>
    </row>
    <row r="67" spans="1:27" s="22" customFormat="1" x14ac:dyDescent="0.25">
      <c r="A67" s="140"/>
      <c r="B67" s="17" t="s">
        <v>26</v>
      </c>
      <c r="C67" s="18" t="s">
        <v>33</v>
      </c>
      <c r="D67" s="18" t="s">
        <v>33</v>
      </c>
      <c r="E67" s="19" t="s">
        <v>34</v>
      </c>
      <c r="F67" s="20">
        <f>41843*0.4536</f>
        <v>18979.984799999998</v>
      </c>
      <c r="G67" s="158">
        <v>18950</v>
      </c>
      <c r="H67" s="21">
        <f>G67-F67</f>
        <v>-29.984799999998359</v>
      </c>
      <c r="I67" s="22" t="s">
        <v>894</v>
      </c>
      <c r="J67" s="159" t="s">
        <v>39</v>
      </c>
      <c r="K67" s="24">
        <v>43028</v>
      </c>
      <c r="L67" s="24">
        <v>43029</v>
      </c>
      <c r="M67" s="18" t="s">
        <v>98</v>
      </c>
      <c r="N67" s="18" t="s">
        <v>895</v>
      </c>
      <c r="O67" s="3"/>
      <c r="P67" s="25">
        <f>0.6994+0.105</f>
        <v>0.8044</v>
      </c>
      <c r="Q67" s="26">
        <v>23000</v>
      </c>
      <c r="R67" s="3">
        <v>9400</v>
      </c>
      <c r="S67" s="51">
        <v>19.04</v>
      </c>
      <c r="T67" s="27">
        <f t="shared" ref="T67" si="111">X67*F67*0.005</f>
        <v>3377.9554213008914</v>
      </c>
      <c r="V67" s="3">
        <v>0.12</v>
      </c>
      <c r="W67" s="3">
        <v>0.3</v>
      </c>
      <c r="X67" s="3">
        <f>IF(O67&gt;0,O67,((P67*2.2046*S67)+(Q67+R67)/G67)+V67)</f>
        <v>35.594922302581523</v>
      </c>
      <c r="Y67" s="3">
        <f>IF(O67&gt;0,O67,((P67*2.2046*S67)+(Q67+R67+T67)/G67)+V67+W67)</f>
        <v>36.073178525341461</v>
      </c>
      <c r="Z67" s="29">
        <f>Y67*F67</f>
        <v>684668.38009866735</v>
      </c>
      <c r="AA67" s="30">
        <v>43024</v>
      </c>
    </row>
    <row r="68" spans="1:27" s="22" customFormat="1" x14ac:dyDescent="0.25">
      <c r="A68" s="140"/>
      <c r="B68" s="17" t="s">
        <v>41</v>
      </c>
      <c r="C68" s="19" t="s">
        <v>42</v>
      </c>
      <c r="D68" s="18" t="s">
        <v>43</v>
      </c>
      <c r="E68" s="19">
        <v>258</v>
      </c>
      <c r="F68" s="20">
        <v>29440</v>
      </c>
      <c r="G68" s="21">
        <f>17040+6380</f>
        <v>23420</v>
      </c>
      <c r="H68" s="21">
        <f t="shared" ref="H68" si="112">G68-F68</f>
        <v>-6020</v>
      </c>
      <c r="I68" s="22" t="s">
        <v>896</v>
      </c>
      <c r="J68" s="19"/>
      <c r="K68" s="24"/>
      <c r="L68" s="24">
        <v>43033</v>
      </c>
      <c r="M68" s="18" t="s">
        <v>31</v>
      </c>
      <c r="N68" s="19"/>
      <c r="O68" s="3">
        <v>24.5</v>
      </c>
      <c r="P68" s="31"/>
      <c r="Q68" s="3">
        <v>19800</v>
      </c>
      <c r="R68" s="3">
        <f>65*E68</f>
        <v>16770</v>
      </c>
      <c r="S68" s="27">
        <f>-38*E68</f>
        <v>-9804</v>
      </c>
      <c r="T68" s="27">
        <f>X68*F68*0.0045</f>
        <v>4238.7717028181041</v>
      </c>
      <c r="U68" s="3">
        <f>E68*5</f>
        <v>1290</v>
      </c>
      <c r="V68" s="19"/>
      <c r="W68" s="3">
        <v>0.3</v>
      </c>
      <c r="X68" s="3">
        <f>((O68*F68)+Q68+R68+S68+U68)/G68</f>
        <v>31.995559350982067</v>
      </c>
      <c r="Y68" s="3">
        <f t="shared" ref="Y68" si="113">((O68*F68)+Q68+R68+S68+T68+U68)/G68+W68</f>
        <v>32.47654874905286</v>
      </c>
      <c r="Z68" s="29">
        <f>Y68*G68</f>
        <v>760600.77170281799</v>
      </c>
      <c r="AA68" s="30"/>
    </row>
    <row r="69" spans="1:27" s="22" customFormat="1" x14ac:dyDescent="0.25">
      <c r="A69" s="140"/>
      <c r="B69" s="17" t="s">
        <v>26</v>
      </c>
      <c r="C69" s="18" t="s">
        <v>33</v>
      </c>
      <c r="D69" s="18" t="s">
        <v>33</v>
      </c>
      <c r="E69" s="19" t="s">
        <v>34</v>
      </c>
      <c r="F69" s="20">
        <f>42523*0.4536</f>
        <v>19288.432799999999</v>
      </c>
      <c r="G69" s="158">
        <v>19250</v>
      </c>
      <c r="H69" s="21">
        <f>G69-F69</f>
        <v>-38.432799999998679</v>
      </c>
      <c r="I69" s="22" t="s">
        <v>897</v>
      </c>
      <c r="J69" s="159" t="s">
        <v>30</v>
      </c>
      <c r="K69" s="24">
        <v>43034</v>
      </c>
      <c r="L69" s="24">
        <v>43035</v>
      </c>
      <c r="M69" s="18" t="s">
        <v>49</v>
      </c>
      <c r="N69" s="18" t="s">
        <v>895</v>
      </c>
      <c r="O69" s="3"/>
      <c r="P69" s="25">
        <v>0.8044</v>
      </c>
      <c r="Q69" s="3">
        <v>23000</v>
      </c>
      <c r="R69" s="3">
        <v>9400</v>
      </c>
      <c r="S69" s="51">
        <v>19.018999999999998</v>
      </c>
      <c r="T69" s="27">
        <f>X69*F69*0.005</f>
        <v>3426.6899689519423</v>
      </c>
      <c r="V69" s="3">
        <v>0.12</v>
      </c>
      <c r="W69" s="3">
        <v>0.3</v>
      </c>
      <c r="X69" s="3">
        <f t="shared" ref="X69" si="114">IF(O69&gt;0,O69,((P69*2.2046*S69)+(Q69+R69)/G69)+V69)</f>
        <v>35.531035667676875</v>
      </c>
      <c r="Y69" s="3">
        <f t="shared" ref="Y69" si="115">IF(O69&gt;0,O69,((P69*2.2046*S69)+(Q69+R69+T69)/G69)+V69+W69)</f>
        <v>36.00904553619386</v>
      </c>
      <c r="Z69" s="29">
        <f t="shared" ref="Z69" si="116">Y69*F69</f>
        <v>694558.0550170152</v>
      </c>
      <c r="AA69" s="30">
        <v>43027</v>
      </c>
    </row>
    <row r="70" spans="1:27" s="22" customFormat="1" x14ac:dyDescent="0.25">
      <c r="A70" s="140"/>
      <c r="B70" s="17" t="s">
        <v>41</v>
      </c>
      <c r="C70" s="19" t="s">
        <v>42</v>
      </c>
      <c r="D70" s="18"/>
      <c r="E70" s="19">
        <v>250</v>
      </c>
      <c r="F70" s="20"/>
      <c r="G70" s="21"/>
      <c r="H70" s="21">
        <f t="shared" ref="H70:H71" si="117">G70-F70</f>
        <v>0</v>
      </c>
      <c r="J70" s="19"/>
      <c r="K70" s="24"/>
      <c r="L70" s="24">
        <v>43034</v>
      </c>
      <c r="M70" s="18" t="s">
        <v>47</v>
      </c>
      <c r="N70" s="19"/>
      <c r="O70" s="3">
        <v>24.5</v>
      </c>
      <c r="P70" s="31"/>
      <c r="Q70" s="33">
        <v>19800</v>
      </c>
      <c r="R70" s="3">
        <f t="shared" ref="R70:R71" si="118">65*E70</f>
        <v>16250</v>
      </c>
      <c r="S70" s="27">
        <f t="shared" ref="S70:S71" si="119">-38*E70</f>
        <v>-9500</v>
      </c>
      <c r="T70" s="27" t="e">
        <f t="shared" ref="T70:T71" si="120">X70*F70*0.0045</f>
        <v>#DIV/0!</v>
      </c>
      <c r="U70" s="3">
        <f t="shared" ref="U70:U71" si="121">E70*5</f>
        <v>1250</v>
      </c>
      <c r="V70" s="19"/>
      <c r="W70" s="3">
        <v>0.3</v>
      </c>
      <c r="X70" s="3" t="e">
        <f t="shared" ref="X70:X71" si="122">((O70*F70)+Q70+R70+S70+U70)/G70</f>
        <v>#DIV/0!</v>
      </c>
      <c r="Y70" s="3" t="e">
        <f t="shared" ref="Y70:Y71" si="123">((O70*F70)+Q70+R70+S70+T70+U70)/G70+W70</f>
        <v>#DIV/0!</v>
      </c>
      <c r="Z70" s="29" t="e">
        <f t="shared" ref="Z70:Z71" si="124">Y70*G70</f>
        <v>#DIV/0!</v>
      </c>
      <c r="AA70" s="30"/>
    </row>
    <row r="71" spans="1:27" s="22" customFormat="1" x14ac:dyDescent="0.25">
      <c r="A71" s="140"/>
      <c r="B71" s="17" t="s">
        <v>41</v>
      </c>
      <c r="C71" s="19" t="s">
        <v>42</v>
      </c>
      <c r="D71" s="18"/>
      <c r="E71" s="19">
        <v>130</v>
      </c>
      <c r="F71" s="20"/>
      <c r="G71" s="21"/>
      <c r="H71" s="21">
        <f t="shared" si="117"/>
        <v>0</v>
      </c>
      <c r="J71" s="19"/>
      <c r="K71" s="24"/>
      <c r="L71" s="24">
        <v>43034</v>
      </c>
      <c r="M71" s="18" t="s">
        <v>47</v>
      </c>
      <c r="N71" s="19"/>
      <c r="O71" s="3">
        <v>24.5</v>
      </c>
      <c r="P71" s="31"/>
      <c r="Q71" s="3">
        <v>15700</v>
      </c>
      <c r="R71" s="3">
        <f t="shared" si="118"/>
        <v>8450</v>
      </c>
      <c r="S71" s="27">
        <f t="shared" si="119"/>
        <v>-4940</v>
      </c>
      <c r="T71" s="27" t="e">
        <f t="shared" si="120"/>
        <v>#DIV/0!</v>
      </c>
      <c r="U71" s="3">
        <f t="shared" si="121"/>
        <v>650</v>
      </c>
      <c r="V71" s="19"/>
      <c r="W71" s="3">
        <v>0.3</v>
      </c>
      <c r="X71" s="3" t="e">
        <f t="shared" si="122"/>
        <v>#DIV/0!</v>
      </c>
      <c r="Y71" s="3" t="e">
        <f t="shared" si="123"/>
        <v>#DIV/0!</v>
      </c>
      <c r="Z71" s="29" t="e">
        <f t="shared" si="124"/>
        <v>#DIV/0!</v>
      </c>
      <c r="AA71" s="30"/>
    </row>
    <row r="72" spans="1:27" s="22" customFormat="1" x14ac:dyDescent="0.25">
      <c r="A72" s="140"/>
      <c r="B72" s="17" t="s">
        <v>26</v>
      </c>
      <c r="C72" s="18" t="s">
        <v>27</v>
      </c>
      <c r="D72" s="18" t="s">
        <v>27</v>
      </c>
      <c r="E72" s="19" t="s">
        <v>28</v>
      </c>
      <c r="F72" s="20">
        <f>41884*0.4536</f>
        <v>18998.582399999999</v>
      </c>
      <c r="G72" s="158">
        <v>18950</v>
      </c>
      <c r="H72" s="21">
        <f>G72-F72</f>
        <v>-48.582399999999325</v>
      </c>
      <c r="I72" s="22" t="s">
        <v>898</v>
      </c>
      <c r="J72" s="159" t="s">
        <v>30</v>
      </c>
      <c r="K72" s="24">
        <v>43034</v>
      </c>
      <c r="L72" s="24">
        <v>43035</v>
      </c>
      <c r="M72" s="18" t="s">
        <v>49</v>
      </c>
      <c r="N72" s="18" t="s">
        <v>899</v>
      </c>
      <c r="O72" s="3"/>
      <c r="P72" s="25">
        <f>0.6994+0.095</f>
        <v>0.7944</v>
      </c>
      <c r="Q72" s="3">
        <v>23000</v>
      </c>
      <c r="R72" s="150">
        <v>9400</v>
      </c>
      <c r="S72" s="157">
        <v>19.5</v>
      </c>
      <c r="T72" s="27">
        <f>X72*F72*0.005</f>
        <v>3417.9190884630952</v>
      </c>
      <c r="V72" s="3">
        <v>0.12</v>
      </c>
      <c r="W72" s="3">
        <v>0.3</v>
      </c>
      <c r="X72" s="3">
        <f t="shared" ref="X72" si="125">IF(O72&gt;0,O72,((P72*2.2046*S72)+(Q72+R72)/G72)+V72)</f>
        <v>35.980780212981529</v>
      </c>
      <c r="Y72" s="3">
        <f t="shared" ref="Y72" si="126">IF(O72&gt;0,O72,((P72*2.2046*S72)+(Q72+R72+T72)/G72)+V72+W72)</f>
        <v>36.461145336383275</v>
      </c>
      <c r="Z72" s="29">
        <f t="shared" ref="Z72" si="127">Y72*F72</f>
        <v>692710.0740716533</v>
      </c>
      <c r="AA72" s="30"/>
    </row>
    <row r="73" spans="1:27" s="22" customFormat="1" x14ac:dyDescent="0.25">
      <c r="A73" s="140"/>
      <c r="B73" s="17" t="s">
        <v>41</v>
      </c>
      <c r="C73" s="19" t="s">
        <v>42</v>
      </c>
      <c r="D73" s="18"/>
      <c r="E73" s="19">
        <v>250</v>
      </c>
      <c r="F73" s="20"/>
      <c r="G73" s="21"/>
      <c r="H73" s="21">
        <f t="shared" ref="H73:H74" si="128">G73-F73</f>
        <v>0</v>
      </c>
      <c r="J73" s="19"/>
      <c r="K73" s="24"/>
      <c r="L73" s="24">
        <v>43035</v>
      </c>
      <c r="M73" s="18" t="s">
        <v>49</v>
      </c>
      <c r="N73" s="19"/>
      <c r="O73" s="3"/>
      <c r="P73" s="31"/>
      <c r="Q73" s="3">
        <v>19800</v>
      </c>
      <c r="R73" s="3">
        <f t="shared" ref="R73:R74" si="129">65*E73</f>
        <v>16250</v>
      </c>
      <c r="S73" s="27">
        <f t="shared" ref="S73:S74" si="130">-38*E73</f>
        <v>-9500</v>
      </c>
      <c r="T73" s="27" t="e">
        <f>X73*F73*0.0045</f>
        <v>#DIV/0!</v>
      </c>
      <c r="U73" s="3">
        <f>E73*5</f>
        <v>1250</v>
      </c>
      <c r="V73" s="19"/>
      <c r="W73" s="3">
        <v>0.3</v>
      </c>
      <c r="X73" s="3" t="e">
        <f>((O73*F73)+Q73+R73+S73+U73)/G73</f>
        <v>#DIV/0!</v>
      </c>
      <c r="Y73" s="3" t="e">
        <f t="shared" ref="Y73:Y74" si="131">((O73*F73)+Q73+R73+S73+T73+U73)/G73+W73</f>
        <v>#DIV/0!</v>
      </c>
      <c r="Z73" s="29" t="e">
        <f t="shared" ref="Z73:Z74" si="132">Y73*G73</f>
        <v>#DIV/0!</v>
      </c>
      <c r="AA73" s="30"/>
    </row>
    <row r="74" spans="1:27" s="22" customFormat="1" x14ac:dyDescent="0.25">
      <c r="A74" s="140"/>
      <c r="B74" s="17" t="s">
        <v>41</v>
      </c>
      <c r="C74" s="19" t="s">
        <v>42</v>
      </c>
      <c r="D74" s="18"/>
      <c r="E74" s="19">
        <v>130</v>
      </c>
      <c r="F74" s="20"/>
      <c r="G74" s="21"/>
      <c r="H74" s="21">
        <f t="shared" si="128"/>
        <v>0</v>
      </c>
      <c r="I74" s="18"/>
      <c r="J74" s="19"/>
      <c r="K74" s="24"/>
      <c r="L74" s="24">
        <v>43035</v>
      </c>
      <c r="M74" s="18" t="s">
        <v>49</v>
      </c>
      <c r="N74" s="19"/>
      <c r="O74" s="3"/>
      <c r="P74" s="31"/>
      <c r="Q74" s="3">
        <v>15700</v>
      </c>
      <c r="R74" s="3">
        <f t="shared" si="129"/>
        <v>8450</v>
      </c>
      <c r="S74" s="27">
        <f t="shared" si="130"/>
        <v>-4940</v>
      </c>
      <c r="T74" s="27" t="e">
        <f>X74*F74*0.0045</f>
        <v>#DIV/0!</v>
      </c>
      <c r="U74" s="3">
        <f>E74*5</f>
        <v>650</v>
      </c>
      <c r="V74" s="19"/>
      <c r="W74" s="3">
        <v>0.3</v>
      </c>
      <c r="X74" s="3" t="e">
        <f>((O74*F74)+Q74+R74+S74+U74)/G74</f>
        <v>#DIV/0!</v>
      </c>
      <c r="Y74" s="3" t="e">
        <f t="shared" si="131"/>
        <v>#DIV/0!</v>
      </c>
      <c r="Z74" s="29" t="e">
        <f t="shared" si="132"/>
        <v>#DIV/0!</v>
      </c>
      <c r="AA74" s="30"/>
    </row>
    <row r="75" spans="1:27" s="22" customFormat="1" x14ac:dyDescent="0.25">
      <c r="A75" s="140"/>
      <c r="B75" s="17" t="s">
        <v>26</v>
      </c>
      <c r="C75" s="18" t="s">
        <v>33</v>
      </c>
      <c r="D75" s="18" t="s">
        <v>33</v>
      </c>
      <c r="E75" s="19"/>
      <c r="F75" s="20">
        <v>19000</v>
      </c>
      <c r="G75" s="158">
        <v>19000</v>
      </c>
      <c r="H75" s="21">
        <f>G75-F75</f>
        <v>0</v>
      </c>
      <c r="I75" s="22" t="s">
        <v>900</v>
      </c>
      <c r="J75" s="159" t="s">
        <v>30</v>
      </c>
      <c r="K75" s="24">
        <v>43035</v>
      </c>
      <c r="L75" s="24">
        <v>43036</v>
      </c>
      <c r="M75" s="18" t="s">
        <v>98</v>
      </c>
      <c r="N75" s="18" t="s">
        <v>901</v>
      </c>
      <c r="O75" s="3"/>
      <c r="P75" s="25">
        <f>0.7124+0.105</f>
        <v>0.81740000000000002</v>
      </c>
      <c r="Q75" s="3">
        <v>23000</v>
      </c>
      <c r="R75" s="160">
        <v>9500</v>
      </c>
      <c r="S75" s="51">
        <v>19.027000000000001</v>
      </c>
      <c r="T75" s="27">
        <f t="shared" ref="T75" si="133">X75*F75*0.005</f>
        <v>3431.2045049026005</v>
      </c>
      <c r="V75" s="3">
        <v>0.12</v>
      </c>
      <c r="W75" s="3">
        <v>0.3</v>
      </c>
      <c r="X75" s="3">
        <f>IF(O75&gt;0,O75,((P75*2.2046*S75)+(Q75+R75)/G75)+V75)</f>
        <v>36.117942156869475</v>
      </c>
      <c r="Y75" s="3">
        <f>IF(O75&gt;0,O75,((P75*2.2046*S75)+(Q75+R75+T75)/G75)+V75+W75)</f>
        <v>36.598531867653818</v>
      </c>
      <c r="Z75" s="29">
        <f>Y75*F75</f>
        <v>695372.10548542254</v>
      </c>
      <c r="AA75" s="30">
        <v>43031</v>
      </c>
    </row>
    <row r="76" spans="1:27" s="22" customFormat="1" ht="15.75" thickBot="1" x14ac:dyDescent="0.3">
      <c r="A76" s="141"/>
      <c r="B76" s="34"/>
      <c r="C76" s="6"/>
      <c r="D76" s="6"/>
      <c r="E76" s="6"/>
      <c r="F76" s="35"/>
      <c r="G76" s="35"/>
      <c r="H76" s="35"/>
      <c r="I76" s="9"/>
      <c r="J76" s="6"/>
      <c r="K76" s="10"/>
      <c r="L76" s="10"/>
      <c r="M76" s="6"/>
      <c r="N76" s="6"/>
      <c r="O76" s="11"/>
      <c r="P76" s="12"/>
      <c r="Q76" s="11"/>
      <c r="R76" s="11"/>
      <c r="S76" s="11"/>
      <c r="T76" s="11"/>
      <c r="U76" s="11"/>
      <c r="V76" s="11"/>
      <c r="W76" s="11"/>
      <c r="X76" s="11"/>
      <c r="Y76" s="11"/>
      <c r="Z76" s="15"/>
      <c r="AA76" s="36"/>
    </row>
    <row r="77" spans="1:27" s="22" customFormat="1" x14ac:dyDescent="0.25">
      <c r="A77" s="161"/>
      <c r="B77" s="38" t="s">
        <v>41</v>
      </c>
      <c r="C77" s="38" t="s">
        <v>42</v>
      </c>
      <c r="D77" s="39"/>
      <c r="E77" s="38">
        <v>230</v>
      </c>
      <c r="F77" s="40"/>
      <c r="G77" s="41"/>
      <c r="H77" s="21">
        <f t="shared" ref="H77:H78" si="134">G77-F77</f>
        <v>0</v>
      </c>
      <c r="I77" s="39"/>
      <c r="J77" s="38"/>
      <c r="K77" s="42"/>
      <c r="L77" s="42">
        <v>43037</v>
      </c>
      <c r="M77" s="39" t="s">
        <v>57</v>
      </c>
      <c r="N77" s="38"/>
      <c r="O77" s="43"/>
      <c r="P77" s="44"/>
      <c r="Q77" s="43">
        <v>19800</v>
      </c>
      <c r="R77" s="43">
        <f t="shared" ref="R77:R78" si="135">65*E77</f>
        <v>14950</v>
      </c>
      <c r="S77" s="43">
        <f t="shared" ref="S77:S78" si="136">-38*E77</f>
        <v>-8740</v>
      </c>
      <c r="T77" s="46" t="e">
        <f>X77*F77*0.0045</f>
        <v>#DIV/0!</v>
      </c>
      <c r="U77" s="43">
        <f>E77*5</f>
        <v>1150</v>
      </c>
      <c r="V77" s="38"/>
      <c r="W77" s="43">
        <v>0.3</v>
      </c>
      <c r="X77" s="43" t="e">
        <f>((O77*F77)+Q77+R77+S77+U77)/G77</f>
        <v>#DIV/0!</v>
      </c>
      <c r="Y77" s="47" t="e">
        <f t="shared" ref="Y77:Y78" si="137">((O77*F77)+Q77+R77+S77+T77+U77)/G77+W77</f>
        <v>#DIV/0!</v>
      </c>
      <c r="Z77" s="47" t="e">
        <f>Y77*G77</f>
        <v>#DIV/0!</v>
      </c>
      <c r="AA77" s="48"/>
    </row>
    <row r="78" spans="1:27" s="22" customFormat="1" x14ac:dyDescent="0.25">
      <c r="A78" s="162"/>
      <c r="B78" s="17" t="s">
        <v>41</v>
      </c>
      <c r="C78" s="19" t="s">
        <v>42</v>
      </c>
      <c r="D78" s="18"/>
      <c r="E78" s="19">
        <v>200</v>
      </c>
      <c r="F78" s="20"/>
      <c r="G78" s="21"/>
      <c r="H78" s="21">
        <f t="shared" si="134"/>
        <v>0</v>
      </c>
      <c r="I78" s="18"/>
      <c r="J78" s="19"/>
      <c r="K78" s="24"/>
      <c r="L78" s="24">
        <v>43038</v>
      </c>
      <c r="M78" s="18" t="s">
        <v>60</v>
      </c>
      <c r="N78" s="19"/>
      <c r="O78" s="3"/>
      <c r="P78" s="31"/>
      <c r="Q78" s="3">
        <v>19800</v>
      </c>
      <c r="R78" s="3">
        <f t="shared" si="135"/>
        <v>13000</v>
      </c>
      <c r="S78" s="27">
        <f t="shared" si="136"/>
        <v>-7600</v>
      </c>
      <c r="T78" s="27" t="e">
        <f>X78*F78*0.0045</f>
        <v>#DIV/0!</v>
      </c>
      <c r="U78" s="3">
        <f>E78*5</f>
        <v>1000</v>
      </c>
      <c r="V78" s="19"/>
      <c r="W78" s="3">
        <v>0.3</v>
      </c>
      <c r="X78" s="3" t="e">
        <f>((O78*F78)+Q78+R78+S78+U78)/G78</f>
        <v>#DIV/0!</v>
      </c>
      <c r="Y78" s="3" t="e">
        <f t="shared" si="137"/>
        <v>#DIV/0!</v>
      </c>
      <c r="Z78" s="29" t="e">
        <f>Y78*G78</f>
        <v>#DIV/0!</v>
      </c>
      <c r="AA78" s="30"/>
    </row>
    <row r="79" spans="1:27" s="22" customFormat="1" x14ac:dyDescent="0.25">
      <c r="A79" s="162"/>
      <c r="B79" s="17" t="s">
        <v>26</v>
      </c>
      <c r="C79" s="18" t="s">
        <v>27</v>
      </c>
      <c r="D79" s="18" t="s">
        <v>27</v>
      </c>
      <c r="E79" s="19"/>
      <c r="F79" s="20">
        <v>18500</v>
      </c>
      <c r="G79" s="158">
        <v>18500</v>
      </c>
      <c r="H79" s="21">
        <f>G79-F79</f>
        <v>0</v>
      </c>
      <c r="I79" s="22" t="s">
        <v>902</v>
      </c>
      <c r="J79" s="159"/>
      <c r="K79" s="24">
        <v>43038</v>
      </c>
      <c r="L79" s="24">
        <v>43039</v>
      </c>
      <c r="M79" s="18" t="s">
        <v>62</v>
      </c>
      <c r="N79" s="18" t="s">
        <v>903</v>
      </c>
      <c r="O79" s="3"/>
      <c r="P79" s="25"/>
      <c r="Q79" s="3">
        <v>23000</v>
      </c>
      <c r="R79" s="160">
        <v>9500</v>
      </c>
      <c r="S79" s="157">
        <v>19.5</v>
      </c>
      <c r="T79" s="27">
        <f>X79*F79*0.005</f>
        <v>173.6</v>
      </c>
      <c r="V79" s="3">
        <v>0.12</v>
      </c>
      <c r="W79" s="3">
        <v>0.3</v>
      </c>
      <c r="X79" s="3">
        <f>IF(O79&gt;0,O79,((P79*2.2046*S79)+(Q79+R79)/G79)+V79)</f>
        <v>1.8767567567567567</v>
      </c>
      <c r="Y79" s="3">
        <f t="shared" ref="Y79:Y80" si="138">IF(O79&gt;0,O79,((P79*2.2046*S79)+(Q79+R79+T79)/G79)+V79+W79)</f>
        <v>2.1861405405405403</v>
      </c>
      <c r="Z79" s="29">
        <f>Y79*F79</f>
        <v>40443.599999999999</v>
      </c>
      <c r="AA79" s="30"/>
    </row>
    <row r="80" spans="1:27" s="22" customFormat="1" x14ac:dyDescent="0.25">
      <c r="A80" s="162"/>
      <c r="B80" s="17" t="s">
        <v>26</v>
      </c>
      <c r="C80" s="18" t="s">
        <v>37</v>
      </c>
      <c r="D80" s="18" t="s">
        <v>37</v>
      </c>
      <c r="E80" s="19"/>
      <c r="F80" s="20">
        <v>18500</v>
      </c>
      <c r="G80" s="158">
        <v>18500</v>
      </c>
      <c r="H80" s="21">
        <f>G80-F80</f>
        <v>0</v>
      </c>
      <c r="I80" s="144" t="s">
        <v>904</v>
      </c>
      <c r="J80" s="159"/>
      <c r="K80" s="24">
        <v>43038</v>
      </c>
      <c r="L80" s="24">
        <v>43039</v>
      </c>
      <c r="M80" s="18" t="s">
        <v>62</v>
      </c>
      <c r="N80" s="18" t="s">
        <v>905</v>
      </c>
      <c r="O80" s="3"/>
      <c r="P80" s="25">
        <f>0.72+0.095</f>
        <v>0.81499999999999995</v>
      </c>
      <c r="Q80" s="3">
        <v>23000</v>
      </c>
      <c r="R80" s="160">
        <v>9500</v>
      </c>
      <c r="S80" s="51">
        <v>19.274000000000001</v>
      </c>
      <c r="T80" s="27">
        <f>X80*F80*0.005</f>
        <v>3376.9249709050005</v>
      </c>
      <c r="V80" s="3">
        <v>0.12</v>
      </c>
      <c r="W80" s="3">
        <v>0.3</v>
      </c>
      <c r="X80" s="3">
        <f t="shared" ref="X80" si="139">IF(O80&gt;0,O80,((P80*2.2046*S80)+(Q80+R80)/G80)+V80)</f>
        <v>36.507296982756756</v>
      </c>
      <c r="Y80" s="3">
        <f t="shared" si="138"/>
        <v>36.989833467670536</v>
      </c>
      <c r="Z80" s="29">
        <f t="shared" ref="Z80" si="140">Y80*F80</f>
        <v>684311.91915190488</v>
      </c>
      <c r="AA80" s="30">
        <v>43032</v>
      </c>
    </row>
    <row r="81" spans="1:27" s="22" customFormat="1" x14ac:dyDescent="0.25">
      <c r="A81" s="162"/>
      <c r="B81" s="17" t="s">
        <v>41</v>
      </c>
      <c r="C81" s="19" t="s">
        <v>42</v>
      </c>
      <c r="D81" s="18"/>
      <c r="E81" s="19">
        <v>220</v>
      </c>
      <c r="F81" s="20"/>
      <c r="G81" s="21"/>
      <c r="H81" s="21">
        <f>G81-F81</f>
        <v>0</v>
      </c>
      <c r="J81" s="19"/>
      <c r="K81" s="24"/>
      <c r="L81" s="24">
        <v>43039</v>
      </c>
      <c r="M81" s="18" t="s">
        <v>62</v>
      </c>
      <c r="N81" s="19"/>
      <c r="O81" s="3"/>
      <c r="P81" s="31"/>
      <c r="Q81" s="3">
        <v>19800</v>
      </c>
      <c r="R81" s="3">
        <f>65*E81</f>
        <v>14300</v>
      </c>
      <c r="S81" s="27">
        <f>-38*E81</f>
        <v>-8360</v>
      </c>
      <c r="T81" s="27" t="e">
        <f t="shared" ref="T81" si="141">X81*F81*0.005</f>
        <v>#DIV/0!</v>
      </c>
      <c r="U81" s="3">
        <f>E81*5</f>
        <v>1100</v>
      </c>
      <c r="V81" s="19"/>
      <c r="W81" s="3">
        <v>0.3</v>
      </c>
      <c r="X81" s="3" t="e">
        <f>((O81*F81)+Q81+R81+S81+U81)/G81</f>
        <v>#DIV/0!</v>
      </c>
      <c r="Y81" s="3" t="e">
        <f>((O81*F81)+Q81+R81+S81+T81+U81)/G81+W81</f>
        <v>#DIV/0!</v>
      </c>
      <c r="Z81" s="29" t="e">
        <f>Y81*G81</f>
        <v>#DIV/0!</v>
      </c>
      <c r="AA81" s="30"/>
    </row>
    <row r="82" spans="1:27" s="22" customFormat="1" x14ac:dyDescent="0.25">
      <c r="A82" s="162"/>
      <c r="B82" s="17" t="s">
        <v>26</v>
      </c>
      <c r="C82" s="18" t="s">
        <v>37</v>
      </c>
      <c r="D82" s="18" t="s">
        <v>37</v>
      </c>
      <c r="E82" s="19"/>
      <c r="F82" s="20">
        <v>18500</v>
      </c>
      <c r="G82" s="158">
        <v>18500</v>
      </c>
      <c r="H82" s="21">
        <f>G82-F82</f>
        <v>0</v>
      </c>
      <c r="I82" s="144" t="s">
        <v>906</v>
      </c>
      <c r="J82" s="159"/>
      <c r="K82" s="24">
        <v>43039</v>
      </c>
      <c r="L82" s="24">
        <v>43040</v>
      </c>
      <c r="M82" s="18" t="s">
        <v>31</v>
      </c>
      <c r="N82" s="18" t="s">
        <v>903</v>
      </c>
      <c r="O82" s="3"/>
      <c r="P82" s="25"/>
      <c r="Q82" s="3">
        <v>23000</v>
      </c>
      <c r="R82" s="160">
        <v>9500</v>
      </c>
      <c r="S82" s="51">
        <v>19.25</v>
      </c>
      <c r="T82" s="27">
        <f>X82*F82*0.005</f>
        <v>173.6</v>
      </c>
      <c r="V82" s="3">
        <v>0.12</v>
      </c>
      <c r="W82" s="3">
        <v>0.3</v>
      </c>
      <c r="X82" s="3">
        <f t="shared" ref="X82:X83" si="142">IF(O82&gt;0,O82,((P82*2.2046*S82)+(Q82+R82)/G82)+V82)</f>
        <v>1.8767567567567567</v>
      </c>
      <c r="Y82" s="3">
        <f t="shared" ref="Y82:Y83" si="143">IF(O82&gt;0,O82,((P82*2.2046*S82)+(Q82+R82+T82)/G82)+V82+W82)</f>
        <v>2.1861405405405403</v>
      </c>
      <c r="Z82" s="29">
        <f t="shared" ref="Z82:Z83" si="144">Y82*F82</f>
        <v>40443.599999999999</v>
      </c>
      <c r="AA82" s="30">
        <v>43033</v>
      </c>
    </row>
    <row r="83" spans="1:27" s="22" customFormat="1" x14ac:dyDescent="0.25">
      <c r="A83" s="162"/>
      <c r="B83" s="17" t="s">
        <v>26</v>
      </c>
      <c r="C83" s="18" t="s">
        <v>37</v>
      </c>
      <c r="D83" s="18" t="s">
        <v>37</v>
      </c>
      <c r="E83" s="19"/>
      <c r="F83" s="20">
        <v>18500</v>
      </c>
      <c r="G83" s="158">
        <v>18500</v>
      </c>
      <c r="H83" s="21">
        <f>G83-F83</f>
        <v>0</v>
      </c>
      <c r="I83" s="144" t="s">
        <v>907</v>
      </c>
      <c r="J83" s="159"/>
      <c r="K83" s="24">
        <v>43039</v>
      </c>
      <c r="L83" s="24">
        <v>43040</v>
      </c>
      <c r="M83" s="18" t="s">
        <v>31</v>
      </c>
      <c r="N83" s="18" t="s">
        <v>903</v>
      </c>
      <c r="O83" s="3"/>
      <c r="P83" s="25"/>
      <c r="Q83" s="3">
        <v>23000</v>
      </c>
      <c r="R83" s="160">
        <v>9500</v>
      </c>
      <c r="S83" s="51">
        <v>19.059000000000001</v>
      </c>
      <c r="T83" s="27">
        <f>X83*F83*0.005</f>
        <v>173.6</v>
      </c>
      <c r="V83" s="3">
        <v>0.12</v>
      </c>
      <c r="W83" s="3">
        <v>0.3</v>
      </c>
      <c r="X83" s="3">
        <f t="shared" si="142"/>
        <v>1.8767567567567567</v>
      </c>
      <c r="Y83" s="3">
        <f t="shared" si="143"/>
        <v>2.1861405405405403</v>
      </c>
      <c r="Z83" s="29">
        <f t="shared" si="144"/>
        <v>40443.599999999999</v>
      </c>
      <c r="AA83" s="30">
        <v>43033</v>
      </c>
    </row>
    <row r="84" spans="1:27" s="22" customFormat="1" x14ac:dyDescent="0.25">
      <c r="A84" s="162"/>
      <c r="B84" s="17" t="s">
        <v>41</v>
      </c>
      <c r="C84" s="19" t="s">
        <v>42</v>
      </c>
      <c r="D84" s="18"/>
      <c r="E84" s="19">
        <v>220</v>
      </c>
      <c r="F84" s="20"/>
      <c r="G84" s="21"/>
      <c r="H84" s="21">
        <f t="shared" ref="H84" si="145">G84-F84</f>
        <v>0</v>
      </c>
      <c r="J84" s="19"/>
      <c r="K84" s="24"/>
      <c r="L84" s="24">
        <v>43040</v>
      </c>
      <c r="M84" s="18" t="s">
        <v>31</v>
      </c>
      <c r="N84" s="19"/>
      <c r="O84" s="3"/>
      <c r="P84" s="31"/>
      <c r="Q84" s="3">
        <v>19800</v>
      </c>
      <c r="R84" s="3">
        <f>65*E84</f>
        <v>14300</v>
      </c>
      <c r="S84" s="27">
        <f>-38*E84</f>
        <v>-8360</v>
      </c>
      <c r="T84" s="27" t="e">
        <f>X84*F84*0.0045</f>
        <v>#DIV/0!</v>
      </c>
      <c r="U84" s="3">
        <f>E84*5</f>
        <v>1100</v>
      </c>
      <c r="V84" s="19"/>
      <c r="W84" s="3">
        <v>0.3</v>
      </c>
      <c r="X84" s="3" t="e">
        <f>((O84*F84)+Q84+R84+S84+U84)/G84</f>
        <v>#DIV/0!</v>
      </c>
      <c r="Y84" s="3" t="e">
        <f t="shared" ref="Y84" si="146">((O84*F84)+Q84+R84+S84+T84+U84)/G84+W84</f>
        <v>#DIV/0!</v>
      </c>
      <c r="Z84" s="29" t="e">
        <f>Y84*G84</f>
        <v>#DIV/0!</v>
      </c>
      <c r="AA84" s="30"/>
    </row>
    <row r="85" spans="1:27" s="22" customFormat="1" x14ac:dyDescent="0.25">
      <c r="A85" s="162"/>
      <c r="B85" s="17" t="s">
        <v>26</v>
      </c>
      <c r="C85" s="18" t="s">
        <v>33</v>
      </c>
      <c r="D85" s="18" t="s">
        <v>33</v>
      </c>
      <c r="E85" s="19"/>
      <c r="F85" s="20">
        <v>19000</v>
      </c>
      <c r="G85" s="158">
        <v>19000</v>
      </c>
      <c r="H85" s="21">
        <f>G85-F85</f>
        <v>0</v>
      </c>
      <c r="I85" s="22" t="s">
        <v>908</v>
      </c>
      <c r="J85" s="159"/>
      <c r="K85" s="24">
        <v>43040</v>
      </c>
      <c r="L85" s="24">
        <v>43041</v>
      </c>
      <c r="M85" s="18" t="s">
        <v>47</v>
      </c>
      <c r="N85" s="18" t="s">
        <v>909</v>
      </c>
      <c r="O85" s="3"/>
      <c r="P85" s="25"/>
      <c r="Q85" s="3">
        <v>23000</v>
      </c>
      <c r="R85" s="160">
        <v>9500</v>
      </c>
      <c r="S85" s="51">
        <v>19.059000000000001</v>
      </c>
      <c r="T85" s="27">
        <f>X85*F85*0.005</f>
        <v>173.9</v>
      </c>
      <c r="V85" s="3">
        <v>0.12</v>
      </c>
      <c r="W85" s="3">
        <v>0.3</v>
      </c>
      <c r="X85" s="3">
        <f t="shared" ref="X85" si="147">IF(O85&gt;0,O85,((P85*2.2046*S85)+(Q85+R85)/G85)+V85)</f>
        <v>1.8305263157894736</v>
      </c>
      <c r="Y85" s="3">
        <f t="shared" ref="Y85" si="148">IF(O85&gt;0,O85,((P85*2.2046*S85)+(Q85+R85+T85)/G85)+V85+W85)</f>
        <v>2.139678947368421</v>
      </c>
      <c r="Z85" s="29">
        <f t="shared" ref="Z85" si="149">Y85*F85</f>
        <v>40653.9</v>
      </c>
      <c r="AA85" s="30">
        <v>43034</v>
      </c>
    </row>
    <row r="86" spans="1:27" s="22" customFormat="1" x14ac:dyDescent="0.25">
      <c r="A86" s="162"/>
      <c r="B86" s="17" t="s">
        <v>41</v>
      </c>
      <c r="C86" s="19" t="s">
        <v>42</v>
      </c>
      <c r="D86" s="18"/>
      <c r="E86" s="19">
        <v>250</v>
      </c>
      <c r="F86" s="20"/>
      <c r="G86" s="21"/>
      <c r="H86" s="21">
        <f t="shared" ref="H86:H87" si="150">G86-F86</f>
        <v>0</v>
      </c>
      <c r="J86" s="19"/>
      <c r="K86" s="24"/>
      <c r="L86" s="24">
        <v>43041</v>
      </c>
      <c r="M86" s="18" t="s">
        <v>47</v>
      </c>
      <c r="N86" s="19"/>
      <c r="O86" s="3"/>
      <c r="P86" s="31"/>
      <c r="Q86" s="3">
        <v>19800</v>
      </c>
      <c r="R86" s="3">
        <f t="shared" ref="R86:R87" si="151">65*E86</f>
        <v>16250</v>
      </c>
      <c r="S86" s="27">
        <f t="shared" ref="S86:S87" si="152">-38*E86</f>
        <v>-9500</v>
      </c>
      <c r="T86" s="27" t="e">
        <f t="shared" ref="T86:T87" si="153">X86*F86*0.0045</f>
        <v>#DIV/0!</v>
      </c>
      <c r="U86" s="3">
        <f t="shared" ref="U86:U87" si="154">E86*5</f>
        <v>1250</v>
      </c>
      <c r="V86" s="19"/>
      <c r="W86" s="3">
        <v>0.3</v>
      </c>
      <c r="X86" s="3" t="e">
        <f t="shared" ref="X86:X87" si="155">((O86*F86)+Q86+R86+S86+U86)/G86</f>
        <v>#DIV/0!</v>
      </c>
      <c r="Y86" s="3" t="e">
        <f t="shared" ref="Y86:Y87" si="156">((O86*F86)+Q86+R86+S86+T86+U86)/G86+W86</f>
        <v>#DIV/0!</v>
      </c>
      <c r="Z86" s="29" t="e">
        <f t="shared" ref="Z86:Z87" si="157">Y86*G86</f>
        <v>#DIV/0!</v>
      </c>
      <c r="AA86" s="30"/>
    </row>
    <row r="87" spans="1:27" s="22" customFormat="1" x14ac:dyDescent="0.25">
      <c r="A87" s="162"/>
      <c r="B87" s="17" t="s">
        <v>41</v>
      </c>
      <c r="C87" s="19" t="s">
        <v>42</v>
      </c>
      <c r="D87" s="18"/>
      <c r="E87" s="19">
        <v>130</v>
      </c>
      <c r="F87" s="20"/>
      <c r="G87" s="21"/>
      <c r="H87" s="21">
        <f t="shared" si="150"/>
        <v>0</v>
      </c>
      <c r="J87" s="19"/>
      <c r="K87" s="24"/>
      <c r="L87" s="24">
        <v>43041</v>
      </c>
      <c r="M87" s="18" t="s">
        <v>47</v>
      </c>
      <c r="N87" s="19"/>
      <c r="O87" s="3"/>
      <c r="P87" s="31"/>
      <c r="Q87" s="3">
        <v>15700</v>
      </c>
      <c r="R87" s="3">
        <f t="shared" si="151"/>
        <v>8450</v>
      </c>
      <c r="S87" s="27">
        <f t="shared" si="152"/>
        <v>-4940</v>
      </c>
      <c r="T87" s="27" t="e">
        <f t="shared" si="153"/>
        <v>#DIV/0!</v>
      </c>
      <c r="U87" s="3">
        <f t="shared" si="154"/>
        <v>650</v>
      </c>
      <c r="V87" s="19"/>
      <c r="W87" s="3">
        <v>0.3</v>
      </c>
      <c r="X87" s="3" t="e">
        <f t="shared" si="155"/>
        <v>#DIV/0!</v>
      </c>
      <c r="Y87" s="3" t="e">
        <f t="shared" si="156"/>
        <v>#DIV/0!</v>
      </c>
      <c r="Z87" s="29" t="e">
        <f t="shared" si="157"/>
        <v>#DIV/0!</v>
      </c>
      <c r="AA87" s="30"/>
    </row>
    <row r="88" spans="1:27" s="22" customFormat="1" x14ac:dyDescent="0.25">
      <c r="A88" s="162"/>
      <c r="B88" s="17" t="s">
        <v>26</v>
      </c>
      <c r="C88" s="18" t="s">
        <v>27</v>
      </c>
      <c r="D88" s="18" t="s">
        <v>27</v>
      </c>
      <c r="E88" s="19"/>
      <c r="F88" s="20">
        <v>18500</v>
      </c>
      <c r="G88" s="158">
        <v>18500</v>
      </c>
      <c r="H88" s="21">
        <f>G88-F88</f>
        <v>0</v>
      </c>
      <c r="I88" s="22" t="s">
        <v>910</v>
      </c>
      <c r="J88" s="159"/>
      <c r="K88" s="24">
        <v>43041</v>
      </c>
      <c r="L88" s="24">
        <v>43042</v>
      </c>
      <c r="M88" s="18" t="s">
        <v>49</v>
      </c>
      <c r="N88" s="18" t="s">
        <v>911</v>
      </c>
      <c r="O88" s="3"/>
      <c r="P88" s="25"/>
      <c r="Q88" s="3">
        <v>23000</v>
      </c>
      <c r="R88" s="160">
        <v>9500</v>
      </c>
      <c r="S88" s="157">
        <v>19.5</v>
      </c>
      <c r="T88" s="27">
        <f>X88*F88*0.005</f>
        <v>173.6</v>
      </c>
      <c r="V88" s="3">
        <v>0.12</v>
      </c>
      <c r="W88" s="3">
        <v>0.3</v>
      </c>
      <c r="X88" s="3">
        <f t="shared" ref="X88" si="158">IF(O88&gt;0,O88,((P88*2.2046*S88)+(Q88+R88)/G88)+V88)</f>
        <v>1.8767567567567567</v>
      </c>
      <c r="Y88" s="3">
        <f t="shared" ref="Y88" si="159">IF(O88&gt;0,O88,((P88*2.2046*S88)+(Q88+R88+T88)/G88)+V88+W88)</f>
        <v>2.1861405405405403</v>
      </c>
      <c r="Z88" s="29">
        <f t="shared" ref="Z88" si="160">Y88*F88</f>
        <v>40443.599999999999</v>
      </c>
      <c r="AA88" s="30"/>
    </row>
    <row r="89" spans="1:27" s="22" customFormat="1" x14ac:dyDescent="0.25">
      <c r="A89" s="162"/>
      <c r="B89" s="17" t="s">
        <v>41</v>
      </c>
      <c r="C89" s="19" t="s">
        <v>42</v>
      </c>
      <c r="D89" s="18"/>
      <c r="E89" s="19">
        <v>250</v>
      </c>
      <c r="F89" s="20"/>
      <c r="G89" s="21"/>
      <c r="H89" s="21">
        <f t="shared" ref="H89:H90" si="161">G89-F89</f>
        <v>0</v>
      </c>
      <c r="J89" s="19"/>
      <c r="K89" s="24"/>
      <c r="L89" s="24">
        <v>43042</v>
      </c>
      <c r="M89" s="18" t="s">
        <v>49</v>
      </c>
      <c r="N89" s="19"/>
      <c r="O89" s="3"/>
      <c r="P89" s="31"/>
      <c r="Q89" s="3">
        <v>19800</v>
      </c>
      <c r="R89" s="3">
        <f t="shared" ref="R89:R90" si="162">65*E89</f>
        <v>16250</v>
      </c>
      <c r="S89" s="27">
        <f t="shared" ref="S89:S90" si="163">-38*E89</f>
        <v>-9500</v>
      </c>
      <c r="T89" s="27" t="e">
        <f>X89*F89*0.0045</f>
        <v>#DIV/0!</v>
      </c>
      <c r="U89" s="3">
        <f>E89*5</f>
        <v>1250</v>
      </c>
      <c r="V89" s="19"/>
      <c r="W89" s="3">
        <v>0.3</v>
      </c>
      <c r="X89" s="3" t="e">
        <f>((O89*F89)+Q89+R89+S89+U89)/G89</f>
        <v>#DIV/0!</v>
      </c>
      <c r="Y89" s="3" t="e">
        <f t="shared" ref="Y89:Y90" si="164">((O89*F89)+Q89+R89+S89+T89+U89)/G89+W89</f>
        <v>#DIV/0!</v>
      </c>
      <c r="Z89" s="29" t="e">
        <f t="shared" ref="Z89:Z90" si="165">Y89*G89</f>
        <v>#DIV/0!</v>
      </c>
      <c r="AA89" s="30"/>
    </row>
    <row r="90" spans="1:27" s="22" customFormat="1" x14ac:dyDescent="0.25">
      <c r="A90" s="162"/>
      <c r="B90" s="17" t="s">
        <v>41</v>
      </c>
      <c r="C90" s="19" t="s">
        <v>42</v>
      </c>
      <c r="D90" s="18"/>
      <c r="E90" s="19">
        <v>130</v>
      </c>
      <c r="F90" s="20"/>
      <c r="G90" s="21"/>
      <c r="H90" s="21">
        <f t="shared" si="161"/>
        <v>0</v>
      </c>
      <c r="I90" s="18"/>
      <c r="J90" s="19"/>
      <c r="K90" s="24"/>
      <c r="L90" s="24">
        <v>43042</v>
      </c>
      <c r="M90" s="18" t="s">
        <v>49</v>
      </c>
      <c r="N90" s="19"/>
      <c r="O90" s="3"/>
      <c r="P90" s="31"/>
      <c r="Q90" s="3">
        <v>15700</v>
      </c>
      <c r="R90" s="3">
        <f t="shared" si="162"/>
        <v>8450</v>
      </c>
      <c r="S90" s="27">
        <f t="shared" si="163"/>
        <v>-4940</v>
      </c>
      <c r="T90" s="27" t="e">
        <f>X90*F90*0.0045</f>
        <v>#DIV/0!</v>
      </c>
      <c r="U90" s="3">
        <f>E90*5</f>
        <v>650</v>
      </c>
      <c r="V90" s="19"/>
      <c r="W90" s="3">
        <v>0.3</v>
      </c>
      <c r="X90" s="3" t="e">
        <f>((O90*F90)+Q90+R90+S90+U90)/G90</f>
        <v>#DIV/0!</v>
      </c>
      <c r="Y90" s="3" t="e">
        <f t="shared" si="164"/>
        <v>#DIV/0!</v>
      </c>
      <c r="Z90" s="29" t="e">
        <f t="shared" si="165"/>
        <v>#DIV/0!</v>
      </c>
      <c r="AA90" s="30"/>
    </row>
    <row r="91" spans="1:27" s="22" customFormat="1" x14ac:dyDescent="0.25">
      <c r="A91" s="162"/>
      <c r="B91" s="17" t="s">
        <v>26</v>
      </c>
      <c r="C91" s="18" t="s">
        <v>33</v>
      </c>
      <c r="D91" s="18" t="s">
        <v>33</v>
      </c>
      <c r="E91" s="19"/>
      <c r="F91" s="20">
        <v>19000</v>
      </c>
      <c r="G91" s="158">
        <v>19000</v>
      </c>
      <c r="H91" s="21">
        <f>G91-F91</f>
        <v>0</v>
      </c>
      <c r="I91" s="22" t="s">
        <v>912</v>
      </c>
      <c r="J91" s="159"/>
      <c r="K91" s="24">
        <v>43042</v>
      </c>
      <c r="L91" s="24">
        <v>43043</v>
      </c>
      <c r="M91" s="18" t="s">
        <v>98</v>
      </c>
      <c r="N91" s="18" t="s">
        <v>913</v>
      </c>
      <c r="O91" s="3"/>
      <c r="P91" s="25"/>
      <c r="Q91" s="3">
        <v>23000</v>
      </c>
      <c r="R91" s="160">
        <v>9500</v>
      </c>
      <c r="S91" s="157">
        <v>19.5</v>
      </c>
      <c r="T91" s="27">
        <f t="shared" ref="T91" si="166">X91*F91*0.005</f>
        <v>173.9</v>
      </c>
      <c r="V91" s="3">
        <v>0.12</v>
      </c>
      <c r="W91" s="3">
        <v>0.3</v>
      </c>
      <c r="X91" s="3">
        <f>IF(O91&gt;0,O91,((P91*2.2046*S91)+(Q91+R91)/G91)+V91)</f>
        <v>1.8305263157894736</v>
      </c>
      <c r="Y91" s="3">
        <f>IF(O91&gt;0,O91,((P91*2.2046*S91)+(Q91+R91+T91)/G91)+V91+W91)</f>
        <v>2.139678947368421</v>
      </c>
      <c r="Z91" s="29">
        <f>Y91*F91</f>
        <v>40653.9</v>
      </c>
      <c r="AA91" s="30">
        <v>43038</v>
      </c>
    </row>
    <row r="92" spans="1:27" s="22" customFormat="1" ht="15.75" thickBot="1" x14ac:dyDescent="0.3">
      <c r="A92" s="163"/>
      <c r="B92" s="34"/>
      <c r="C92" s="6"/>
      <c r="D92" s="6"/>
      <c r="E92" s="6"/>
      <c r="F92" s="35"/>
      <c r="G92" s="35"/>
      <c r="H92" s="35"/>
      <c r="I92" s="9"/>
      <c r="J92" s="6"/>
      <c r="K92" s="10"/>
      <c r="L92" s="10"/>
      <c r="M92" s="6"/>
      <c r="N92" s="6"/>
      <c r="O92" s="11"/>
      <c r="P92" s="12"/>
      <c r="Q92" s="11"/>
      <c r="R92" s="11"/>
      <c r="S92" s="11"/>
      <c r="T92" s="11"/>
      <c r="U92" s="11"/>
      <c r="V92" s="11"/>
      <c r="W92" s="11"/>
      <c r="X92" s="11"/>
      <c r="Y92" s="11"/>
      <c r="Z92" s="15"/>
      <c r="AA92" s="3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marzo</vt:lpstr>
      <vt:lpstr>abril</vt:lpstr>
      <vt:lpstr>jun</vt:lpstr>
      <vt:lpstr>jul</vt:lpstr>
      <vt:lpstr>ago</vt:lpstr>
      <vt:lpstr>sep</vt:lpstr>
      <vt:lpstr>oct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</cp:lastModifiedBy>
  <cp:lastPrinted>2017-11-30T15:19:41Z</cp:lastPrinted>
  <dcterms:created xsi:type="dcterms:W3CDTF">2017-04-18T21:56:39Z</dcterms:created>
  <dcterms:modified xsi:type="dcterms:W3CDTF">2017-11-30T18:17:06Z</dcterms:modified>
</cp:coreProperties>
</file>