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0" windowWidth="24000" windowHeight="9735" firstSheet="18" activeTab="20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A G O S T O    2 0 1 7     " sheetId="17" r:id="rId15"/>
    <sheet name="REMISIONES  AGOSTO 2017" sheetId="18" r:id="rId16"/>
    <sheet name="SEPTIEMBRE   2017     " sheetId="19" r:id="rId17"/>
    <sheet name="REMISIONES  SEPTIEMBRE  2017" sheetId="20" r:id="rId18"/>
    <sheet name="OCTUBRE    2017    " sheetId="15" r:id="rId19"/>
    <sheet name="REMISIONES OCTUBRE   2017   " sheetId="21" r:id="rId20"/>
    <sheet name="NOVIEMBRE   2017      " sheetId="23" r:id="rId21"/>
    <sheet name="SALIDAS     NOVIEMBRE    2017  " sheetId="24" r:id="rId22"/>
    <sheet name="Hoja5" sheetId="25" r:id="rId23"/>
    <sheet name="Hoja2" sheetId="22" r:id="rId24"/>
    <sheet name="Hoja4" sheetId="16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23" l="1"/>
  <c r="E44" i="23"/>
  <c r="F19" i="24"/>
  <c r="F20" i="24"/>
  <c r="F21" i="24"/>
  <c r="F22" i="24"/>
  <c r="F23" i="24"/>
  <c r="L22" i="15" l="1"/>
  <c r="L15" i="23" l="1"/>
  <c r="L11" i="23" l="1"/>
  <c r="E41" i="21" l="1"/>
  <c r="L6" i="23" l="1"/>
  <c r="L37" i="15" l="1"/>
  <c r="J45" i="15"/>
  <c r="L31" i="15" l="1"/>
  <c r="Q13" i="24"/>
  <c r="N13" i="24"/>
  <c r="L13" i="24"/>
  <c r="C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H38" i="23"/>
  <c r="E38" i="23"/>
  <c r="B38" i="23"/>
  <c r="M37" i="23"/>
  <c r="K8" i="23"/>
  <c r="K38" i="23" s="1"/>
  <c r="J40" i="23" l="1"/>
  <c r="E41" i="23" s="1"/>
  <c r="E46" i="23" s="1"/>
  <c r="J44" i="23" s="1"/>
  <c r="J47" i="23" s="1"/>
  <c r="F42" i="24"/>
  <c r="E42" i="24"/>
  <c r="F36" i="21" l="1"/>
  <c r="F37" i="21"/>
  <c r="F38" i="21"/>
  <c r="F39" i="21"/>
  <c r="F40" i="21"/>
  <c r="F41" i="21"/>
  <c r="F42" i="21"/>
  <c r="F43" i="21"/>
  <c r="F25" i="21" l="1"/>
  <c r="E26" i="21"/>
  <c r="F26" i="21"/>
  <c r="F27" i="21"/>
  <c r="F28" i="21"/>
  <c r="F29" i="21"/>
  <c r="F30" i="21"/>
  <c r="F31" i="21"/>
  <c r="F32" i="21"/>
  <c r="F33" i="21"/>
  <c r="F34" i="21"/>
  <c r="F35" i="21"/>
  <c r="E49" i="21"/>
  <c r="C49" i="21"/>
  <c r="F44" i="21"/>
  <c r="F49" i="21" s="1"/>
  <c r="F45" i="21"/>
  <c r="F46" i="21"/>
  <c r="F47" i="21"/>
  <c r="F48" i="21"/>
  <c r="Y37" i="21" l="1"/>
  <c r="V37" i="21"/>
  <c r="T10" i="21" l="1"/>
  <c r="T9" i="21"/>
  <c r="T8" i="21"/>
  <c r="T7" i="21"/>
  <c r="T4" i="21"/>
  <c r="T19" i="21"/>
  <c r="T18" i="21"/>
  <c r="T16" i="21"/>
  <c r="T37" i="21" l="1"/>
  <c r="E5" i="21"/>
  <c r="E15" i="21" l="1"/>
  <c r="J50" i="21"/>
  <c r="J57" i="21"/>
  <c r="J61" i="21"/>
  <c r="J48" i="21" l="1"/>
  <c r="J46" i="21"/>
  <c r="J59" i="21"/>
  <c r="O61" i="21"/>
  <c r="L61" i="21"/>
  <c r="J26" i="21" l="1"/>
  <c r="J24" i="21"/>
  <c r="J39" i="21" s="1"/>
  <c r="J23" i="21"/>
  <c r="O39" i="21"/>
  <c r="E27" i="20"/>
  <c r="L39" i="21"/>
  <c r="F20" i="21"/>
  <c r="F21" i="21"/>
  <c r="F22" i="21"/>
  <c r="F23" i="21"/>
  <c r="F24" i="21"/>
  <c r="J8" i="21"/>
  <c r="J6" i="21"/>
  <c r="J2" i="21"/>
  <c r="J5" i="21"/>
  <c r="O17" i="21"/>
  <c r="L17" i="21"/>
  <c r="J17" i="21" l="1"/>
  <c r="F12" i="20"/>
  <c r="F13" i="20"/>
  <c r="F14" i="20"/>
  <c r="F15" i="20"/>
  <c r="F16" i="20"/>
  <c r="F17" i="20"/>
  <c r="F18" i="20"/>
  <c r="F19" i="20"/>
  <c r="F20" i="20"/>
  <c r="E21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9" i="21" l="1"/>
  <c r="F18" i="21"/>
  <c r="F17" i="21"/>
  <c r="F16" i="21"/>
  <c r="F15" i="21"/>
  <c r="F14" i="21"/>
  <c r="F13" i="21"/>
  <c r="F12" i="21"/>
  <c r="F11" i="21"/>
  <c r="F10" i="21"/>
  <c r="F9" i="21"/>
  <c r="F7" i="21"/>
  <c r="F6" i="21"/>
  <c r="F5" i="21"/>
  <c r="F4" i="21"/>
  <c r="F3" i="21"/>
  <c r="H38" i="15"/>
  <c r="E38" i="15"/>
  <c r="B38" i="15"/>
  <c r="M37" i="15"/>
  <c r="K8" i="15"/>
  <c r="K38" i="15" s="1"/>
  <c r="J40" i="15" l="1"/>
  <c r="E41" i="15" s="1"/>
  <c r="E44" i="15" s="1"/>
  <c r="E46" i="15" s="1"/>
  <c r="J43" i="15" s="1"/>
  <c r="J47" i="15" s="1"/>
  <c r="F8" i="21"/>
  <c r="S15" i="20"/>
  <c r="U15" i="20"/>
  <c r="X15" i="20"/>
  <c r="S6" i="20"/>
  <c r="S4" i="20"/>
  <c r="S3" i="20" l="1"/>
  <c r="E8" i="20" l="1"/>
  <c r="O64" i="20" l="1"/>
  <c r="J45" i="20"/>
  <c r="J44" i="20"/>
  <c r="J43" i="20"/>
  <c r="J41" i="20"/>
  <c r="J39" i="20"/>
  <c r="J37" i="20" l="1"/>
  <c r="J64" i="20" s="1"/>
  <c r="J35" i="20"/>
  <c r="L64" i="20"/>
  <c r="E31" i="18" l="1"/>
  <c r="O29" i="20"/>
  <c r="J15" i="20"/>
  <c r="J11" i="20"/>
  <c r="J10" i="20"/>
  <c r="J8" i="20"/>
  <c r="J7" i="20"/>
  <c r="J6" i="20"/>
  <c r="J4" i="20"/>
  <c r="J3" i="20" l="1"/>
  <c r="J2" i="20"/>
  <c r="L29" i="20"/>
  <c r="J29" i="20" l="1"/>
  <c r="C43" i="20"/>
  <c r="F42" i="20"/>
  <c r="F41" i="20"/>
  <c r="F40" i="20"/>
  <c r="F39" i="20"/>
  <c r="F38" i="20"/>
  <c r="F37" i="20"/>
  <c r="F36" i="20"/>
  <c r="F35" i="20"/>
  <c r="F34" i="20"/>
  <c r="F33" i="20"/>
  <c r="E43" i="20"/>
  <c r="F11" i="20"/>
  <c r="F10" i="20"/>
  <c r="F9" i="20"/>
  <c r="F8" i="20"/>
  <c r="F7" i="20"/>
  <c r="F6" i="20"/>
  <c r="F5" i="20"/>
  <c r="F4" i="20"/>
  <c r="F3" i="20"/>
  <c r="H38" i="19"/>
  <c r="E38" i="19"/>
  <c r="M37" i="19"/>
  <c r="B38" i="19"/>
  <c r="K8" i="19"/>
  <c r="K38" i="19" s="1"/>
  <c r="F43" i="20" l="1"/>
  <c r="J40" i="19"/>
  <c r="E41" i="19" s="1"/>
  <c r="E44" i="19" s="1"/>
  <c r="E46" i="19" s="1"/>
  <c r="J44" i="19" s="1"/>
  <c r="J47" i="19" s="1"/>
  <c r="E22" i="18"/>
  <c r="T19" i="18"/>
  <c r="R8" i="18" l="1"/>
  <c r="R7" i="18"/>
  <c r="R6" i="18"/>
  <c r="R5" i="18"/>
  <c r="R2" i="18"/>
  <c r="W19" i="18"/>
  <c r="R19" i="18" l="1"/>
  <c r="N52" i="18" l="1"/>
  <c r="K52" i="18"/>
  <c r="I41" i="18"/>
  <c r="I39" i="18"/>
  <c r="I37" i="18"/>
  <c r="I35" i="18"/>
  <c r="F27" i="18"/>
  <c r="F28" i="18"/>
  <c r="F29" i="18"/>
  <c r="F32" i="18"/>
  <c r="F33" i="18"/>
  <c r="F34" i="18"/>
  <c r="F35" i="18"/>
  <c r="F36" i="18"/>
  <c r="F37" i="18"/>
  <c r="F38" i="18"/>
  <c r="F39" i="18"/>
  <c r="F40" i="18"/>
  <c r="E14" i="18"/>
  <c r="I52" i="18" l="1"/>
  <c r="F26" i="18"/>
  <c r="H38" i="17"/>
  <c r="E38" i="17"/>
  <c r="M37" i="17"/>
  <c r="B17" i="17"/>
  <c r="B38" i="17" s="1"/>
  <c r="K8" i="17"/>
  <c r="K38" i="17" s="1"/>
  <c r="J40" i="17" l="1"/>
  <c r="E41" i="17" s="1"/>
  <c r="E44" i="17" s="1"/>
  <c r="E46" i="17" s="1"/>
  <c r="J44" i="17" s="1"/>
  <c r="J47" i="17" s="1"/>
  <c r="F25" i="18" l="1"/>
  <c r="P17" i="17" l="1"/>
  <c r="E31" i="14" l="1"/>
  <c r="I2" i="18"/>
  <c r="I19" i="18"/>
  <c r="I17" i="18"/>
  <c r="I16" i="18"/>
  <c r="I14" i="18" l="1"/>
  <c r="I13" i="18"/>
  <c r="I12" i="18"/>
  <c r="I11" i="18"/>
  <c r="I9" i="18" l="1"/>
  <c r="I8" i="18"/>
  <c r="I7" i="18"/>
  <c r="I4" i="18"/>
  <c r="I31" i="18" l="1"/>
  <c r="N31" i="18"/>
  <c r="K31" i="18"/>
  <c r="J44" i="11" l="1"/>
  <c r="C56" i="14" l="1"/>
  <c r="C45" i="18" l="1"/>
  <c r="F44" i="18"/>
  <c r="F43" i="18"/>
  <c r="F42" i="18"/>
  <c r="F41" i="18"/>
  <c r="F31" i="18"/>
  <c r="F30" i="18"/>
  <c r="F24" i="18"/>
  <c r="F23" i="18"/>
  <c r="F22" i="18"/>
  <c r="F21" i="18"/>
  <c r="F20" i="18"/>
  <c r="F19" i="18"/>
  <c r="F18" i="18"/>
  <c r="F17" i="18"/>
  <c r="F16" i="18"/>
  <c r="F15" i="18"/>
  <c r="E45" i="18"/>
  <c r="F14" i="18"/>
  <c r="F12" i="18"/>
  <c r="F11" i="18"/>
  <c r="F10" i="18"/>
  <c r="F9" i="18"/>
  <c r="F8" i="18"/>
  <c r="F7" i="18"/>
  <c r="F6" i="18"/>
  <c r="F5" i="18"/>
  <c r="F4" i="18"/>
  <c r="F3" i="18"/>
  <c r="V38" i="17"/>
  <c r="S38" i="17"/>
  <c r="P38" i="17"/>
  <c r="AA37" i="17"/>
  <c r="Y8" i="17"/>
  <c r="Y38" i="17" s="1"/>
  <c r="F13" i="18" l="1"/>
  <c r="F45" i="18" s="1"/>
  <c r="X40" i="17"/>
  <c r="S41" i="17" s="1"/>
  <c r="S44" i="17" s="1"/>
  <c r="S46" i="17" s="1"/>
  <c r="X44" i="17" s="1"/>
  <c r="X47" i="17" s="1"/>
  <c r="E24" i="14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H38" i="11"/>
  <c r="E38" i="11"/>
  <c r="B38" i="11"/>
  <c r="M37" i="11"/>
  <c r="K8" i="11"/>
  <c r="K38" i="11" s="1"/>
  <c r="J40" i="11" l="1"/>
  <c r="E41" i="11" s="1"/>
  <c r="E44" i="11" s="1"/>
  <c r="E46" i="11" s="1"/>
  <c r="J42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<sst xmlns="http://schemas.openxmlformats.org/spreadsheetml/2006/main" count="2368" uniqueCount="1190">
  <si>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</si>
  <si>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</si>
  <si>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</si>
  <si>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</si>
  <si>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</si>
  <si>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</si>
  <si>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</si>
  <si>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</si>
  <si>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</si>
  <si>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</si>
  <si>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</si>
  <si>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</si>
  <si>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</si>
  <si>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</si>
  <si>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</si>
  <si>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</si>
  <si>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</si>
  <si>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</si>
  <si>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</si>
  <si>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</si>
  <si>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</si>
  <si>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</si>
  <si>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</si>
  <si>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</si>
  <si>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</si>
  <si>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</si>
  <si>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</si>
  <si>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</si>
  <si>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</si>
  <si>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</si>
  <si>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</si>
  <si>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</si>
  <si>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</si>
  <si>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</si>
  <si>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</si>
  <si>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</si>
  <si>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</si>
  <si>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</si>
  <si>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</si>
  <si>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</si>
  <si>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</si>
  <si>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</si>
  <si>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</si>
  <si>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</si>
  <si>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</si>
  <si>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</si>
  <si>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</si>
  <si>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</si>
  <si>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</si>
  <si>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</si>
  <si>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</si>
  <si>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</si>
  <si>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</si>
  <si>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</si>
  <si>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</si>
  <si>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</si>
  <si>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</si>
  <si>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</si>
  <si>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</si>
  <si>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</si>
  <si>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</si>
  <si>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</si>
  <si>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</si>
  <si>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</si>
  <si>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</si>
  <si>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</si>
  <si>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</si>
  <si>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</si>
  <si>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</si>
  <si>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</si>
  <si>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</si>
  <si>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</si>
  <si>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</si>
  <si>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</si>
  <si>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</si>
  <si>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</si>
  <si>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</si>
  <si>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</si>
  <si>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</si>
  <si>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</si>
  <si>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</si>
  <si>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</si>
  <si>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</si>
  <si>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</si>
  <si>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</si>
  <si>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</si>
  <si>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</si>
  <si>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</si>
  <si>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</si>
  <si>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</si>
  <si>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</si>
  <si>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</si>
  <si>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</si>
  <si>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</si>
  <si>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</si>
  <si>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</si>
  <si>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</si>
  <si>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</si>
  <si>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</si>
  <si>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</si>
  <si>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</si>
  <si>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</si>
  <si>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</si>
  <si>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</si>
  <si>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</si>
  <si>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</si>
  <si>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</si>
  <si>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</si>
  <si>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</si>
  <si>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</si>
  <si>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</si>
  <si>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</si>
  <si>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</si>
  <si>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</si>
  <si>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</si>
  <si>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</si>
  <si>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</si>
  <si>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</si>
  <si>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</si>
  <si>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</si>
  <si>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</si>
  <si>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</si>
  <si>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</si>
  <si>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</si>
  <si>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</si>
  <si>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</si>
  <si>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</si>
  <si>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</si>
  <si>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</si>
  <si>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</si>
  <si>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</si>
  <si>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</si>
  <si>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</si>
  <si>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</si>
  <si>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</si>
  <si>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</si>
  <si>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</si>
  <si>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</si>
  <si>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</si>
  <si>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</si>
  <si>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</si>
  <si>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</si>
  <si>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</si>
  <si>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</si>
  <si>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</si>
  <si>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</si>
  <si>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</si>
  <si>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</si>
  <si>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</si>
  <si>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</si>
  <si>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</si>
  <si>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</si>
  <si>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</si>
  <si>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</si>
  <si>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</si>
  <si>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</si>
  <si>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</si>
  <si>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</si>
  <si>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</si>
  <si>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</si>
  <si>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</si>
  <si>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</si>
  <si>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</si>
  <si>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</si>
  <si>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</si>
  <si>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</si>
  <si>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</si>
  <si>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</si>
  <si>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</si>
  <si>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</si>
  <si>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</si>
  <si>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</si>
  <si>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</si>
  <si>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</si>
  <si>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</si>
  <si>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</si>
  <si>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</si>
  <si>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</si>
  <si>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</si>
  <si>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</si>
  <si>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</si>
  <si>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</si>
  <si>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</si>
  <si>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</si>
  <si>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</si>
  <si>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</si>
  <si>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</si>
  <si>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</si>
  <si>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</si>
  <si>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</si>
  <si>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</si>
  <si>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</si>
  <si>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</si>
  <si>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</si>
  <si>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</si>
  <si>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</si>
  <si>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</si>
  <si>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</si>
  <si>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</si>
  <si>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</si>
  <si>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</si>
  <si>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</si>
  <si>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</si>
  <si>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</si>
  <si>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</si>
  <si>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</si>
  <si>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</si>
  <si>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</si>
  <si>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</si>
  <si>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</si>
  <si>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</si>
  <si>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</si>
  <si>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</si>
  <si>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</si>
  <si>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</si>
  <si>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</si>
  <si>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</si>
  <si>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</si>
  <si>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</si>
  <si>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</si>
  <si>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</si>
  <si>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</si>
  <si>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</si>
  <si>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</si>
  <si>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</si>
  <si>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</si>
  <si>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</si>
  <si>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</si>
  <si>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</si>
  <si>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</si>
  <si>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</si>
  <si>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</si>
  <si>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</si>
  <si>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</si>
  <si>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</si>
  <si>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</si>
  <si>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</si>
  <si>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</si>
  <si>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</si>
  <si>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</si>
  <si>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</si>
  <si>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</si>
  <si>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</si>
  <si>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</si>
  <si>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</si>
  <si>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</si>
  <si>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</si>
  <si>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</si>
  <si>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</si>
  <si>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</si>
  <si>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</si>
  <si>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</si>
  <si>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</si>
  <si>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</si>
  <si>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</si>
  <si>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</si>
  <si>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</si>
  <si>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</si>
  <si>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</si>
  <si>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</si>
  <si>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</si>
  <si>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</si>
  <si>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</si>
  <si>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</si>
  <si>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</si>
  <si>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</si>
  <si>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</si>
  <si>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</si>
  <si>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</si>
  <si>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</si>
  <si>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</si>
  <si>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</si>
  <si>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</si>
  <si>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</si>
  <si>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</si>
  <si>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</si>
  <si>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</si>
  <si>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</si>
  <si>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</si>
  <si>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</si>
  <si>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</si>
  <si>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</si>
  <si>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</si>
  <si>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</si>
  <si>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</si>
  <si>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</si>
  <si>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</si>
  <si>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</si>
  <si>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</si>
  <si>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</si>
  <si>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</si>
  <si>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</si>
  <si>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</si>
  <si>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</si>
  <si>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</si>
  <si>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</si>
  <si>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</si>
  <si>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</si>
  <si>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</si>
  <si>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</si>
  <si>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</si>
  <si>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</si>
  <si>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</si>
  <si>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</si>
  <si>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</si>
  <si>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</si>
  <si>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</si>
  <si>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</si>
  <si>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</si>
  <si>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</si>
  <si>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</si>
  <si>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</si>
  <si>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</si>
  <si>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</si>
  <si>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</si>
  <si>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</si>
  <si>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</si>
  <si>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</si>
  <si>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</si>
  <si>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</si>
  <si>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</si>
  <si>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</si>
  <si>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</si>
  <si>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</si>
  <si>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</si>
  <si>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</si>
  <si>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</si>
  <si>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</si>
  <si>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</si>
  <si>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</si>
  <si>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</si>
  <si>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</si>
  <si>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</si>
  <si>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</si>
  <si>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</si>
  <si>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</si>
  <si>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</si>
  <si>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</si>
  <si>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</si>
  <si>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</si>
  <si>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</si>
  <si>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</si>
  <si>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</si>
  <si>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</si>
  <si>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</si>
  <si>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</si>
  <si>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</si>
  <si>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</si>
  <si>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</si>
  <si>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</si>
  <si>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</si>
  <si>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</si>
  <si>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</si>
  <si>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</si>
  <si>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</si>
  <si>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</si>
  <si>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</si>
  <si>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</si>
  <si>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</si>
  <si>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</si>
  <si>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</si>
  <si>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</si>
  <si>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</si>
  <si>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</si>
  <si>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</si>
  <si>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</si>
  <si>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</si>
  <si>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</si>
  <si>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</si>
  <si>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</si>
  <si>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</si>
  <si>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</si>
  <si>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</si>
  <si>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</si>
  <si>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</si>
  <si>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</si>
  <si>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</si>
  <si>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</si>
  <si>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</si>
  <si>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</si>
  <si>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</si>
  <si>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</si>
  <si>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</si>
  <si>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</si>
  <si>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</si>
  <si>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</si>
  <si>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</si>
  <si>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</si>
  <si>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</si>
  <si>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</si>
  <si>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</si>
  <si>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</si>
  <si>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</si>
  <si>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</si>
  <si>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</si>
  <si>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</si>
  <si>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</si>
  <si>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</si>
  <si>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</si>
  <si>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</si>
  <si>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</si>
  <si>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</si>
  <si>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</si>
  <si>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</si>
  <si>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</si>
  <si>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</si>
  <si>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</si>
  <si>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</si>
  <si>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</si>
  <si>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</si>
  <si>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</si>
  <si>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</si>
  <si>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</si>
  <si>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</si>
  <si>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</si>
  <si>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</si>
  <si>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</si>
  <si>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</si>
  <si>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</si>
  <si>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</si>
  <si>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</si>
  <si>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</si>
  <si>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</si>
  <si>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</si>
  <si>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</si>
  <si>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</si>
  <si>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</si>
  <si>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</si>
  <si>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</si>
  <si>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</si>
  <si>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</si>
  <si>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</si>
  <si>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</si>
  <si>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</si>
  <si>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</si>
  <si>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</si>
  <si>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</si>
  <si>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</si>
  <si>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</si>
  <si>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</si>
  <si>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</si>
  <si>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</si>
  <si>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</si>
  <si>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</si>
  <si>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</si>
  <si>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</si>
  <si>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</si>
  <si>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</si>
  <si>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</si>
  <si>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</si>
  <si>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</si>
  <si>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</si>
  <si>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</si>
  <si>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</si>
  <si>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</si>
  <si>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</si>
  <si>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</si>
  <si>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</si>
  <si>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</si>
  <si>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</si>
  <si>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</si>
  <si>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</si>
  <si>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</si>
  <si>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</si>
  <si>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</si>
  <si>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</si>
  <si>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</si>
  <si>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</si>
  <si>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</si>
  <si>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</si>
  <si>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</si>
  <si>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</si>
  <si>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</si>
  <si>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</si>
  <si>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</si>
  <si>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</si>
  <si>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</si>
  <si>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</si>
  <si>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</si>
  <si>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</si>
  <si>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</si>
  <si>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</si>
  <si>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</si>
  <si>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</si>
  <si>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</si>
  <si>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</si>
  <si>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</si>
  <si>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</si>
  <si>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</si>
  <si>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</si>
  <si>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</si>
  <si>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</si>
  <si>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</si>
  <si>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</si>
  <si>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</si>
  <si>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</si>
  <si>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</si>
  <si>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</si>
  <si>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</si>
  <si>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</si>
  <si>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</si>
  <si>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</si>
  <si>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</si>
  <si>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</si>
  <si>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</si>
  <si>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</si>
  <si>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</si>
  <si>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</si>
  <si>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</si>
  <si>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</si>
  <si>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</si>
  <si>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</si>
  <si>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</si>
  <si>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</si>
  <si>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</si>
  <si>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</si>
  <si>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</si>
  <si>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</si>
  <si>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</si>
  <si>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</si>
  <si>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</si>
  <si>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</si>
  <si>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</si>
  <si>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</si>
  <si>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</si>
  <si>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</si>
  <si>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</si>
  <si>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</si>
  <si>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</si>
  <si>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</si>
  <si>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</si>
  <si>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</si>
  <si>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</si>
  <si>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</si>
  <si>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</si>
  <si>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</si>
  <si>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</si>
  <si>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</si>
  <si>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</si>
  <si>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</si>
  <si>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</si>
  <si>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</si>
  <si>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</si>
  <si>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</si>
  <si>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</si>
  <si>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</si>
  <si>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</si>
  <si>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</si>
  <si>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</si>
  <si>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</si>
  <si>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</si>
  <si>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</si>
  <si>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</si>
  <si>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</si>
  <si>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</si>
  <si>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</si>
  <si>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</si>
  <si>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</si>
  <si>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</si>
  <si>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</si>
  <si>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</si>
  <si>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</si>
  <si>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</si>
  <si>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</si>
  <si>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</si>
  <si>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</si>
  <si>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</si>
  <si>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</si>
  <si>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</si>
  <si>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</si>
  <si>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</si>
  <si>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</si>
  <si>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</si>
  <si>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</si>
  <si>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</si>
  <si>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</si>
  <si>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</si>
  <si>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</si>
  <si>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</si>
  <si>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</si>
  <si>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</si>
  <si>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</si>
  <si>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</si>
  <si>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</si>
  <si>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</si>
  <si>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</si>
  <si>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</si>
  <si>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</si>
  <si>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</si>
  <si>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</si>
  <si>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</si>
  <si>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</si>
  <si>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</si>
  <si>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</si>
  <si>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</si>
  <si>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</si>
  <si>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</si>
  <si>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</si>
  <si>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</si>
  <si>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</si>
  <si>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</si>
  <si>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</si>
  <si>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</si>
  <si>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</si>
  <si>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</si>
  <si>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</si>
  <si>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</si>
  <si>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</si>
  <si>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</si>
  <si>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</si>
  <si>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</si>
  <si>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</si>
  <si>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</si>
  <si>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</si>
  <si>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</si>
  <si>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</si>
  <si>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</si>
  <si>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</si>
  <si>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</si>
  <si>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</si>
  <si>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</si>
  <si>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</si>
  <si>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</si>
  <si>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</si>
  <si>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</si>
  <si>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</si>
  <si>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</si>
  <si>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</si>
  <si>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</si>
  <si>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</si>
  <si>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</si>
  <si>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</si>
  <si>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</si>
  <si>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</si>
  <si>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</si>
  <si>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</si>
  <si>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</si>
  <si>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</si>
  <si>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</si>
  <si>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</si>
  <si>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</si>
  <si>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</si>
  <si>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</si>
  <si>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</si>
  <si>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</si>
  <si>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</si>
  <si>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</si>
  <si>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</si>
  <si>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</si>
  <si>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</si>
  <si>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</si>
  <si>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</si>
  <si>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</si>
  <si>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</si>
  <si>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</si>
  <si>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</si>
  <si>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</si>
  <si>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</si>
  <si>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</si>
  <si>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</si>
  <si>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</si>
  <si>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</si>
  <si>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</si>
  <si>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</si>
  <si>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</si>
  <si>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</si>
  <si>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</si>
  <si>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</si>
  <si>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</si>
  <si>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</si>
  <si>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</si>
  <si>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</si>
  <si>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</si>
  <si>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</si>
  <si>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</si>
  <si>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</si>
  <si>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</si>
  <si>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</si>
  <si>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</si>
  <si>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</si>
  <si>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</si>
  <si>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</si>
  <si>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</si>
  <si>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</si>
  <si>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</si>
  <si>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</si>
  <si>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</si>
  <si>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</si>
  <si>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</si>
  <si>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</si>
  <si>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</si>
  <si>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</si>
  <si>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</si>
  <si>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</si>
  <si>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</si>
  <si>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</si>
  <si>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</si>
  <si>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</si>
  <si>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</si>
  <si>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</si>
  <si>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</si>
  <si>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</si>
  <si>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</si>
  <si>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</si>
  <si>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</si>
  <si>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</si>
  <si>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</si>
  <si>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</si>
  <si>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</si>
  <si>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</si>
  <si>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</si>
  <si>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</si>
  <si>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</si>
  <si>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</si>
  <si>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</si>
  <si>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</si>
  <si>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</si>
  <si>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</si>
  <si>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</si>
  <si>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</si>
  <si>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</si>
  <si>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</si>
  <si>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</si>
  <si>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</si>
  <si>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</si>
  <si>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</si>
  <si>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</si>
  <si>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</si>
  <si>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</si>
  <si>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</si>
  <si>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</si>
  <si>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</si>
  <si>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</si>
  <si>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</si>
  <si>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</si>
  <si>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</si>
  <si>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</si>
  <si>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</si>
  <si>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</si>
  <si>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</si>
  <si>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</si>
  <si>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</si>
  <si>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</si>
  <si>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</si>
  <si>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</si>
  <si>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</si>
  <si>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</si>
  <si>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</si>
  <si>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</si>
  <si>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</si>
  <si>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</si>
  <si>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</si>
  <si>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</si>
  <si>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</si>
  <si>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</si>
  <si>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</si>
  <si>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</si>
  <si>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</si>
  <si>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</si>
  <si>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</si>
  <si>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</si>
  <si>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</si>
  <si>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</si>
  <si>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</si>
  <si>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</si>
  <si>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</si>
  <si>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</si>
  <si>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</si>
  <si>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</si>
  <si>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</si>
  <si>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</si>
  <si>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</si>
  <si>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</si>
  <si>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</si>
  <si>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</si>
  <si>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</si>
  <si>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</si>
  <si>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</si>
  <si>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</si>
  <si>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</si>
  <si>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</si>
  <si>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</si>
  <si>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</si>
  <si>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</si>
  <si>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</si>
  <si>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</si>
  <si>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</si>
  <si>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</si>
  <si>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</si>
  <si>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</si>
  <si>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</si>
  <si>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</si>
  <si>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</si>
  <si>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</si>
  <si>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</si>
  <si>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</si>
  <si>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</si>
  <si>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</si>
  <si>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</si>
  <si>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</si>
  <si>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</si>
  <si>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</si>
  <si>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</si>
  <si>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</si>
  <si>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</si>
  <si>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</si>
  <si>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</si>
  <si>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</si>
  <si>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</si>
  <si>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</si>
  <si>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</si>
  <si>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</si>
  <si>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</si>
  <si>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</si>
  <si>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</si>
  <si>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</si>
  <si>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</si>
  <si>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</si>
  <si>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</si>
  <si>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</si>
  <si>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</si>
  <si>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</si>
  <si>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</si>
  <si>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</si>
  <si>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</si>
  <si>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</si>
  <si>
    <t xml:space="preserve">BALANCE       DE    AGOSTO              2 0 1 7      HERRADURA </t>
  </si>
  <si>
    <t>}</t>
  </si>
  <si>
    <t>21770 D</t>
  </si>
  <si>
    <t>22022 D</t>
  </si>
  <si>
    <t># 0160---#0190</t>
  </si>
  <si>
    <t>R-21301-21333-21397</t>
  </si>
  <si>
    <t># 0191---#0233</t>
  </si>
  <si>
    <t>R-21397</t>
  </si>
  <si>
    <t># 0234---# 0281</t>
  </si>
  <si>
    <t>R-21397+21501+21665</t>
  </si>
  <si>
    <t># 0282---# 0334</t>
  </si>
  <si>
    <t>R-21665-21770</t>
  </si>
  <si>
    <t># 0335---# 0390</t>
  </si>
  <si>
    <t>R-21770-21853</t>
  </si>
  <si>
    <t># 0391---# 0432</t>
  </si>
  <si>
    <t>R-21853-21410-22022-22225</t>
  </si>
  <si>
    <t>21410 D</t>
  </si>
  <si>
    <t>22225 D</t>
  </si>
  <si>
    <t>22355 D</t>
  </si>
  <si>
    <t>22502 D</t>
  </si>
  <si>
    <t>22504 D</t>
  </si>
  <si>
    <t>22628 D</t>
  </si>
  <si>
    <t>22654 D</t>
  </si>
  <si>
    <t>22733 D</t>
  </si>
  <si>
    <t>22836 D</t>
  </si>
  <si>
    <t>23003 D</t>
  </si>
  <si>
    <t>23225 D</t>
  </si>
  <si>
    <t xml:space="preserve">24-30 Jul </t>
  </si>
  <si>
    <t>R-22225</t>
  </si>
  <si>
    <t># 0433---# 0455</t>
  </si>
  <si>
    <t>R-22225--22355</t>
  </si>
  <si>
    <t># 0456---# 480</t>
  </si>
  <si>
    <t>R-22355--22502</t>
  </si>
  <si>
    <t>R-22502-22504</t>
  </si>
  <si>
    <t># 0530---# 0585</t>
  </si>
  <si>
    <t># 0481---# 0529</t>
  </si>
  <si>
    <t>R-22504-2526258-22654</t>
  </si>
  <si>
    <t># 0586---# 630</t>
  </si>
  <si>
    <t>NOMINA 31</t>
  </si>
  <si>
    <t>NOMINA 32</t>
  </si>
  <si>
    <t>NOMINA 33</t>
  </si>
  <si>
    <t>NOMINA 34</t>
  </si>
  <si>
    <t>31-06 Agosto</t>
  </si>
  <si>
    <t>R-22654-22733</t>
  </si>
  <si>
    <t># 0631---# 0675</t>
  </si>
  <si>
    <t>R-22733-22836--23003</t>
  </si>
  <si>
    <t># 0676---# 0705</t>
  </si>
  <si>
    <t>R-23003</t>
  </si>
  <si>
    <t># 0706---# 0736</t>
  </si>
  <si>
    <t xml:space="preserve">29-Jul --14-Ago </t>
  </si>
  <si>
    <t>23117 D</t>
  </si>
  <si>
    <t>23359 D</t>
  </si>
  <si>
    <t>23367 D</t>
  </si>
  <si>
    <t>23602 D</t>
  </si>
  <si>
    <t>23361 D</t>
  </si>
  <si>
    <t># 0737---# 0769</t>
  </si>
  <si>
    <t>R-23003-23117</t>
  </si>
  <si>
    <t># 0770---# 0808</t>
  </si>
  <si>
    <t>R-23117</t>
  </si>
  <si>
    <t># 0809---# 0866</t>
  </si>
  <si>
    <t>R-23117-23225-23359</t>
  </si>
  <si>
    <t># 0867---# 0927</t>
  </si>
  <si>
    <t>R-23359-23361-23367</t>
  </si>
  <si>
    <t>R-23367--CORBATA</t>
  </si>
  <si>
    <t>CORBATA</t>
  </si>
  <si>
    <t>R-23367-23602</t>
  </si>
  <si>
    <t># 00035---# 00070</t>
  </si>
  <si>
    <t># 0928---# 0992</t>
  </si>
  <si>
    <t># 0993---# 1000</t>
  </si>
  <si>
    <t># 00071--# 00106</t>
  </si>
  <si>
    <t>240016 D</t>
  </si>
  <si>
    <t>24141 D</t>
  </si>
  <si>
    <t>24273 D</t>
  </si>
  <si>
    <t># 0141---# 0196</t>
  </si>
  <si>
    <t># 0107---# 0140</t>
  </si>
  <si>
    <t>R-24015-</t>
  </si>
  <si>
    <t>24015-24141</t>
  </si>
  <si>
    <t>7-13 Ago</t>
  </si>
  <si>
    <t>14-20 Ago</t>
  </si>
  <si>
    <t>24307 D</t>
  </si>
  <si>
    <t>24506 D</t>
  </si>
  <si>
    <t># 2</t>
  </si>
  <si>
    <t>24600 D</t>
  </si>
  <si>
    <t>NOTA 273</t>
  </si>
  <si>
    <t>24016 D</t>
  </si>
  <si>
    <t>R-24141-24273</t>
  </si>
  <si>
    <t># 0197---# 0253</t>
  </si>
  <si>
    <t xml:space="preserve">14-Ago --23-Agp </t>
  </si>
  <si>
    <t>24721 D</t>
  </si>
  <si>
    <t>24762 D</t>
  </si>
  <si>
    <t>24868 D</t>
  </si>
  <si>
    <t>25000 D</t>
  </si>
  <si>
    <t>00162 E</t>
  </si>
  <si>
    <t>00354 E</t>
  </si>
  <si>
    <t># 0254---# 00310</t>
  </si>
  <si>
    <t>R-24273--24307--</t>
  </si>
  <si>
    <t># 00312---# 00353</t>
  </si>
  <si>
    <t>R-24506--24600</t>
  </si>
  <si>
    <t># 00354---# 00380</t>
  </si>
  <si>
    <t>R-24600-24721</t>
  </si>
  <si>
    <t>R-24721-24762-Nota 331</t>
  </si>
  <si>
    <t># 00381---# 00418</t>
  </si>
  <si>
    <t>Nota 331</t>
  </si>
  <si>
    <t>Diezmillo-Rosbik</t>
  </si>
  <si>
    <t># 00419---# 00456</t>
  </si>
  <si>
    <t>R-24762</t>
  </si>
  <si>
    <t>R-24762-24868</t>
  </si>
  <si>
    <t># 00457---#0517</t>
  </si>
  <si>
    <t># 00518---# 00582</t>
  </si>
  <si>
    <t>R-24868-25000</t>
  </si>
  <si>
    <t># 00583---# 00629</t>
  </si>
  <si>
    <t>R-25000-00162</t>
  </si>
  <si>
    <t xml:space="preserve">21-27 Ago </t>
  </si>
  <si>
    <t># 00630---# 00660</t>
  </si>
  <si>
    <t>R-00162</t>
  </si>
  <si>
    <t>Abono</t>
  </si>
  <si>
    <t xml:space="preserve">23-Ago --31-Ago </t>
  </si>
  <si>
    <t xml:space="preserve">BALANCE       DE    SEPTIEMBRE               2 0 1 7      HERRADURA </t>
  </si>
  <si>
    <t>NOMINA 35</t>
  </si>
  <si>
    <t>NOMINA 36</t>
  </si>
  <si>
    <t>NOMINA 37</t>
  </si>
  <si>
    <t>NOMINA 38</t>
  </si>
  <si>
    <t>00490 E</t>
  </si>
  <si>
    <t>00682 E</t>
  </si>
  <si>
    <t>00711 E</t>
  </si>
  <si>
    <t>00722 E</t>
  </si>
  <si>
    <t>00776 E</t>
  </si>
  <si>
    <t># 0661---# 0699</t>
  </si>
  <si>
    <t># 0700---# 0736</t>
  </si>
  <si>
    <t>R-0354</t>
  </si>
  <si>
    <t>R-0354-490-6982</t>
  </si>
  <si>
    <t>CENTRAL</t>
  </si>
  <si>
    <t>R-682-711</t>
  </si>
  <si>
    <t>0996 E</t>
  </si>
  <si>
    <t>1142 E</t>
  </si>
  <si>
    <t>1339 E</t>
  </si>
  <si>
    <t>1345 E</t>
  </si>
  <si>
    <t>1394 E</t>
  </si>
  <si>
    <t>1545 E</t>
  </si>
  <si>
    <t xml:space="preserve">31-Ago --9-Sep </t>
  </si>
  <si>
    <t>1554 E</t>
  </si>
  <si>
    <t>1735 E</t>
  </si>
  <si>
    <t># 0766---# 0810</t>
  </si>
  <si>
    <t>R-711-722</t>
  </si>
  <si>
    <t>R-722-776-996</t>
  </si>
  <si>
    <t xml:space="preserve">28-03-Sept </t>
  </si>
  <si>
    <t># 0857---# 0913</t>
  </si>
  <si>
    <t># 0811---# 0856</t>
  </si>
  <si>
    <t>R-996-1142</t>
  </si>
  <si>
    <t># 0914---# 0955</t>
  </si>
  <si>
    <t>R-1142-1339-1345-1394-1545</t>
  </si>
  <si>
    <t># 0956---# 0977</t>
  </si>
  <si>
    <t>R-1545</t>
  </si>
  <si>
    <t>1950 E</t>
  </si>
  <si>
    <t>2073 E</t>
  </si>
  <si>
    <t>2144 E</t>
  </si>
  <si>
    <t>2323 E</t>
  </si>
  <si>
    <t>2337 E</t>
  </si>
  <si>
    <t>2602 E</t>
  </si>
  <si>
    <t>2776 E</t>
  </si>
  <si>
    <t>2949 E</t>
  </si>
  <si>
    <t>3189 E</t>
  </si>
  <si>
    <t>3288 E</t>
  </si>
  <si>
    <t>3302 E</t>
  </si>
  <si>
    <t>09-Sept --23-Sept</t>
  </si>
  <si>
    <t>3559 E</t>
  </si>
  <si>
    <t>3726 E</t>
  </si>
  <si>
    <t>3743 E</t>
  </si>
  <si>
    <t>3790 E</t>
  </si>
  <si>
    <t>4026 E</t>
  </si>
  <si>
    <t>4192 E</t>
  </si>
  <si>
    <t xml:space="preserve">23-Sep --30-Sep </t>
  </si>
  <si>
    <t>R-1545-1554-1735</t>
  </si>
  <si>
    <t># 1082--# 1128</t>
  </si>
  <si>
    <t># 1041---# 1081</t>
  </si>
  <si>
    <t># 1012---# 1040</t>
  </si>
  <si>
    <t># 0978---# 1011</t>
  </si>
  <si>
    <t>R-1735-1950-2073</t>
  </si>
  <si>
    <t># 1129---# 1176</t>
  </si>
  <si>
    <t>R-2073</t>
  </si>
  <si>
    <t># 1177---# 1216</t>
  </si>
  <si>
    <t>R-2073-2144-2323</t>
  </si>
  <si>
    <t># 1217---# 1234</t>
  </si>
  <si>
    <t>R-2323-2334-2602</t>
  </si>
  <si>
    <t># 1235---# 1275</t>
  </si>
  <si>
    <t>R-2602</t>
  </si>
  <si>
    <t># 1276---# 1315</t>
  </si>
  <si>
    <t>R-2602-2776</t>
  </si>
  <si>
    <t># 1316---# 1378</t>
  </si>
  <si>
    <t>R-2776-2949</t>
  </si>
  <si>
    <t># 1379---# 1420</t>
  </si>
  <si>
    <t>R-2949</t>
  </si>
  <si>
    <t># 1421---# 1464</t>
  </si>
  <si>
    <t>R-2949-3189</t>
  </si>
  <si>
    <t># 1465---# 1507</t>
  </si>
  <si>
    <t>R-3189-3288-3302</t>
  </si>
  <si>
    <t># 1509---# 1529</t>
  </si>
  <si>
    <t>R-3302-3559</t>
  </si>
  <si>
    <t># 1530---# 1553</t>
  </si>
  <si>
    <t>R-3559</t>
  </si>
  <si>
    <t># 1554---# 1589</t>
  </si>
  <si>
    <t>R-3559-Central</t>
  </si>
  <si>
    <t xml:space="preserve">04-10-Sep </t>
  </si>
  <si>
    <t xml:space="preserve">11-17-Sep </t>
  </si>
  <si>
    <t># 1590---# 1635</t>
  </si>
  <si>
    <t>R-3559-3726-3743</t>
  </si>
  <si>
    <t>Ago --Sep</t>
  </si>
  <si>
    <t># 1636---# 1672</t>
  </si>
  <si>
    <t>R-3743-4026</t>
  </si>
  <si>
    <t>4429 E</t>
  </si>
  <si>
    <t>4554 E</t>
  </si>
  <si>
    <t>4555 E</t>
  </si>
  <si>
    <t>4578 E</t>
  </si>
  <si>
    <t>4816 E</t>
  </si>
  <si>
    <t>5075 E</t>
  </si>
  <si>
    <t>5077 E</t>
  </si>
  <si>
    <t># 1673---# 1725</t>
  </si>
  <si>
    <t>R-4026-3790-4192-4429</t>
  </si>
  <si>
    <t># 1726---# 1766</t>
  </si>
  <si>
    <t>R-4429</t>
  </si>
  <si>
    <t># 1767---# 1793</t>
  </si>
  <si>
    <t># 1794---# 1825</t>
  </si>
  <si>
    <t>R-4429-1771</t>
  </si>
  <si>
    <t># 1826---# 1868</t>
  </si>
  <si>
    <t>R-1771-4554</t>
  </si>
  <si>
    <t>1771 E</t>
  </si>
  <si>
    <t># 1869---# 1913</t>
  </si>
  <si>
    <t>R-4554-4555-4578</t>
  </si>
  <si>
    <t>JOEL</t>
  </si>
  <si>
    <t># 1914---# 1970</t>
  </si>
  <si>
    <t>18-24-Sep</t>
  </si>
  <si>
    <t>25-01-Oct</t>
  </si>
  <si>
    <t>NOMINA 39</t>
  </si>
  <si>
    <t>5233 E</t>
  </si>
  <si>
    <t>5343 E</t>
  </si>
  <si>
    <t>5452 E</t>
  </si>
  <si>
    <t>5468 E</t>
  </si>
  <si>
    <t>5536 E</t>
  </si>
  <si>
    <t>5538 E</t>
  </si>
  <si>
    <t>5540 E</t>
  </si>
  <si>
    <t>5541 E</t>
  </si>
  <si>
    <t>5599 E</t>
  </si>
  <si>
    <t>SIN REM</t>
  </si>
  <si>
    <t># 3790</t>
  </si>
  <si>
    <t>GANANCIA</t>
  </si>
  <si>
    <t xml:space="preserve">LUZ X MES </t>
  </si>
  <si>
    <t>30-Sep --14-oct</t>
  </si>
  <si>
    <t xml:space="preserve">DEPOSITOS FISICOS EN CADA CORTE </t>
  </si>
  <si>
    <t>5868 E</t>
  </si>
  <si>
    <t>6038 E</t>
  </si>
  <si>
    <t>6136 E</t>
  </si>
  <si>
    <t>6162 E</t>
  </si>
  <si>
    <t>6274 E</t>
  </si>
  <si>
    <t>6275 E</t>
  </si>
  <si>
    <t>6276 E</t>
  </si>
  <si>
    <t>6419 E</t>
  </si>
  <si>
    <t>6514 E</t>
  </si>
  <si>
    <t>R4816</t>
  </si>
  <si>
    <t>R-4816</t>
  </si>
  <si>
    <t>R-4816-5075</t>
  </si>
  <si>
    <t>R-5075</t>
  </si>
  <si>
    <t>R-577-5233-5075</t>
  </si>
  <si>
    <t>R-5233-5343</t>
  </si>
  <si>
    <t>R5452-5468</t>
  </si>
  <si>
    <t>R-5343+5452-5468--55836-5538-5540.</t>
  </si>
  <si>
    <t>XXX</t>
  </si>
  <si>
    <t>R-5540--5541</t>
  </si>
  <si>
    <t>R-5541--5599</t>
  </si>
  <si>
    <t>R-5599-5868-6038</t>
  </si>
  <si>
    <t>R-6038-6136-6162</t>
  </si>
  <si>
    <t>6762 E</t>
  </si>
  <si>
    <t>6764 E</t>
  </si>
  <si>
    <t xml:space="preserve">ESTOS DEPOSITOS FISICOS ESTAN EN CADA CORDE </t>
  </si>
  <si>
    <t xml:space="preserve">14-Oct --19-Oct </t>
  </si>
  <si>
    <t>NOMINA 40</t>
  </si>
  <si>
    <t>NOMINA 41</t>
  </si>
  <si>
    <t>NOMINA 42</t>
  </si>
  <si>
    <t>NOMINA 43</t>
  </si>
  <si>
    <t xml:space="preserve">  CAMARAS </t>
  </si>
  <si>
    <t>6817 E</t>
  </si>
  <si>
    <t>6826 E</t>
  </si>
  <si>
    <t>6968 E</t>
  </si>
  <si>
    <t>7089 E</t>
  </si>
  <si>
    <t>7102 E</t>
  </si>
  <si>
    <t>7260 E</t>
  </si>
  <si>
    <t>7544 E</t>
  </si>
  <si>
    <t>7760 E</t>
  </si>
  <si>
    <t>7761 E</t>
  </si>
  <si>
    <t>7864 E</t>
  </si>
  <si>
    <t>7900 E</t>
  </si>
  <si>
    <t>7999 E</t>
  </si>
  <si>
    <t>ESTOS DEPOSITOS FISICOS SE ENCUENTRAN EN CADA CORTE DE HERRADURA</t>
  </si>
  <si>
    <t xml:space="preserve">19-Oct --30-Oct </t>
  </si>
  <si>
    <t>8107 e</t>
  </si>
  <si>
    <t>CUERO PAPEL</t>
  </si>
  <si>
    <t>R-6275-6276-6419</t>
  </si>
  <si>
    <t>R-6419-6514</t>
  </si>
  <si>
    <t>R6514-</t>
  </si>
  <si>
    <t>R-6514-6762</t>
  </si>
  <si>
    <t>02-08-Oct</t>
  </si>
  <si>
    <t xml:space="preserve">09-15 Oct </t>
  </si>
  <si>
    <t xml:space="preserve">16-22 Oct </t>
  </si>
  <si>
    <t>R-6762</t>
  </si>
  <si>
    <t>R-6762-6764-6817-6826-6968</t>
  </si>
  <si>
    <t>R-6968-SUADERO-PANZA</t>
  </si>
  <si>
    <t>PANZA RES</t>
  </si>
  <si>
    <t>SUADERO</t>
  </si>
  <si>
    <t>R-6968--7089</t>
  </si>
  <si>
    <t>R-7089-7102</t>
  </si>
  <si>
    <t>R-7102--7260</t>
  </si>
  <si>
    <t>R-7260-7544</t>
  </si>
  <si>
    <t>08256 E</t>
  </si>
  <si>
    <t>8315 E</t>
  </si>
  <si>
    <t xml:space="preserve">BALANCE       DE    NOVIEMBRE                2 0 1 7      HERRADURA </t>
  </si>
  <si>
    <t xml:space="preserve">BALANCE       DE    OCTUBRE               2 0 1 7      HERRADURA </t>
  </si>
  <si>
    <t>R-7544-7760-7761</t>
  </si>
  <si>
    <t>R-7761-7864-7900-7999</t>
  </si>
  <si>
    <t>R-7999</t>
  </si>
  <si>
    <t xml:space="preserve">23-29 Oct </t>
  </si>
  <si>
    <t>R-7999-8107-8256</t>
  </si>
  <si>
    <t>EN UNA SOLA TRANSFER ESTAN</t>
  </si>
  <si>
    <t>CREDITOS</t>
  </si>
  <si>
    <t>R-6162-6274-6275</t>
  </si>
  <si>
    <t>NOMINA 44</t>
  </si>
  <si>
    <t>NOMINA 45</t>
  </si>
  <si>
    <t>NOMINA 46</t>
  </si>
  <si>
    <t>NOMINA 47</t>
  </si>
  <si>
    <t>R-8256</t>
  </si>
  <si>
    <t>R-8315</t>
  </si>
  <si>
    <t>ESTOS DEPOSITOS FISICOS ESTAN EN LOS CORTES</t>
  </si>
  <si>
    <t xml:space="preserve">30-Oct--9-Nov </t>
  </si>
  <si>
    <t>,0002</t>
  </si>
  <si>
    <t>,0005</t>
  </si>
  <si>
    <t>,0007</t>
  </si>
  <si>
    <t>,0013</t>
  </si>
  <si>
    <t>,0017</t>
  </si>
  <si>
    <t>,0023</t>
  </si>
  <si>
    <t>,0025</t>
  </si>
  <si>
    <t>,0029</t>
  </si>
  <si>
    <t>,0031</t>
  </si>
  <si>
    <t>,0037</t>
  </si>
  <si>
    <t>LA LUZ SE VENCE LOS        6 DE CADA BIMESTRE  ESTE ES         06-NOVIEMBRE-2017</t>
  </si>
  <si>
    <t>,0041</t>
  </si>
  <si>
    <t>,0046</t>
  </si>
  <si>
    <t>,0050</t>
  </si>
  <si>
    <t>,0053</t>
  </si>
  <si>
    <t>,0064</t>
  </si>
  <si>
    <t xml:space="preserve">30-05-Nov </t>
  </si>
  <si>
    <t xml:space="preserve">06-12-Nov </t>
  </si>
  <si>
    <t>Sobrante</t>
  </si>
  <si>
    <t>Faltante</t>
  </si>
  <si>
    <t>,0067</t>
  </si>
  <si>
    <t>,0078</t>
  </si>
  <si>
    <t>,0083</t>
  </si>
  <si>
    <t>,0092</t>
  </si>
  <si>
    <t>,0102</t>
  </si>
  <si>
    <t>,0106</t>
  </si>
  <si>
    <t>,0113</t>
  </si>
  <si>
    <t xml:space="preserve">13-19-Nov </t>
  </si>
  <si>
    <t xml:space="preserve">20-26 Nov </t>
  </si>
  <si>
    <t>EXTINTORES</t>
  </si>
  <si>
    <t>,0077</t>
  </si>
  <si>
    <t>,0124</t>
  </si>
  <si>
    <t>,0127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</si>
</sst>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  <numFmt numFmtId="167" formatCode="0_ ;\-0\ "/>
    <numFmt numFmtId="168" formatCode="[$$-80A]#,##0.00;\-[$$-80A]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 Light"/>
      <family val="1"/>
      <scheme val="major"/>
    </font>
    <font>
      <b/>
      <i/>
      <u/>
      <sz val="14"/>
      <color theme="1"/>
      <name val="Calibri Light"/>
      <family val="2"/>
      <scheme val="major"/>
    </font>
    <font>
      <b/>
      <i/>
      <u/>
      <sz val="12"/>
      <color theme="1"/>
      <name val="Arial Black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1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8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44" fontId="6" fillId="0" borderId="52" xfId="0" applyNumberFormat="1" applyFont="1" applyFill="1" applyBorder="1"/>
    <xf numFmtId="165" fontId="2" fillId="19" borderId="0" xfId="0" applyNumberFormat="1" applyFont="1" applyFill="1" applyBorder="1"/>
    <xf numFmtId="15" fontId="2" fillId="0" borderId="96" xfId="0" applyNumberFormat="1" applyFont="1" applyFill="1" applyBorder="1"/>
    <xf numFmtId="0" fontId="2" fillId="0" borderId="91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8" xfId="0" applyBorder="1" applyAlignment="1">
      <alignment horizontal="center"/>
    </xf>
    <xf numFmtId="44" fontId="10" fillId="0" borderId="2" xfId="1" applyFont="1" applyBorder="1" applyAlignment="1">
      <alignment horizontal="center"/>
    </xf>
    <xf numFmtId="44" fontId="0" fillId="0" borderId="99" xfId="1" applyFont="1" applyFill="1" applyBorder="1" applyAlignment="1">
      <alignment horizontal="center"/>
    </xf>
    <xf numFmtId="44" fontId="0" fillId="0" borderId="100" xfId="1" applyFont="1" applyFill="1" applyBorder="1" applyAlignment="1">
      <alignment horizontal="center"/>
    </xf>
    <xf numFmtId="44" fontId="13" fillId="0" borderId="100" xfId="1" applyFont="1" applyFill="1" applyBorder="1" applyAlignment="1">
      <alignment horizontal="center"/>
    </xf>
    <xf numFmtId="44" fontId="0" fillId="0" borderId="101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left"/>
    </xf>
    <xf numFmtId="164" fontId="34" fillId="20" borderId="4" xfId="1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44" fontId="25" fillId="0" borderId="0" xfId="1" applyFont="1" applyFill="1" applyBorder="1" applyAlignment="1">
      <alignment horizontal="left" wrapText="1"/>
    </xf>
    <xf numFmtId="44" fontId="34" fillId="0" borderId="47" xfId="1" applyFont="1" applyFill="1" applyBorder="1" applyAlignment="1">
      <alignment horizontal="left" wrapText="1"/>
    </xf>
    <xf numFmtId="0" fontId="18" fillId="10" borderId="26" xfId="0" applyFont="1" applyFill="1" applyBorder="1"/>
    <xf numFmtId="44" fontId="2" fillId="10" borderId="0" xfId="1" applyFont="1" applyFill="1" applyBorder="1"/>
    <xf numFmtId="16" fontId="2" fillId="10" borderId="26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0" borderId="93" xfId="0" applyFont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5" fillId="10" borderId="0" xfId="0" applyNumberFormat="1" applyFont="1" applyFill="1" applyBorder="1"/>
    <xf numFmtId="44" fontId="2" fillId="0" borderId="43" xfId="1" applyFont="1" applyFill="1" applyBorder="1"/>
    <xf numFmtId="44" fontId="37" fillId="0" borderId="57" xfId="1" applyFont="1" applyFill="1" applyBorder="1" applyAlignment="1">
      <alignment horizontal="left" wrapText="1"/>
    </xf>
    <xf numFmtId="44" fontId="6" fillId="0" borderId="60" xfId="0" applyNumberFormat="1" applyFont="1" applyBorder="1"/>
    <xf numFmtId="0" fontId="6" fillId="0" borderId="60" xfId="0" applyFont="1" applyBorder="1"/>
    <xf numFmtId="15" fontId="2" fillId="0" borderId="102" xfId="0" applyNumberFormat="1" applyFont="1" applyFill="1" applyBorder="1"/>
    <xf numFmtId="15" fontId="2" fillId="0" borderId="103" xfId="0" applyNumberFormat="1" applyFont="1" applyFill="1" applyBorder="1"/>
    <xf numFmtId="15" fontId="2" fillId="0" borderId="104" xfId="0" applyNumberFormat="1" applyFont="1" applyFill="1" applyBorder="1"/>
    <xf numFmtId="44" fontId="4" fillId="2" borderId="0" xfId="1" applyFont="1" applyFill="1" applyAlignment="1">
      <alignment horizontal="center"/>
    </xf>
    <xf numFmtId="44" fontId="2" fillId="0" borderId="92" xfId="1" applyFont="1" applyFill="1" applyBorder="1" applyAlignment="1">
      <alignment horizontal="center"/>
    </xf>
    <xf numFmtId="44" fontId="2" fillId="0" borderId="40" xfId="1" applyFont="1" applyFill="1" applyBorder="1" applyAlignment="1">
      <alignment horizontal="center"/>
    </xf>
    <xf numFmtId="44" fontId="2" fillId="0" borderId="93" xfId="1" applyFont="1" applyBorder="1" applyAlignment="1">
      <alignment horizontal="center"/>
    </xf>
    <xf numFmtId="44" fontId="0" fillId="0" borderId="94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105" xfId="0" applyBorder="1"/>
    <xf numFmtId="0" fontId="0" fillId="0" borderId="106" xfId="0" applyBorder="1"/>
    <xf numFmtId="44" fontId="35" fillId="0" borderId="25" xfId="1" applyFont="1" applyFill="1" applyBorder="1" applyAlignment="1">
      <alignment horizontal="left" wrapText="1"/>
    </xf>
    <xf numFmtId="44" fontId="40" fillId="0" borderId="25" xfId="1" applyFont="1" applyFill="1" applyBorder="1" applyAlignment="1">
      <alignment horizontal="left" wrapText="1"/>
    </xf>
    <xf numFmtId="167" fontId="34" fillId="0" borderId="44" xfId="1" applyNumberFormat="1" applyFont="1" applyFill="1" applyBorder="1" applyAlignment="1">
      <alignment horizontal="center" vertical="center"/>
    </xf>
    <xf numFmtId="44" fontId="34" fillId="0" borderId="44" xfId="1" applyFont="1" applyFill="1" applyBorder="1" applyAlignment="1">
      <alignment vertical="center"/>
    </xf>
    <xf numFmtId="44" fontId="37" fillId="0" borderId="53" xfId="1" applyFont="1" applyFill="1" applyBorder="1" applyAlignment="1">
      <alignment horizontal="left" wrapText="1"/>
    </xf>
    <xf numFmtId="44" fontId="6" fillId="0" borderId="25" xfId="1" applyFont="1" applyFill="1" applyBorder="1" applyAlignment="1">
      <alignment horizontal="center"/>
    </xf>
    <xf numFmtId="164" fontId="2" fillId="0" borderId="57" xfId="0" applyNumberFormat="1" applyFont="1" applyFill="1" applyBorder="1"/>
    <xf numFmtId="44" fontId="34" fillId="0" borderId="25" xfId="1" applyFont="1" applyFill="1" applyBorder="1" applyAlignment="1">
      <alignment vertical="center"/>
    </xf>
    <xf numFmtId="0" fontId="6" fillId="0" borderId="25" xfId="0" applyFont="1" applyBorder="1"/>
    <xf numFmtId="44" fontId="6" fillId="0" borderId="25" xfId="1" applyFont="1" applyBorder="1"/>
    <xf numFmtId="44" fontId="0" fillId="0" borderId="53" xfId="1" applyFont="1" applyBorder="1"/>
    <xf numFmtId="44" fontId="6" fillId="0" borderId="9" xfId="0" applyNumberFormat="1" applyFont="1" applyBorder="1"/>
    <xf numFmtId="44" fontId="6" fillId="0" borderId="10" xfId="0" applyNumberFormat="1" applyFont="1" applyBorder="1"/>
    <xf numFmtId="0" fontId="6" fillId="0" borderId="111" xfId="0" applyFont="1" applyBorder="1"/>
    <xf numFmtId="0" fontId="42" fillId="10" borderId="54" xfId="0" applyFont="1" applyFill="1" applyBorder="1" applyAlignment="1">
      <alignment horizontal="center"/>
    </xf>
    <xf numFmtId="44" fontId="6" fillId="0" borderId="25" xfId="0" applyNumberFormat="1" applyFont="1" applyFill="1" applyBorder="1"/>
    <xf numFmtId="44" fontId="6" fillId="0" borderId="53" xfId="0" applyNumberFormat="1" applyFont="1" applyFill="1" applyBorder="1"/>
    <xf numFmtId="44" fontId="1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7" borderId="93" xfId="1" applyFont="1" applyFill="1" applyBorder="1" applyAlignment="1">
      <alignment horizontal="center"/>
    </xf>
    <xf numFmtId="44" fontId="2" fillId="7" borderId="98" xfId="1" applyFont="1" applyFill="1" applyBorder="1" applyAlignment="1">
      <alignment horizontal="center"/>
    </xf>
    <xf numFmtId="165" fontId="2" fillId="0" borderId="4" xfId="0" applyNumberFormat="1" applyFont="1" applyBorder="1"/>
    <xf numFmtId="44" fontId="2" fillId="0" borderId="11" xfId="1" applyFont="1" applyBorder="1" applyAlignment="1">
      <alignment horizontal="center"/>
    </xf>
    <xf numFmtId="1" fontId="6" fillId="0" borderId="43" xfId="0" applyNumberFormat="1" applyFont="1" applyFill="1" applyBorder="1" applyAlignment="1">
      <alignment horizontal="center"/>
    </xf>
    <xf numFmtId="164" fontId="34" fillId="0" borderId="0" xfId="1" applyNumberFormat="1" applyFont="1" applyFill="1" applyBorder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6" fontId="43" fillId="0" borderId="0" xfId="0" applyNumberFormat="1" applyFont="1" applyBorder="1" applyAlignment="1">
      <alignment horizontal="center"/>
    </xf>
    <xf numFmtId="16" fontId="27" fillId="0" borderId="0" xfId="0" applyNumberFormat="1" applyFont="1" applyFill="1" applyBorder="1" applyAlignment="1">
      <alignment horizontal="center"/>
    </xf>
    <xf numFmtId="16" fontId="42" fillId="0" borderId="0" xfId="0" applyNumberFormat="1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64" fontId="34" fillId="7" borderId="4" xfId="1" applyNumberFormat="1" applyFont="1" applyFill="1" applyBorder="1" applyAlignment="1">
      <alignment horizontal="center"/>
    </xf>
    <xf numFmtId="164" fontId="25" fillId="7" borderId="4" xfId="1" applyNumberFormat="1" applyFont="1" applyFill="1" applyBorder="1" applyAlignment="1">
      <alignment horizontal="center"/>
    </xf>
    <xf numFmtId="1" fontId="34" fillId="7" borderId="4" xfId="0" applyNumberFormat="1" applyFont="1" applyFill="1" applyBorder="1" applyAlignment="1">
      <alignment horizontal="center"/>
    </xf>
    <xf numFmtId="44" fontId="2" fillId="7" borderId="4" xfId="1" applyFont="1" applyFill="1" applyBorder="1"/>
    <xf numFmtId="44" fontId="5" fillId="6" borderId="41" xfId="1" applyFont="1" applyFill="1" applyBorder="1"/>
    <xf numFmtId="44" fontId="40" fillId="0" borderId="57" xfId="1" applyFont="1" applyFill="1" applyBorder="1" applyAlignment="1">
      <alignment horizontal="left" wrapText="1"/>
    </xf>
    <xf numFmtId="0" fontId="18" fillId="0" borderId="26" xfId="0" applyFont="1" applyFill="1" applyBorder="1"/>
    <xf numFmtId="16" fontId="2" fillId="0" borderId="26" xfId="0" applyNumberFormat="1" applyFont="1" applyFill="1" applyBorder="1"/>
    <xf numFmtId="0" fontId="2" fillId="0" borderId="114" xfId="0" applyFont="1" applyBorder="1"/>
    <xf numFmtId="168" fontId="6" fillId="0" borderId="114" xfId="1" applyNumberFormat="1" applyFont="1" applyBorder="1"/>
    <xf numFmtId="0" fontId="19" fillId="0" borderId="0" xfId="0" applyFont="1"/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4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95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4" fontId="2" fillId="6" borderId="2" xfId="1" applyFont="1" applyFill="1" applyBorder="1" applyAlignment="1">
      <alignment horizontal="center" vertical="center" wrapText="1"/>
    </xf>
    <xf numFmtId="44" fontId="2" fillId="6" borderId="113" xfId="1" applyFont="1" applyFill="1" applyBorder="1" applyAlignment="1">
      <alignment horizontal="center" vertical="center" wrapText="1"/>
    </xf>
    <xf numFmtId="44" fontId="2" fillId="6" borderId="12" xfId="1" applyFont="1" applyFill="1" applyBorder="1" applyAlignment="1">
      <alignment horizontal="center" vertical="center" wrapText="1"/>
    </xf>
    <xf numFmtId="44" fontId="34" fillId="0" borderId="21" xfId="1" applyFont="1" applyFill="1" applyBorder="1" applyAlignment="1">
      <alignment horizontal="center" vertical="center"/>
    </xf>
    <xf numFmtId="44" fontId="34" fillId="0" borderId="22" xfId="1" applyFont="1" applyFill="1" applyBorder="1" applyAlignment="1">
      <alignment horizontal="center" vertical="center"/>
    </xf>
    <xf numFmtId="44" fontId="34" fillId="0" borderId="23" xfId="1" applyFont="1" applyFill="1" applyBorder="1" applyAlignment="1">
      <alignment horizontal="center" vertical="center"/>
    </xf>
    <xf numFmtId="44" fontId="34" fillId="0" borderId="27" xfId="1" applyFont="1" applyFill="1" applyBorder="1" applyAlignment="1">
      <alignment horizontal="center" vertical="center"/>
    </xf>
    <xf numFmtId="44" fontId="34" fillId="0" borderId="5" xfId="1" applyFont="1" applyFill="1" applyBorder="1" applyAlignment="1">
      <alignment horizontal="center" vertical="center"/>
    </xf>
    <xf numFmtId="44" fontId="34" fillId="0" borderId="28" xfId="1" applyFont="1" applyFill="1" applyBorder="1" applyAlignment="1">
      <alignment horizontal="center" vertical="center"/>
    </xf>
    <xf numFmtId="0" fontId="49" fillId="0" borderId="107" xfId="0" applyFont="1" applyFill="1" applyBorder="1" applyAlignment="1">
      <alignment horizontal="center" wrapText="1"/>
    </xf>
    <xf numFmtId="0" fontId="49" fillId="0" borderId="19" xfId="0" applyFont="1" applyFill="1" applyBorder="1" applyAlignment="1">
      <alignment horizontal="center" wrapText="1"/>
    </xf>
    <xf numFmtId="0" fontId="49" fillId="0" borderId="108" xfId="0" applyFont="1" applyFill="1" applyBorder="1" applyAlignment="1">
      <alignment horizontal="center" wrapText="1"/>
    </xf>
    <xf numFmtId="0" fontId="49" fillId="0" borderId="109" xfId="0" applyFont="1" applyFill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110" xfId="0" applyFont="1" applyFill="1" applyBorder="1" applyAlignment="1">
      <alignment horizontal="center" wrapText="1"/>
    </xf>
    <xf numFmtId="44" fontId="6" fillId="0" borderId="56" xfId="1" applyFont="1" applyBorder="1" applyAlignment="1">
      <alignment horizontal="center" vertical="center" wrapText="1"/>
    </xf>
    <xf numFmtId="44" fontId="6" fillId="0" borderId="55" xfId="1" applyFont="1" applyBorder="1" applyAlignment="1">
      <alignment horizontal="center" vertical="center" wrapText="1"/>
    </xf>
    <xf numFmtId="44" fontId="6" fillId="0" borderId="0" xfId="1" applyFont="1" applyBorder="1" applyAlignment="1">
      <alignment horizontal="center" vertical="center" wrapText="1"/>
    </xf>
    <xf numFmtId="44" fontId="6" fillId="0" borderId="58" xfId="1" applyFont="1" applyBorder="1" applyAlignment="1">
      <alignment horizontal="center" vertical="center" wrapText="1"/>
    </xf>
    <xf numFmtId="44" fontId="6" fillId="0" borderId="112" xfId="1" applyFont="1" applyBorder="1" applyAlignment="1">
      <alignment horizontal="center" vertical="center" wrapText="1"/>
    </xf>
    <xf numFmtId="44" fontId="6" fillId="0" borderId="43" xfId="1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wrapText="1"/>
    </xf>
    <xf numFmtId="0" fontId="51" fillId="0" borderId="21" xfId="0" applyFont="1" applyFill="1" applyBorder="1" applyAlignment="1">
      <alignment horizontal="center" wrapText="1"/>
    </xf>
    <xf numFmtId="0" fontId="51" fillId="0" borderId="22" xfId="0" applyFont="1" applyFill="1" applyBorder="1" applyAlignment="1">
      <alignment horizontal="center" wrapText="1"/>
    </xf>
    <xf numFmtId="0" fontId="51" fillId="0" borderId="23" xfId="0" applyFont="1" applyFill="1" applyBorder="1" applyAlignment="1">
      <alignment horizontal="center" wrapText="1"/>
    </xf>
    <xf numFmtId="0" fontId="51" fillId="0" borderId="13" xfId="0" applyFont="1" applyFill="1" applyBorder="1" applyAlignment="1">
      <alignment horizontal="center" wrapText="1"/>
    </xf>
    <xf numFmtId="0" fontId="51" fillId="0" borderId="0" xfId="0" applyFont="1" applyFill="1" applyBorder="1" applyAlignment="1">
      <alignment horizontal="center" wrapText="1"/>
    </xf>
    <xf numFmtId="0" fontId="51" fillId="0" borderId="14" xfId="0" applyFont="1" applyFill="1" applyBorder="1" applyAlignment="1">
      <alignment horizontal="center" wrapText="1"/>
    </xf>
    <xf numFmtId="0" fontId="51" fillId="0" borderId="27" xfId="0" applyFont="1" applyFill="1" applyBorder="1" applyAlignment="1">
      <alignment horizontal="center" wrapText="1"/>
    </xf>
    <xf numFmtId="0" fontId="51" fillId="0" borderId="5" xfId="0" applyFont="1" applyFill="1" applyBorder="1" applyAlignment="1">
      <alignment horizontal="center" wrapText="1"/>
    </xf>
    <xf numFmtId="0" fontId="51" fillId="0" borderId="28" xfId="0" applyFont="1" applyFill="1" applyBorder="1" applyAlignment="1">
      <alignment horizontal="center" wrapText="1"/>
    </xf>
    <xf numFmtId="0" fontId="7" fillId="21" borderId="21" xfId="0" applyFont="1" applyFill="1" applyBorder="1" applyAlignment="1">
      <alignment horizontal="center" wrapText="1"/>
    </xf>
    <xf numFmtId="0" fontId="7" fillId="21" borderId="22" xfId="0" applyFont="1" applyFill="1" applyBorder="1" applyAlignment="1">
      <alignment horizontal="center" wrapText="1"/>
    </xf>
    <xf numFmtId="0" fontId="7" fillId="21" borderId="23" xfId="0" applyFont="1" applyFill="1" applyBorder="1" applyAlignment="1">
      <alignment horizontal="center" wrapText="1"/>
    </xf>
    <xf numFmtId="0" fontId="7" fillId="21" borderId="13" xfId="0" applyFont="1" applyFill="1" applyBorder="1" applyAlignment="1">
      <alignment horizontal="center" wrapText="1"/>
    </xf>
    <xf numFmtId="0" fontId="7" fillId="21" borderId="0" xfId="0" applyFont="1" applyFill="1" applyBorder="1" applyAlignment="1">
      <alignment horizontal="center" wrapText="1"/>
    </xf>
    <xf numFmtId="0" fontId="7" fillId="21" borderId="14" xfId="0" applyFont="1" applyFill="1" applyBorder="1" applyAlignment="1">
      <alignment horizontal="center" wrapText="1"/>
    </xf>
    <xf numFmtId="0" fontId="7" fillId="21" borderId="27" xfId="0" applyFont="1" applyFill="1" applyBorder="1" applyAlignment="1">
      <alignment horizontal="center" wrapText="1"/>
    </xf>
    <xf numFmtId="0" fontId="7" fillId="21" borderId="5" xfId="0" applyFont="1" applyFill="1" applyBorder="1" applyAlignment="1">
      <alignment horizontal="center" wrapText="1"/>
    </xf>
    <xf numFmtId="0" fontId="7" fillId="21" borderId="28" xfId="0" applyFont="1" applyFill="1" applyBorder="1" applyAlignment="1">
      <alignment horizontal="center" wrapText="1"/>
    </xf>
    <xf numFmtId="44" fontId="2" fillId="6" borderId="85" xfId="1" applyFont="1" applyFill="1" applyBorder="1"/>
    <xf numFmtId="15" fontId="2" fillId="6" borderId="102" xfId="0" applyNumberFormat="1" applyFont="1" applyFill="1" applyBorder="1"/>
    <xf numFmtId="44" fontId="2" fillId="6" borderId="89" xfId="1" applyFont="1" applyFill="1" applyBorder="1"/>
    <xf numFmtId="0" fontId="42" fillId="15" borderId="54" xfId="0" applyFont="1" applyFill="1" applyBorder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FFFF"/>
      <color rgb="FFFF00FF"/>
      <color rgb="FF0000FF"/>
      <color rgb="FF66FF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1485899</xdr:colOff>
      <xdr:row>31</xdr:row>
      <xdr:rowOff>57149</xdr:rowOff>
    </xdr:from>
    <xdr:to>
      <xdr:col>12</xdr:col>
      <xdr:colOff>171450</xdr:colOff>
      <xdr:row>34</xdr:row>
      <xdr:rowOff>161925</xdr:rowOff>
    </xdr:to>
    <xdr:sp macro="" textlink="">
      <xdr:nvSpPr>
        <xdr:cNvPr id="2" name="Cerrar llave 1"/>
        <xdr:cNvSpPr/>
      </xdr:nvSpPr>
      <xdr:spPr>
        <a:xfrm>
          <a:off x="9839324" y="6524624"/>
          <a:ext cx="190501" cy="704851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771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486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868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43</xdr:row>
      <xdr:rowOff>47625</xdr:rowOff>
    </xdr:from>
    <xdr:to>
      <xdr:col>21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5001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594" t="s">
        <v>0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595" t="s">
        <v>2</v>
      </c>
      <c r="H2" s="595"/>
      <c r="I2" s="595"/>
      <c r="J2" s="596">
        <v>2000</v>
      </c>
      <c r="K2" s="596"/>
      <c r="L2" s="9"/>
      <c r="M2" s="3"/>
    </row>
    <row r="3" spans="1:21" ht="16.5" customHeight="1" thickBot="1" x14ac:dyDescent="0.3">
      <c r="A3" s="581" t="s">
        <v>3</v>
      </c>
      <c r="B3" s="10" t="s">
        <v>4</v>
      </c>
      <c r="C3" s="11"/>
      <c r="E3" s="5"/>
      <c r="I3" s="5"/>
      <c r="L3" s="9"/>
      <c r="M3" s="3"/>
      <c r="Q3" s="583" t="s">
        <v>5</v>
      </c>
      <c r="R3" s="585" t="s">
        <v>6</v>
      </c>
      <c r="S3" s="597" t="s">
        <v>7</v>
      </c>
      <c r="T3" s="598"/>
      <c r="U3" s="12"/>
    </row>
    <row r="4" spans="1:21" ht="20.25" thickTop="1" thickBot="1" x14ac:dyDescent="0.35">
      <c r="A4" s="582"/>
      <c r="B4" s="13">
        <v>129301.16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  <c r="Q4" s="584"/>
      <c r="R4" s="586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591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591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592" t="s">
        <v>71</v>
      </c>
      <c r="S25" s="593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107"/>
      <c r="J40" s="589">
        <f>H38+K38</f>
        <v>66589.87000000001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608"/>
      <c r="I43" s="608"/>
      <c r="J43" s="608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610" t="s">
        <v>91</v>
      </c>
      <c r="I44" s="610"/>
      <c r="J44" s="611">
        <f>E46</f>
        <v>129048.47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613" t="s">
        <v>3</v>
      </c>
      <c r="I45" s="613"/>
      <c r="J45" s="598">
        <v>-129301.16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270</v>
      </c>
      <c r="I47" s="605"/>
      <c r="J47" s="606">
        <f>SUM(J44:K46)</f>
        <v>-252.69000000000233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14" t="s">
        <v>95</v>
      </c>
      <c r="D1" s="615"/>
      <c r="E1" s="616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22" workbookViewId="0">
      <selection activeCell="L44" sqref="L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625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9"/>
      <c r="M3" s="3"/>
    </row>
    <row r="4" spans="1:14" ht="20.25" thickTop="1" thickBot="1" x14ac:dyDescent="0.35">
      <c r="A4" s="582"/>
      <c r="B4" s="13">
        <v>118316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89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617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618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396"/>
      <c r="J40" s="589">
        <f>H38+K38</f>
        <v>67933.179999999993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1492059.32</v>
      </c>
      <c r="H41" s="110"/>
      <c r="I41" s="110"/>
      <c r="L41" s="108"/>
      <c r="M41" s="108"/>
    </row>
    <row r="42" spans="1:13" ht="15.75" x14ac:dyDescent="0.25">
      <c r="A42" s="1"/>
      <c r="B42" s="5"/>
      <c r="C42" s="105"/>
      <c r="D42" s="106"/>
      <c r="E42" s="109"/>
      <c r="H42" s="610" t="s">
        <v>91</v>
      </c>
      <c r="I42" s="610"/>
      <c r="J42" s="611">
        <f>E46</f>
        <v>63094.090000000084</v>
      </c>
      <c r="K42" s="612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-1488574.23</v>
      </c>
      <c r="H43" s="613" t="s">
        <v>3</v>
      </c>
      <c r="I43" s="613"/>
      <c r="J43" s="598">
        <v>-118316</v>
      </c>
      <c r="K43" s="598"/>
      <c r="L43" s="108"/>
      <c r="M43" s="108"/>
    </row>
    <row r="44" spans="1:13" ht="20.25" thickTop="1" thickBot="1" x14ac:dyDescent="0.35">
      <c r="A44" s="1"/>
      <c r="B44" s="5"/>
      <c r="D44" s="12" t="s">
        <v>90</v>
      </c>
      <c r="E44" s="4">
        <f>SUM(E41:E43)</f>
        <v>3485.0900000000838</v>
      </c>
      <c r="H44" s="604" t="s">
        <v>270</v>
      </c>
      <c r="I44" s="605"/>
      <c r="J44" s="621">
        <f t="shared" ref="J44" si="1">SUM(J42:K43)</f>
        <v>-55221.909999999916</v>
      </c>
      <c r="K44" s="622"/>
      <c r="L44" s="108"/>
      <c r="M44" s="108"/>
    </row>
    <row r="45" spans="1:13" ht="17.25" thickTop="1" thickBot="1" x14ac:dyDescent="0.3">
      <c r="A45" s="1"/>
      <c r="B45" s="5"/>
      <c r="C45" s="113" t="s">
        <v>92</v>
      </c>
      <c r="D45" s="114"/>
      <c r="E45" s="115">
        <v>59609</v>
      </c>
      <c r="L45" s="108"/>
      <c r="M45" s="108"/>
    </row>
    <row r="46" spans="1:13" ht="18.75" x14ac:dyDescent="0.25">
      <c r="A46" s="1"/>
      <c r="B46" s="5"/>
      <c r="D46" s="6" t="s">
        <v>93</v>
      </c>
      <c r="E46" s="99">
        <f>E45+E44</f>
        <v>63094.090000000084</v>
      </c>
      <c r="I46" s="116"/>
      <c r="J46" s="603"/>
      <c r="K46" s="603"/>
      <c r="L46" s="108"/>
      <c r="M46" s="108"/>
    </row>
    <row r="47" spans="1:13" ht="18.75" x14ac:dyDescent="0.25">
      <c r="A47" s="1"/>
      <c r="B47" s="5"/>
      <c r="E47" s="109"/>
      <c r="J47" s="619"/>
      <c r="K47" s="620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D3:F3"/>
    <mergeCell ref="G3:H3"/>
    <mergeCell ref="A3:A4"/>
    <mergeCell ref="D4:E4"/>
    <mergeCell ref="H4:K4"/>
    <mergeCell ref="C48:D48"/>
    <mergeCell ref="J17:J18"/>
    <mergeCell ref="G40:H40"/>
    <mergeCell ref="J40:K40"/>
    <mergeCell ref="C41:D41"/>
    <mergeCell ref="H42:I42"/>
    <mergeCell ref="J42:K42"/>
    <mergeCell ref="H43:I43"/>
    <mergeCell ref="J43:K43"/>
    <mergeCell ref="J46:K46"/>
    <mergeCell ref="H44:I44"/>
    <mergeCell ref="J47:K47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14" t="s">
        <v>95</v>
      </c>
      <c r="D1" s="615"/>
      <c r="E1" s="616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 t="s">
        <v>88</v>
      </c>
      <c r="D43" s="137">
        <v>42931</v>
      </c>
      <c r="E43" s="347">
        <v>44907</v>
      </c>
      <c r="F43" s="166" t="e">
        <f t="shared" si="0"/>
        <v>#VALUE!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1443667.2299999997</v>
      </c>
      <c r="D49" s="335"/>
      <c r="E49" s="275">
        <f>SUM(E3:E48)</f>
        <v>1488574.2299999997</v>
      </c>
      <c r="F49" s="337" t="e">
        <f>SUM(F3:F48)</f>
        <v>#VALUE!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25" workbookViewId="0">
      <selection activeCell="D30" sqref="D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721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9"/>
      <c r="M3" s="3"/>
    </row>
    <row r="4" spans="1:14" ht="20.25" thickTop="1" thickBot="1" x14ac:dyDescent="0.35">
      <c r="A4" s="582"/>
      <c r="B4" s="13">
        <v>59609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549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19730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 t="s">
        <v>853</v>
      </c>
      <c r="J12" s="106" t="s">
        <v>793</v>
      </c>
      <c r="K12" s="191">
        <v>6129.81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1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8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591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591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>
        <v>22352</v>
      </c>
      <c r="C30" s="57" t="s">
        <v>831</v>
      </c>
      <c r="D30" s="435">
        <v>42942</v>
      </c>
      <c r="E30" s="436">
        <v>22352</v>
      </c>
      <c r="F30" s="23"/>
      <c r="G30" s="24">
        <v>42942</v>
      </c>
      <c r="H30" s="440">
        <v>0</v>
      </c>
      <c r="I30" s="38"/>
      <c r="J30" s="461" t="s">
        <v>82</v>
      </c>
      <c r="K30" s="109">
        <v>0</v>
      </c>
      <c r="L30" s="446" t="s">
        <v>830</v>
      </c>
      <c r="M30" s="29">
        <v>0</v>
      </c>
    </row>
    <row r="31" spans="1:14" ht="15.75" thickBot="1" x14ac:dyDescent="0.3">
      <c r="A31" s="414">
        <v>42943</v>
      </c>
      <c r="B31" s="415">
        <v>48080.5</v>
      </c>
      <c r="C31" s="57" t="s">
        <v>833</v>
      </c>
      <c r="D31" s="435">
        <v>42943</v>
      </c>
      <c r="E31" s="436">
        <v>48080.5</v>
      </c>
      <c r="F31" s="23"/>
      <c r="G31" s="24">
        <v>42943</v>
      </c>
      <c r="H31" s="440">
        <v>0</v>
      </c>
      <c r="I31" s="38"/>
      <c r="J31" s="68"/>
      <c r="K31" s="109">
        <v>0</v>
      </c>
      <c r="L31" s="446" t="s">
        <v>832</v>
      </c>
      <c r="M31" s="29">
        <v>0</v>
      </c>
    </row>
    <row r="32" spans="1:14" ht="15.75" thickBot="1" x14ac:dyDescent="0.3">
      <c r="A32" s="414">
        <v>42944</v>
      </c>
      <c r="B32" s="415">
        <v>56400</v>
      </c>
      <c r="C32" s="48" t="s">
        <v>835</v>
      </c>
      <c r="D32" s="435">
        <v>42944</v>
      </c>
      <c r="E32" s="436">
        <v>53290</v>
      </c>
      <c r="F32" s="23"/>
      <c r="G32" s="24">
        <v>42944</v>
      </c>
      <c r="H32" s="440">
        <v>63</v>
      </c>
      <c r="I32" s="38"/>
      <c r="J32" s="461"/>
      <c r="K32" s="452"/>
      <c r="L32" s="443" t="s">
        <v>834</v>
      </c>
      <c r="M32" s="29">
        <v>0</v>
      </c>
    </row>
    <row r="33" spans="1:13" ht="15.75" thickBot="1" x14ac:dyDescent="0.3">
      <c r="A33" s="414">
        <v>42945</v>
      </c>
      <c r="B33" s="415">
        <v>53452</v>
      </c>
      <c r="C33" s="48" t="s">
        <v>837</v>
      </c>
      <c r="D33" s="435">
        <v>42945</v>
      </c>
      <c r="E33" s="436">
        <v>53452</v>
      </c>
      <c r="F33" s="23"/>
      <c r="G33" s="24">
        <v>42945</v>
      </c>
      <c r="H33" s="440">
        <v>0</v>
      </c>
      <c r="I33" s="38"/>
      <c r="J33" s="190"/>
      <c r="K33" s="191"/>
      <c r="L33" s="443" t="s">
        <v>836</v>
      </c>
      <c r="M33" s="29">
        <v>0</v>
      </c>
    </row>
    <row r="34" spans="1:13" ht="15.75" thickBot="1" x14ac:dyDescent="0.3">
      <c r="A34" s="414">
        <v>42946</v>
      </c>
      <c r="B34" s="415">
        <v>47455.5</v>
      </c>
      <c r="C34" s="57" t="s">
        <v>839</v>
      </c>
      <c r="D34" s="435">
        <v>42946</v>
      </c>
      <c r="E34" s="436">
        <v>47475.5</v>
      </c>
      <c r="F34" s="23"/>
      <c r="G34" s="24">
        <v>42946</v>
      </c>
      <c r="H34" s="440">
        <v>20</v>
      </c>
      <c r="I34" s="38"/>
      <c r="J34" s="190"/>
      <c r="K34" s="191"/>
      <c r="L34" s="447" t="s">
        <v>838</v>
      </c>
      <c r="M34" s="29">
        <v>0</v>
      </c>
    </row>
    <row r="35" spans="1:13" ht="15.75" thickBot="1" x14ac:dyDescent="0.3">
      <c r="A35" s="414">
        <v>42947</v>
      </c>
      <c r="B35" s="418">
        <v>33972</v>
      </c>
      <c r="C35" s="20" t="s">
        <v>841</v>
      </c>
      <c r="D35" s="435">
        <v>42947</v>
      </c>
      <c r="E35" s="436">
        <v>35757</v>
      </c>
      <c r="F35" s="23"/>
      <c r="G35" s="24">
        <v>42947</v>
      </c>
      <c r="H35" s="440">
        <v>0</v>
      </c>
      <c r="I35" s="38"/>
      <c r="J35" s="461"/>
      <c r="K35" s="452"/>
      <c r="L35" s="448" t="s">
        <v>840</v>
      </c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1353325.5</v>
      </c>
      <c r="D38" s="100" t="s">
        <v>85</v>
      </c>
      <c r="E38" s="101">
        <f>SUM(E5:E37)</f>
        <v>1453691</v>
      </c>
      <c r="G38" s="472" t="s">
        <v>85</v>
      </c>
      <c r="H38" s="4">
        <f>SUM(H5:H37)</f>
        <v>289</v>
      </c>
      <c r="I38" s="4"/>
      <c r="J38" s="102" t="s">
        <v>85</v>
      </c>
      <c r="K38" s="103">
        <f t="shared" ref="K38" si="0">SUM(K5:K37)</f>
        <v>88363.98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471"/>
      <c r="J40" s="589">
        <f>H38+K38</f>
        <v>88652.98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1365038.02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-1406211.57</v>
      </c>
      <c r="H43" s="608"/>
      <c r="I43" s="608"/>
      <c r="J43" s="608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-41173.550000000047</v>
      </c>
      <c r="H44" s="610" t="s">
        <v>91</v>
      </c>
      <c r="I44" s="610"/>
      <c r="J44" s="611">
        <f>E46</f>
        <v>84513.549999999959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125687.1</v>
      </c>
      <c r="H45" s="613" t="s">
        <v>3</v>
      </c>
      <c r="I45" s="613"/>
      <c r="J45" s="598">
        <v>-59609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84513.549999999959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94</v>
      </c>
      <c r="I47" s="605"/>
      <c r="J47" s="606">
        <f>SUM(J44:K46)</f>
        <v>24904.549999999959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11811023622047245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opLeftCell="D25" workbookViewId="0">
      <selection activeCell="K53" sqref="K5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614" t="s">
        <v>95</v>
      </c>
      <c r="D1" s="615"/>
      <c r="E1" s="616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4">
        <v>42919</v>
      </c>
      <c r="B7" s="475" t="s">
        <v>759</v>
      </c>
      <c r="C7" s="476">
        <v>266</v>
      </c>
      <c r="D7" s="477">
        <v>42919</v>
      </c>
      <c r="E7" s="476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79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79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4">
        <v>0</v>
      </c>
      <c r="S12" s="262"/>
      <c r="T12" s="181">
        <v>0</v>
      </c>
      <c r="U12" s="140"/>
      <c r="V12" s="485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0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0"/>
      <c r="W14" s="38"/>
      <c r="X14" s="128"/>
    </row>
    <row r="15" spans="1:24" ht="15.75" x14ac:dyDescent="0.25">
      <c r="A15" s="474">
        <v>42926</v>
      </c>
      <c r="B15" s="475" t="s">
        <v>769</v>
      </c>
      <c r="C15" s="476">
        <v>329.5</v>
      </c>
      <c r="D15" s="477">
        <v>42926</v>
      </c>
      <c r="E15" s="476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0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0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0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0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0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0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2"/>
      <c r="U21" s="483"/>
      <c r="V21" s="483"/>
      <c r="W21" s="482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463" t="s">
        <v>875</v>
      </c>
      <c r="E31" s="138">
        <f>23211.74+27428.76</f>
        <v>50640.5</v>
      </c>
      <c r="F31" s="289">
        <f t="shared" si="0"/>
        <v>0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37">
        <v>42961</v>
      </c>
      <c r="E32" s="138">
        <v>12166.4</v>
      </c>
      <c r="F32" s="289">
        <f t="shared" si="0"/>
        <v>0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37">
        <v>42961</v>
      </c>
      <c r="E33" s="138">
        <v>74354.06</v>
      </c>
      <c r="F33" s="289">
        <f t="shared" si="0"/>
        <v>0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842</v>
      </c>
      <c r="C34" s="133">
        <v>8046.72</v>
      </c>
      <c r="D34" s="137">
        <v>42961</v>
      </c>
      <c r="E34" s="138">
        <v>8046.72</v>
      </c>
      <c r="F34" s="289">
        <f t="shared" si="0"/>
        <v>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42943</v>
      </c>
      <c r="B35" s="367" t="s">
        <v>808</v>
      </c>
      <c r="C35" s="133">
        <v>2340</v>
      </c>
      <c r="D35" s="137">
        <v>42961</v>
      </c>
      <c r="E35" s="138">
        <v>2340</v>
      </c>
      <c r="F35" s="289">
        <f t="shared" si="0"/>
        <v>0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42945</v>
      </c>
      <c r="B36" s="367" t="s">
        <v>824</v>
      </c>
      <c r="C36" s="133">
        <v>78046.62</v>
      </c>
      <c r="D36" s="137">
        <v>42961</v>
      </c>
      <c r="E36" s="138">
        <v>78046.62</v>
      </c>
      <c r="F36" s="289">
        <f t="shared" si="0"/>
        <v>0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>
        <v>42945</v>
      </c>
      <c r="B37" s="367" t="s">
        <v>828</v>
      </c>
      <c r="C37" s="133">
        <v>37481.32</v>
      </c>
      <c r="D37" s="137">
        <v>42961</v>
      </c>
      <c r="E37" s="138">
        <v>37481.32</v>
      </c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>
        <v>42947</v>
      </c>
      <c r="B38" s="367" t="s">
        <v>825</v>
      </c>
      <c r="C38" s="133">
        <v>36544.639999999999</v>
      </c>
      <c r="D38" s="137">
        <v>42961</v>
      </c>
      <c r="E38" s="138">
        <v>36544.639999999999</v>
      </c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79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1406211.5699999998</v>
      </c>
      <c r="D56" s="335"/>
      <c r="E56" s="275">
        <f>SUM(E3:E55)</f>
        <v>1406211.5699999998</v>
      </c>
      <c r="F56" s="337">
        <f>SUM(F3:F55)</f>
        <v>0</v>
      </c>
    </row>
  </sheetData>
  <sortState ref="A33:C38">
    <sortCondition ref="B33:B38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68"/>
  <sheetViews>
    <sheetView topLeftCell="A4" workbookViewId="0">
      <selection activeCell="K8" sqref="K8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5" max="15" width="13" style="12" customWidth="1"/>
    <col min="16" max="16" width="14.140625" bestFit="1" customWidth="1"/>
    <col min="17" max="17" width="11.42578125" style="6"/>
    <col min="18" max="18" width="11.42578125" style="12"/>
    <col min="19" max="19" width="14.140625" bestFit="1" customWidth="1"/>
    <col min="20" max="20" width="8.140625" customWidth="1"/>
    <col min="22" max="22" width="11.42578125" style="5" customWidth="1"/>
    <col min="23" max="23" width="8.7109375" customWidth="1"/>
    <col min="24" max="24" width="12.28515625" style="12" customWidth="1"/>
    <col min="25" max="25" width="11.42578125" style="12"/>
    <col min="26" max="26" width="22.5703125" customWidth="1"/>
    <col min="27" max="27" width="14.140625" bestFit="1" customWidth="1"/>
    <col min="28" max="28" width="11.42578125" style="4"/>
  </cols>
  <sheetData>
    <row r="1" spans="1:28" ht="23.25" x14ac:dyDescent="0.35">
      <c r="A1" s="1"/>
      <c r="B1" s="594" t="s">
        <v>826</v>
      </c>
      <c r="C1" s="594"/>
      <c r="D1" s="594"/>
      <c r="E1" s="594"/>
      <c r="F1" s="594"/>
      <c r="G1" s="594"/>
      <c r="H1" s="594"/>
      <c r="I1" s="594"/>
      <c r="J1" s="594"/>
      <c r="L1" s="2" t="s">
        <v>907</v>
      </c>
      <c r="M1" s="3"/>
      <c r="O1" s="1"/>
      <c r="P1" s="594" t="s">
        <v>826</v>
      </c>
      <c r="Q1" s="594"/>
      <c r="R1" s="594"/>
      <c r="S1" s="594"/>
      <c r="T1" s="594"/>
      <c r="U1" s="594"/>
      <c r="V1" s="594"/>
      <c r="W1" s="594"/>
      <c r="X1" s="594"/>
      <c r="Z1" s="2" t="s">
        <v>1</v>
      </c>
      <c r="AA1" s="3"/>
    </row>
    <row r="2" spans="1:28" ht="15.75" thickBot="1" x14ac:dyDescent="0.3">
      <c r="A2" s="1"/>
      <c r="B2" s="5" t="s">
        <v>827</v>
      </c>
      <c r="D2" s="494"/>
      <c r="E2" s="8"/>
      <c r="L2" s="9"/>
      <c r="M2" s="3"/>
      <c r="O2" s="1"/>
      <c r="P2" s="5" t="s">
        <v>827</v>
      </c>
      <c r="R2" s="486"/>
      <c r="S2" s="8"/>
      <c r="Z2" s="9"/>
      <c r="AA2" s="3"/>
    </row>
    <row r="3" spans="1:28" ht="19.5" customHeight="1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9"/>
      <c r="M3" s="3"/>
      <c r="O3" s="581" t="s">
        <v>3</v>
      </c>
      <c r="P3" s="10" t="s">
        <v>4</v>
      </c>
      <c r="Q3" s="11"/>
      <c r="R3" s="595" t="s">
        <v>2</v>
      </c>
      <c r="S3" s="595"/>
      <c r="T3" s="595"/>
      <c r="U3" s="596">
        <v>2000</v>
      </c>
      <c r="V3" s="596"/>
      <c r="W3" s="5"/>
      <c r="Z3" s="9"/>
      <c r="AA3" s="3"/>
    </row>
    <row r="4" spans="1:28" ht="20.25" thickTop="1" thickBot="1" x14ac:dyDescent="0.35">
      <c r="A4" s="582"/>
      <c r="B4" s="13">
        <v>125687.1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498" t="s">
        <v>10</v>
      </c>
      <c r="M4" s="504" t="s">
        <v>11</v>
      </c>
      <c r="O4" s="582"/>
      <c r="P4" s="13">
        <v>125687.1</v>
      </c>
      <c r="Q4" s="14"/>
      <c r="R4" s="599" t="s">
        <v>8</v>
      </c>
      <c r="S4" s="600"/>
      <c r="V4" s="601" t="s">
        <v>9</v>
      </c>
      <c r="W4" s="602"/>
      <c r="X4" s="602"/>
      <c r="Y4" s="602"/>
      <c r="Z4" s="15" t="s">
        <v>10</v>
      </c>
      <c r="AA4" s="16" t="s">
        <v>11</v>
      </c>
    </row>
    <row r="5" spans="1:28" ht="16.5" thickTop="1" thickBot="1" x14ac:dyDescent="0.3">
      <c r="A5" s="412">
        <v>42948</v>
      </c>
      <c r="B5" s="413">
        <v>22083</v>
      </c>
      <c r="C5" s="20" t="s">
        <v>854</v>
      </c>
      <c r="D5" s="433">
        <v>42948</v>
      </c>
      <c r="E5" s="434">
        <v>20298</v>
      </c>
      <c r="F5" s="23"/>
      <c r="G5" s="24">
        <v>42948</v>
      </c>
      <c r="H5" s="439">
        <v>0</v>
      </c>
      <c r="I5" s="26"/>
      <c r="J5" s="451"/>
      <c r="K5" s="451"/>
      <c r="L5" s="499" t="s">
        <v>855</v>
      </c>
      <c r="M5" s="505">
        <v>0</v>
      </c>
      <c r="O5" s="412">
        <v>42948</v>
      </c>
      <c r="P5" s="413">
        <v>22083</v>
      </c>
      <c r="Q5" s="20" t="s">
        <v>854</v>
      </c>
      <c r="R5" s="433">
        <v>42948</v>
      </c>
      <c r="S5" s="434">
        <v>20298</v>
      </c>
      <c r="T5" s="23"/>
      <c r="U5" s="24">
        <v>42948</v>
      </c>
      <c r="V5" s="439">
        <v>0</v>
      </c>
      <c r="W5" s="26"/>
      <c r="X5" s="451"/>
      <c r="Y5" s="451"/>
      <c r="Z5" s="491" t="s">
        <v>855</v>
      </c>
      <c r="AA5" s="29"/>
      <c r="AB5" s="30"/>
    </row>
    <row r="6" spans="1:28" ht="15.75" thickBot="1" x14ac:dyDescent="0.3">
      <c r="A6" s="414">
        <v>42949</v>
      </c>
      <c r="B6" s="415">
        <v>23861.5</v>
      </c>
      <c r="C6" s="20" t="s">
        <v>856</v>
      </c>
      <c r="D6" s="435">
        <v>42949</v>
      </c>
      <c r="E6" s="436">
        <v>24731.5</v>
      </c>
      <c r="F6" s="36"/>
      <c r="G6" s="24">
        <v>42949</v>
      </c>
      <c r="H6" s="440">
        <v>0</v>
      </c>
      <c r="I6" s="38"/>
      <c r="J6" s="106" t="s">
        <v>15</v>
      </c>
      <c r="K6" s="452">
        <v>549</v>
      </c>
      <c r="L6" s="500" t="s">
        <v>857</v>
      </c>
      <c r="M6" s="506">
        <v>0</v>
      </c>
      <c r="O6" s="414">
        <v>42949</v>
      </c>
      <c r="P6" s="415">
        <v>23861.5</v>
      </c>
      <c r="Q6" s="20" t="s">
        <v>856</v>
      </c>
      <c r="R6" s="435">
        <v>42949</v>
      </c>
      <c r="S6" s="436">
        <v>24731.5</v>
      </c>
      <c r="T6" s="36"/>
      <c r="U6" s="24">
        <v>42949</v>
      </c>
      <c r="V6" s="440">
        <v>0</v>
      </c>
      <c r="W6" s="38"/>
      <c r="X6" s="106" t="s">
        <v>15</v>
      </c>
      <c r="Y6" s="452">
        <v>549</v>
      </c>
      <c r="Z6" s="445" t="s">
        <v>857</v>
      </c>
      <c r="AA6" s="29"/>
      <c r="AB6" s="30"/>
    </row>
    <row r="7" spans="1:28" ht="15.75" thickBot="1" x14ac:dyDescent="0.3">
      <c r="A7" s="414">
        <v>42950</v>
      </c>
      <c r="B7" s="415">
        <v>23871</v>
      </c>
      <c r="C7" s="20" t="s">
        <v>858</v>
      </c>
      <c r="D7" s="435">
        <v>42950</v>
      </c>
      <c r="E7" s="436">
        <v>35136.5</v>
      </c>
      <c r="F7" s="23"/>
      <c r="G7" s="24">
        <v>42950</v>
      </c>
      <c r="H7" s="440">
        <v>0</v>
      </c>
      <c r="I7" s="38"/>
      <c r="J7" s="459" t="s">
        <v>18</v>
      </c>
      <c r="K7" s="453">
        <v>8502.5</v>
      </c>
      <c r="L7" s="500" t="s">
        <v>861</v>
      </c>
      <c r="M7" s="506">
        <v>0</v>
      </c>
      <c r="O7" s="414">
        <v>42950</v>
      </c>
      <c r="P7" s="415">
        <v>23871</v>
      </c>
      <c r="Q7" s="20" t="s">
        <v>858</v>
      </c>
      <c r="R7" s="435">
        <v>42950</v>
      </c>
      <c r="S7" s="436">
        <v>35136.5</v>
      </c>
      <c r="T7" s="23"/>
      <c r="U7" s="24">
        <v>42950</v>
      </c>
      <c r="V7" s="440">
        <v>0</v>
      </c>
      <c r="W7" s="38"/>
      <c r="X7" s="459" t="s">
        <v>18</v>
      </c>
      <c r="Y7" s="453">
        <v>0</v>
      </c>
      <c r="Z7" s="445" t="s">
        <v>861</v>
      </c>
      <c r="AA7" s="29"/>
      <c r="AB7" s="45"/>
    </row>
    <row r="8" spans="1:28" ht="15.75" thickBot="1" x14ac:dyDescent="0.3">
      <c r="A8" s="414">
        <v>42951</v>
      </c>
      <c r="B8" s="415">
        <v>64783.5</v>
      </c>
      <c r="C8" s="48" t="s">
        <v>859</v>
      </c>
      <c r="D8" s="435">
        <v>42951</v>
      </c>
      <c r="E8" s="436">
        <v>64816.5</v>
      </c>
      <c r="F8" s="23"/>
      <c r="G8" s="24">
        <v>42951</v>
      </c>
      <c r="H8" s="440">
        <v>33</v>
      </c>
      <c r="I8" s="38"/>
      <c r="J8" s="106" t="s">
        <v>22</v>
      </c>
      <c r="K8" s="489">
        <f>7187.5+7187.5+7187.5+7187.5</f>
        <v>28750</v>
      </c>
      <c r="L8" s="500" t="s">
        <v>860</v>
      </c>
      <c r="M8" s="506">
        <v>0</v>
      </c>
      <c r="O8" s="414">
        <v>42951</v>
      </c>
      <c r="P8" s="415">
        <v>64783.5</v>
      </c>
      <c r="Q8" s="48" t="s">
        <v>859</v>
      </c>
      <c r="R8" s="435">
        <v>42951</v>
      </c>
      <c r="S8" s="436">
        <v>64816.5</v>
      </c>
      <c r="T8" s="23"/>
      <c r="U8" s="24">
        <v>42951</v>
      </c>
      <c r="V8" s="440">
        <v>33</v>
      </c>
      <c r="W8" s="38"/>
      <c r="X8" s="106" t="s">
        <v>22</v>
      </c>
      <c r="Y8" s="489">
        <f>7187.5+7187.5+7187.5+7187.5</f>
        <v>28750</v>
      </c>
      <c r="Z8" s="445" t="s">
        <v>860</v>
      </c>
      <c r="AA8" s="29"/>
      <c r="AB8" s="45"/>
    </row>
    <row r="9" spans="1:28" ht="15.75" thickBot="1" x14ac:dyDescent="0.3">
      <c r="A9" s="414">
        <v>42952</v>
      </c>
      <c r="B9" s="415">
        <v>55854.5</v>
      </c>
      <c r="C9" s="50" t="s">
        <v>862</v>
      </c>
      <c r="D9" s="435">
        <v>42952</v>
      </c>
      <c r="E9" s="436">
        <v>59868</v>
      </c>
      <c r="F9" s="23"/>
      <c r="G9" s="24">
        <v>42952</v>
      </c>
      <c r="H9" s="440">
        <v>0</v>
      </c>
      <c r="I9" s="509" t="s">
        <v>868</v>
      </c>
      <c r="J9" s="106" t="s">
        <v>864</v>
      </c>
      <c r="K9" s="191">
        <v>5663.15</v>
      </c>
      <c r="L9" s="500" t="s">
        <v>863</v>
      </c>
      <c r="M9" s="506">
        <v>0</v>
      </c>
      <c r="O9" s="414">
        <v>42952</v>
      </c>
      <c r="P9" s="415">
        <v>55854.5</v>
      </c>
      <c r="Q9" s="50" t="s">
        <v>862</v>
      </c>
      <c r="R9" s="435">
        <v>42952</v>
      </c>
      <c r="S9" s="436">
        <v>59868</v>
      </c>
      <c r="T9" s="23"/>
      <c r="U9" s="24">
        <v>42952</v>
      </c>
      <c r="V9" s="440">
        <v>0</v>
      </c>
      <c r="W9" s="38" t="s">
        <v>868</v>
      </c>
      <c r="X9" s="106" t="s">
        <v>864</v>
      </c>
      <c r="Y9" s="191">
        <v>5663.15</v>
      </c>
      <c r="Z9" s="445" t="s">
        <v>863</v>
      </c>
      <c r="AA9" s="29"/>
      <c r="AB9" s="30"/>
    </row>
    <row r="10" spans="1:28" ht="15.75" thickBot="1" x14ac:dyDescent="0.3">
      <c r="A10" s="414">
        <v>42953</v>
      </c>
      <c r="B10" s="415">
        <v>43500</v>
      </c>
      <c r="C10" s="48" t="s">
        <v>869</v>
      </c>
      <c r="D10" s="435">
        <v>42953</v>
      </c>
      <c r="E10" s="436">
        <v>43660</v>
      </c>
      <c r="F10" s="23"/>
      <c r="G10" s="24">
        <v>42953</v>
      </c>
      <c r="H10" s="440">
        <v>160</v>
      </c>
      <c r="I10" s="51" t="s">
        <v>903</v>
      </c>
      <c r="J10" s="106" t="s">
        <v>865</v>
      </c>
      <c r="K10" s="191">
        <v>13692.47</v>
      </c>
      <c r="L10" s="500" t="s">
        <v>870</v>
      </c>
      <c r="M10" s="506">
        <v>0</v>
      </c>
      <c r="O10" s="414">
        <v>42953</v>
      </c>
      <c r="P10" s="415">
        <v>43500</v>
      </c>
      <c r="Q10" s="48" t="s">
        <v>869</v>
      </c>
      <c r="R10" s="435">
        <v>42953</v>
      </c>
      <c r="S10" s="436">
        <v>43660</v>
      </c>
      <c r="T10" s="23"/>
      <c r="U10" s="24">
        <v>42953</v>
      </c>
      <c r="V10" s="440">
        <v>160</v>
      </c>
      <c r="W10" s="51" t="s">
        <v>903</v>
      </c>
      <c r="X10" s="106" t="s">
        <v>865</v>
      </c>
      <c r="Y10" s="191">
        <v>13692.47</v>
      </c>
      <c r="Z10" s="445" t="s">
        <v>870</v>
      </c>
      <c r="AA10" s="29"/>
      <c r="AB10" s="45"/>
    </row>
    <row r="11" spans="1:28" ht="15.75" thickBot="1" x14ac:dyDescent="0.3">
      <c r="A11" s="414">
        <v>42954</v>
      </c>
      <c r="B11" s="415">
        <v>38635.5</v>
      </c>
      <c r="C11" s="48" t="s">
        <v>871</v>
      </c>
      <c r="D11" s="435">
        <v>42954</v>
      </c>
      <c r="E11" s="436">
        <v>42561.5</v>
      </c>
      <c r="F11" s="23"/>
      <c r="G11" s="24">
        <v>42954</v>
      </c>
      <c r="H11" s="440">
        <v>0</v>
      </c>
      <c r="I11" s="51" t="s">
        <v>904</v>
      </c>
      <c r="J11" s="106" t="s">
        <v>866</v>
      </c>
      <c r="K11" s="191">
        <v>13463.9</v>
      </c>
      <c r="L11" s="500" t="s">
        <v>872</v>
      </c>
      <c r="M11" s="506">
        <v>0</v>
      </c>
      <c r="O11" s="414">
        <v>42954</v>
      </c>
      <c r="P11" s="415">
        <v>38635.5</v>
      </c>
      <c r="Q11" s="48" t="s">
        <v>871</v>
      </c>
      <c r="R11" s="435">
        <v>42954</v>
      </c>
      <c r="S11" s="436">
        <v>42561.5</v>
      </c>
      <c r="T11" s="23"/>
      <c r="U11" s="24">
        <v>42954</v>
      </c>
      <c r="V11" s="440">
        <v>0</v>
      </c>
      <c r="W11" s="51" t="s">
        <v>904</v>
      </c>
      <c r="X11" s="106" t="s">
        <v>866</v>
      </c>
      <c r="Y11" s="191">
        <v>13463.9</v>
      </c>
      <c r="Z11" s="445" t="s">
        <v>872</v>
      </c>
      <c r="AA11" s="29"/>
      <c r="AB11" s="30"/>
    </row>
    <row r="12" spans="1:28" ht="15.75" thickBot="1" x14ac:dyDescent="0.3">
      <c r="A12" s="414">
        <v>42955</v>
      </c>
      <c r="B12" s="415">
        <v>16228</v>
      </c>
      <c r="C12" s="48" t="s">
        <v>873</v>
      </c>
      <c r="D12" s="435">
        <v>42955</v>
      </c>
      <c r="E12" s="436">
        <v>16242</v>
      </c>
      <c r="F12" s="23"/>
      <c r="G12" s="24">
        <v>42955</v>
      </c>
      <c r="H12" s="440">
        <v>14</v>
      </c>
      <c r="I12" s="51" t="s">
        <v>938</v>
      </c>
      <c r="J12" s="106" t="s">
        <v>867</v>
      </c>
      <c r="K12" s="191">
        <v>13692.47</v>
      </c>
      <c r="L12" s="500" t="s">
        <v>874</v>
      </c>
      <c r="M12" s="506">
        <v>0</v>
      </c>
      <c r="O12" s="414">
        <v>42955</v>
      </c>
      <c r="P12" s="415">
        <v>16228</v>
      </c>
      <c r="Q12" s="48" t="s">
        <v>873</v>
      </c>
      <c r="R12" s="435">
        <v>42955</v>
      </c>
      <c r="S12" s="436">
        <v>16242</v>
      </c>
      <c r="T12" s="23"/>
      <c r="U12" s="24">
        <v>42955</v>
      </c>
      <c r="V12" s="440">
        <v>14</v>
      </c>
      <c r="W12" s="38"/>
      <c r="X12" s="106" t="s">
        <v>867</v>
      </c>
      <c r="Y12" s="191">
        <v>0</v>
      </c>
      <c r="Z12" s="445" t="s">
        <v>874</v>
      </c>
      <c r="AA12" s="29"/>
      <c r="AB12" s="30"/>
    </row>
    <row r="13" spans="1:28" ht="15.75" thickBot="1" x14ac:dyDescent="0.3">
      <c r="A13" s="414">
        <v>42956</v>
      </c>
      <c r="B13" s="415">
        <v>29423.5</v>
      </c>
      <c r="C13" s="48" t="s">
        <v>882</v>
      </c>
      <c r="D13" s="435">
        <v>42956</v>
      </c>
      <c r="E13" s="436">
        <v>29423.5</v>
      </c>
      <c r="F13" s="23"/>
      <c r="G13" s="24">
        <v>42956</v>
      </c>
      <c r="H13" s="440">
        <v>0</v>
      </c>
      <c r="I13" s="38"/>
      <c r="J13" s="368"/>
      <c r="K13" s="452">
        <v>0</v>
      </c>
      <c r="L13" s="500" t="s">
        <v>881</v>
      </c>
      <c r="M13" s="506">
        <v>0</v>
      </c>
      <c r="O13" s="414">
        <v>42956</v>
      </c>
      <c r="P13" s="415">
        <v>29423.5</v>
      </c>
      <c r="Q13" s="48" t="s">
        <v>882</v>
      </c>
      <c r="R13" s="435">
        <v>42956</v>
      </c>
      <c r="S13" s="436">
        <v>29423.5</v>
      </c>
      <c r="T13" s="23"/>
      <c r="U13" s="24">
        <v>42956</v>
      </c>
      <c r="V13" s="440">
        <v>0</v>
      </c>
      <c r="W13" s="38"/>
      <c r="X13" s="368"/>
      <c r="Y13" s="452">
        <v>0</v>
      </c>
      <c r="Z13" s="445" t="s">
        <v>881</v>
      </c>
      <c r="AA13" s="29"/>
      <c r="AB13" s="45"/>
    </row>
    <row r="14" spans="1:28" ht="15.75" thickBot="1" x14ac:dyDescent="0.3">
      <c r="A14" s="414">
        <v>42957</v>
      </c>
      <c r="B14" s="415">
        <v>25087.5</v>
      </c>
      <c r="C14" s="50" t="s">
        <v>884</v>
      </c>
      <c r="D14" s="435">
        <v>42957</v>
      </c>
      <c r="E14" s="436">
        <v>25087.5</v>
      </c>
      <c r="F14" s="23"/>
      <c r="G14" s="24">
        <v>42957</v>
      </c>
      <c r="H14" s="440">
        <v>0</v>
      </c>
      <c r="I14" s="38"/>
      <c r="J14" s="460"/>
      <c r="K14" s="452">
        <v>0</v>
      </c>
      <c r="L14" s="500" t="s">
        <v>883</v>
      </c>
      <c r="M14" s="506">
        <v>0</v>
      </c>
      <c r="O14" s="414">
        <v>42957</v>
      </c>
      <c r="P14" s="415">
        <v>25087.5</v>
      </c>
      <c r="Q14" s="50" t="s">
        <v>884</v>
      </c>
      <c r="R14" s="435">
        <v>42957</v>
      </c>
      <c r="S14" s="436">
        <v>25087.5</v>
      </c>
      <c r="T14" s="23"/>
      <c r="U14" s="24">
        <v>42957</v>
      </c>
      <c r="V14" s="440">
        <v>0</v>
      </c>
      <c r="W14" s="38"/>
      <c r="X14" s="460"/>
      <c r="Y14" s="452">
        <v>0</v>
      </c>
      <c r="Z14" s="445" t="s">
        <v>883</v>
      </c>
      <c r="AA14" s="29"/>
      <c r="AB14" s="45"/>
    </row>
    <row r="15" spans="1:28" ht="15.75" thickBot="1" x14ac:dyDescent="0.3">
      <c r="A15" s="414">
        <v>42958</v>
      </c>
      <c r="B15" s="415">
        <v>58915</v>
      </c>
      <c r="C15" s="50" t="s">
        <v>886</v>
      </c>
      <c r="D15" s="435">
        <v>42958</v>
      </c>
      <c r="E15" s="436">
        <v>62515.5</v>
      </c>
      <c r="F15" s="23"/>
      <c r="G15" s="24">
        <v>42958</v>
      </c>
      <c r="H15" s="440">
        <v>0</v>
      </c>
      <c r="I15" s="38"/>
      <c r="J15" s="481" t="s">
        <v>44</v>
      </c>
      <c r="K15" s="452">
        <v>0</v>
      </c>
      <c r="L15" s="500" t="s">
        <v>885</v>
      </c>
      <c r="M15" s="506">
        <v>0</v>
      </c>
      <c r="O15" s="414">
        <v>42958</v>
      </c>
      <c r="P15" s="415">
        <v>58915</v>
      </c>
      <c r="Q15" s="50" t="s">
        <v>886</v>
      </c>
      <c r="R15" s="435">
        <v>42958</v>
      </c>
      <c r="S15" s="436">
        <v>62515.5</v>
      </c>
      <c r="T15" s="23"/>
      <c r="U15" s="24">
        <v>42958</v>
      </c>
      <c r="V15" s="440">
        <v>0</v>
      </c>
      <c r="W15" s="38"/>
      <c r="X15" s="481" t="s">
        <v>44</v>
      </c>
      <c r="Y15" s="452">
        <v>0</v>
      </c>
      <c r="Z15" s="445" t="s">
        <v>885</v>
      </c>
      <c r="AA15" s="456"/>
      <c r="AB15" s="45"/>
    </row>
    <row r="16" spans="1:28" ht="15.75" thickBot="1" x14ac:dyDescent="0.3">
      <c r="A16" s="414">
        <v>42959</v>
      </c>
      <c r="B16" s="415">
        <v>59190</v>
      </c>
      <c r="C16" s="50" t="s">
        <v>888</v>
      </c>
      <c r="D16" s="435">
        <v>42959</v>
      </c>
      <c r="E16" s="436">
        <v>59190</v>
      </c>
      <c r="F16" s="23"/>
      <c r="G16" s="24">
        <v>42959</v>
      </c>
      <c r="H16" s="440">
        <v>0</v>
      </c>
      <c r="I16" s="38"/>
      <c r="J16" s="54"/>
      <c r="K16" s="455">
        <v>0</v>
      </c>
      <c r="L16" s="501" t="s">
        <v>887</v>
      </c>
      <c r="M16" s="506">
        <v>0</v>
      </c>
      <c r="O16" s="414">
        <v>42959</v>
      </c>
      <c r="P16" s="415">
        <v>59190</v>
      </c>
      <c r="Q16" s="50" t="s">
        <v>888</v>
      </c>
      <c r="R16" s="435">
        <v>42959</v>
      </c>
      <c r="S16" s="436">
        <v>59190</v>
      </c>
      <c r="T16" s="23"/>
      <c r="U16" s="24">
        <v>42959</v>
      </c>
      <c r="V16" s="440">
        <v>0</v>
      </c>
      <c r="W16" s="38"/>
      <c r="X16" s="54"/>
      <c r="Y16" s="455">
        <v>0</v>
      </c>
      <c r="Z16" s="492" t="s">
        <v>887</v>
      </c>
      <c r="AA16" s="29"/>
      <c r="AB16" s="45"/>
    </row>
    <row r="17" spans="1:28" ht="15.75" customHeight="1" thickBot="1" x14ac:dyDescent="0.3">
      <c r="A17" s="414">
        <v>42960</v>
      </c>
      <c r="B17" s="415">
        <f>63205.5+342</f>
        <v>63547.5</v>
      </c>
      <c r="C17" s="50" t="s">
        <v>889</v>
      </c>
      <c r="D17" s="435">
        <v>42960</v>
      </c>
      <c r="E17" s="436">
        <v>52951.5</v>
      </c>
      <c r="F17" s="23"/>
      <c r="G17" s="24">
        <v>42960</v>
      </c>
      <c r="H17" s="440">
        <v>30</v>
      </c>
      <c r="I17" s="38"/>
      <c r="J17" s="591" t="s">
        <v>49</v>
      </c>
      <c r="K17" s="455">
        <v>0</v>
      </c>
      <c r="L17" s="500" t="s">
        <v>893</v>
      </c>
      <c r="M17" s="506">
        <v>0</v>
      </c>
      <c r="O17" s="414">
        <v>42960</v>
      </c>
      <c r="P17" s="415">
        <f>63205.5+342</f>
        <v>63547.5</v>
      </c>
      <c r="Q17" s="50" t="s">
        <v>889</v>
      </c>
      <c r="R17" s="435">
        <v>42960</v>
      </c>
      <c r="S17" s="436">
        <v>52951.5</v>
      </c>
      <c r="T17" s="23"/>
      <c r="U17" s="24">
        <v>42960</v>
      </c>
      <c r="V17" s="440">
        <v>30</v>
      </c>
      <c r="W17" s="38"/>
      <c r="X17" s="591" t="s">
        <v>49</v>
      </c>
      <c r="Y17" s="455">
        <v>0</v>
      </c>
      <c r="Z17" s="445" t="s">
        <v>893</v>
      </c>
      <c r="AA17" s="29"/>
      <c r="AB17" s="45"/>
    </row>
    <row r="18" spans="1:28" ht="15.75" thickBot="1" x14ac:dyDescent="0.3">
      <c r="A18" s="414">
        <v>42961</v>
      </c>
      <c r="B18" s="415">
        <v>32056.5</v>
      </c>
      <c r="C18" s="48" t="s">
        <v>891</v>
      </c>
      <c r="D18" s="435">
        <v>42961</v>
      </c>
      <c r="E18" s="436">
        <v>34056.5</v>
      </c>
      <c r="F18" s="23"/>
      <c r="G18" s="24">
        <v>42961</v>
      </c>
      <c r="H18" s="440">
        <v>12</v>
      </c>
      <c r="I18" s="56"/>
      <c r="J18" s="591"/>
      <c r="K18" s="456">
        <v>0</v>
      </c>
      <c r="L18" s="500" t="s">
        <v>894</v>
      </c>
      <c r="M18" s="506">
        <v>0</v>
      </c>
      <c r="O18" s="414">
        <v>42961</v>
      </c>
      <c r="P18" s="415">
        <v>32056.5</v>
      </c>
      <c r="Q18" s="48" t="s">
        <v>891</v>
      </c>
      <c r="R18" s="435">
        <v>42961</v>
      </c>
      <c r="S18" s="436">
        <v>34056.5</v>
      </c>
      <c r="T18" s="23"/>
      <c r="U18" s="24">
        <v>42961</v>
      </c>
      <c r="V18" s="440">
        <v>12</v>
      </c>
      <c r="W18" s="56"/>
      <c r="X18" s="591"/>
      <c r="Y18" s="456">
        <v>0</v>
      </c>
      <c r="Z18" s="445" t="s">
        <v>894</v>
      </c>
      <c r="AA18" s="29"/>
      <c r="AB18" s="45"/>
    </row>
    <row r="19" spans="1:28" ht="16.5" thickBot="1" x14ac:dyDescent="0.3">
      <c r="A19" s="414">
        <v>42962</v>
      </c>
      <c r="B19" s="415">
        <v>0</v>
      </c>
      <c r="C19" s="50"/>
      <c r="D19" s="435">
        <v>42962</v>
      </c>
      <c r="E19" s="436">
        <v>29528</v>
      </c>
      <c r="F19" s="23"/>
      <c r="G19" s="24">
        <v>42962</v>
      </c>
      <c r="H19" s="440">
        <v>33</v>
      </c>
      <c r="I19" s="38"/>
      <c r="J19" s="368" t="s">
        <v>54</v>
      </c>
      <c r="K19" s="456">
        <v>0</v>
      </c>
      <c r="L19" s="500" t="s">
        <v>892</v>
      </c>
      <c r="M19" s="507">
        <v>29495</v>
      </c>
      <c r="O19" s="414">
        <v>42962</v>
      </c>
      <c r="P19" s="415">
        <v>0</v>
      </c>
      <c r="Q19" s="50"/>
      <c r="R19" s="435">
        <v>42962</v>
      </c>
      <c r="S19" s="436">
        <v>29528</v>
      </c>
      <c r="T19" s="23"/>
      <c r="U19" s="24">
        <v>42962</v>
      </c>
      <c r="V19" s="440">
        <v>33</v>
      </c>
      <c r="W19" s="38"/>
      <c r="X19" s="368" t="s">
        <v>54</v>
      </c>
      <c r="Y19" s="456">
        <v>0</v>
      </c>
      <c r="Z19" s="445" t="s">
        <v>892</v>
      </c>
      <c r="AA19" s="456">
        <v>29495</v>
      </c>
      <c r="AB19" s="45"/>
    </row>
    <row r="20" spans="1:28" ht="16.5" thickBot="1" x14ac:dyDescent="0.3">
      <c r="A20" s="414">
        <v>42963</v>
      </c>
      <c r="B20" s="415">
        <v>0</v>
      </c>
      <c r="C20" s="57"/>
      <c r="D20" s="435">
        <v>42963</v>
      </c>
      <c r="E20" s="436">
        <v>30711.5</v>
      </c>
      <c r="F20" s="23"/>
      <c r="G20" s="24">
        <v>42963</v>
      </c>
      <c r="H20" s="440">
        <v>20</v>
      </c>
      <c r="I20" s="58"/>
      <c r="J20" s="59" t="s">
        <v>57</v>
      </c>
      <c r="K20" s="109">
        <v>0</v>
      </c>
      <c r="L20" s="500" t="s">
        <v>895</v>
      </c>
      <c r="M20" s="507">
        <v>30691.5</v>
      </c>
      <c r="O20" s="414">
        <v>42963</v>
      </c>
      <c r="P20" s="415">
        <v>0</v>
      </c>
      <c r="Q20" s="57"/>
      <c r="R20" s="435">
        <v>42963</v>
      </c>
      <c r="S20" s="436">
        <v>30711.5</v>
      </c>
      <c r="T20" s="23"/>
      <c r="U20" s="24">
        <v>42963</v>
      </c>
      <c r="V20" s="440">
        <v>20</v>
      </c>
      <c r="W20" s="58"/>
      <c r="X20" s="59" t="s">
        <v>57</v>
      </c>
      <c r="Y20" s="109">
        <v>0</v>
      </c>
      <c r="Z20" s="445" t="s">
        <v>895</v>
      </c>
      <c r="AA20" s="456">
        <v>30691.5</v>
      </c>
      <c r="AB20" s="45"/>
    </row>
    <row r="21" spans="1:28" ht="15.75" thickBot="1" x14ac:dyDescent="0.3">
      <c r="A21" s="414">
        <v>42964</v>
      </c>
      <c r="B21" s="415">
        <v>24104</v>
      </c>
      <c r="C21" s="57" t="s">
        <v>901</v>
      </c>
      <c r="D21" s="435">
        <v>42964</v>
      </c>
      <c r="E21" s="436">
        <v>22662</v>
      </c>
      <c r="F21" s="23"/>
      <c r="G21" s="24">
        <v>42964</v>
      </c>
      <c r="H21" s="440">
        <v>0</v>
      </c>
      <c r="I21" s="450" t="s">
        <v>638</v>
      </c>
      <c r="J21" s="63"/>
      <c r="K21" s="109"/>
      <c r="L21" s="500" t="s">
        <v>900</v>
      </c>
      <c r="M21" s="506">
        <v>0</v>
      </c>
      <c r="O21" s="414">
        <v>42964</v>
      </c>
      <c r="P21" s="415">
        <v>24104</v>
      </c>
      <c r="Q21" s="57" t="s">
        <v>901</v>
      </c>
      <c r="R21" s="435">
        <v>42964</v>
      </c>
      <c r="S21" s="436">
        <v>22662</v>
      </c>
      <c r="T21" s="23"/>
      <c r="U21" s="24">
        <v>42964</v>
      </c>
      <c r="V21" s="440">
        <v>0</v>
      </c>
      <c r="W21" s="450" t="s">
        <v>638</v>
      </c>
      <c r="X21" s="63"/>
      <c r="Y21" s="109"/>
      <c r="Z21" s="445" t="s">
        <v>900</v>
      </c>
      <c r="AA21" s="29"/>
      <c r="AB21" s="45"/>
    </row>
    <row r="22" spans="1:28" ht="15.75" thickBot="1" x14ac:dyDescent="0.3">
      <c r="A22" s="414">
        <v>42965</v>
      </c>
      <c r="B22" s="415">
        <v>65389.5</v>
      </c>
      <c r="C22" s="50" t="s">
        <v>902</v>
      </c>
      <c r="D22" s="435">
        <v>42965</v>
      </c>
      <c r="E22" s="436">
        <v>67616.800000000003</v>
      </c>
      <c r="F22" s="23"/>
      <c r="G22" s="24">
        <v>42965</v>
      </c>
      <c r="H22" s="440">
        <v>10</v>
      </c>
      <c r="I22" s="58"/>
      <c r="J22" s="449"/>
      <c r="K22" s="109">
        <v>0</v>
      </c>
      <c r="L22" s="500" t="s">
        <v>899</v>
      </c>
      <c r="M22" s="506">
        <v>0</v>
      </c>
      <c r="O22" s="414">
        <v>42965</v>
      </c>
      <c r="P22" s="415">
        <v>65389.5</v>
      </c>
      <c r="Q22" s="50" t="s">
        <v>902</v>
      </c>
      <c r="R22" s="435">
        <v>42965</v>
      </c>
      <c r="S22" s="436">
        <v>67616.800000000003</v>
      </c>
      <c r="T22" s="23"/>
      <c r="U22" s="24">
        <v>42965</v>
      </c>
      <c r="V22" s="440">
        <v>10</v>
      </c>
      <c r="W22" s="58"/>
      <c r="X22" s="449"/>
      <c r="Y22" s="109">
        <v>0</v>
      </c>
      <c r="Z22" s="445" t="s">
        <v>899</v>
      </c>
      <c r="AA22" s="29"/>
      <c r="AB22" s="45"/>
    </row>
    <row r="23" spans="1:28" ht="15.75" thickBot="1" x14ac:dyDescent="0.3">
      <c r="A23" s="414">
        <v>42966</v>
      </c>
      <c r="B23" s="415">
        <v>47346.5</v>
      </c>
      <c r="C23" s="50" t="s">
        <v>911</v>
      </c>
      <c r="D23" s="435">
        <v>42966</v>
      </c>
      <c r="E23" s="436">
        <v>56253</v>
      </c>
      <c r="F23" s="23"/>
      <c r="G23" s="24">
        <v>42966</v>
      </c>
      <c r="H23" s="440">
        <v>0</v>
      </c>
      <c r="I23" s="38"/>
      <c r="J23" s="63"/>
      <c r="K23" s="109">
        <v>0</v>
      </c>
      <c r="L23" s="500" t="s">
        <v>912</v>
      </c>
      <c r="M23" s="506">
        <v>0</v>
      </c>
      <c r="O23" s="414">
        <v>42966</v>
      </c>
      <c r="P23" s="415"/>
      <c r="Q23" s="50"/>
      <c r="R23" s="435">
        <v>42966</v>
      </c>
      <c r="S23" s="436"/>
      <c r="T23" s="23"/>
      <c r="U23" s="24">
        <v>42966</v>
      </c>
      <c r="V23" s="440"/>
      <c r="W23" s="38"/>
      <c r="X23" s="63"/>
      <c r="Y23" s="109">
        <v>0</v>
      </c>
      <c r="Z23" s="445"/>
      <c r="AA23" s="29"/>
      <c r="AB23" s="45"/>
    </row>
    <row r="24" spans="1:28" ht="15.75" thickBot="1" x14ac:dyDescent="0.3">
      <c r="A24" s="414">
        <v>42967</v>
      </c>
      <c r="B24" s="415">
        <v>83320.5</v>
      </c>
      <c r="C24" s="50" t="s">
        <v>921</v>
      </c>
      <c r="D24" s="435">
        <v>42967</v>
      </c>
      <c r="E24" s="436">
        <v>83320.5</v>
      </c>
      <c r="F24" s="23"/>
      <c r="G24" s="24">
        <v>42967</v>
      </c>
      <c r="H24" s="440">
        <v>0</v>
      </c>
      <c r="I24" s="38"/>
      <c r="J24" s="359" t="s">
        <v>66</v>
      </c>
      <c r="K24" s="109">
        <v>870</v>
      </c>
      <c r="L24" s="500" t="s">
        <v>920</v>
      </c>
      <c r="M24" s="506">
        <v>0</v>
      </c>
      <c r="O24" s="414">
        <v>42967</v>
      </c>
      <c r="P24" s="415"/>
      <c r="Q24" s="50"/>
      <c r="R24" s="435">
        <v>42967</v>
      </c>
      <c r="S24" s="436"/>
      <c r="T24" s="23"/>
      <c r="U24" s="24">
        <v>42967</v>
      </c>
      <c r="V24" s="440"/>
      <c r="W24" s="38"/>
      <c r="X24" s="359" t="s">
        <v>66</v>
      </c>
      <c r="Y24" s="109">
        <v>870</v>
      </c>
      <c r="Z24" s="445"/>
      <c r="AA24" s="29"/>
      <c r="AB24" s="45"/>
    </row>
    <row r="25" spans="1:28" ht="15.75" thickBot="1" x14ac:dyDescent="0.3">
      <c r="A25" s="414">
        <v>42968</v>
      </c>
      <c r="B25" s="415">
        <v>41948</v>
      </c>
      <c r="C25" s="57" t="s">
        <v>923</v>
      </c>
      <c r="D25" s="435">
        <v>42968</v>
      </c>
      <c r="E25" s="436">
        <v>46406.35</v>
      </c>
      <c r="F25" s="23"/>
      <c r="G25" s="24">
        <v>42968</v>
      </c>
      <c r="H25" s="440">
        <v>30</v>
      </c>
      <c r="I25" s="38"/>
      <c r="J25" s="68">
        <v>42949</v>
      </c>
      <c r="K25" s="109">
        <v>0</v>
      </c>
      <c r="L25" s="500" t="s">
        <v>922</v>
      </c>
      <c r="M25" s="506">
        <v>0</v>
      </c>
      <c r="O25" s="414">
        <v>42968</v>
      </c>
      <c r="P25" s="415"/>
      <c r="Q25" s="57"/>
      <c r="R25" s="435">
        <v>42968</v>
      </c>
      <c r="S25" s="436"/>
      <c r="T25" s="23"/>
      <c r="U25" s="24">
        <v>42968</v>
      </c>
      <c r="V25" s="440"/>
      <c r="W25" s="38"/>
      <c r="X25" s="68">
        <v>42949</v>
      </c>
      <c r="Y25" s="109">
        <v>0</v>
      </c>
      <c r="Z25" s="445"/>
      <c r="AA25" s="29"/>
      <c r="AB25" s="45"/>
    </row>
    <row r="26" spans="1:28" ht="15.75" thickBot="1" x14ac:dyDescent="0.3">
      <c r="A26" s="414">
        <v>42969</v>
      </c>
      <c r="B26" s="415">
        <v>22963.5</v>
      </c>
      <c r="C26" s="50" t="s">
        <v>925</v>
      </c>
      <c r="D26" s="435">
        <v>42969</v>
      </c>
      <c r="E26" s="436">
        <v>14681.5</v>
      </c>
      <c r="F26" s="23"/>
      <c r="G26" s="24">
        <v>42969</v>
      </c>
      <c r="H26" s="440">
        <v>0</v>
      </c>
      <c r="I26" s="38"/>
      <c r="J26" s="360" t="s">
        <v>73</v>
      </c>
      <c r="K26" s="109">
        <v>0</v>
      </c>
      <c r="L26" s="502" t="s">
        <v>924</v>
      </c>
      <c r="M26" s="506">
        <v>0</v>
      </c>
      <c r="O26" s="414">
        <v>42969</v>
      </c>
      <c r="P26" s="415"/>
      <c r="Q26" s="50"/>
      <c r="R26" s="435">
        <v>42969</v>
      </c>
      <c r="S26" s="436"/>
      <c r="T26" s="23"/>
      <c r="U26" s="24">
        <v>42969</v>
      </c>
      <c r="V26" s="440"/>
      <c r="W26" s="38"/>
      <c r="X26" s="360" t="s">
        <v>73</v>
      </c>
      <c r="Y26" s="109">
        <v>0</v>
      </c>
      <c r="Z26" s="443"/>
      <c r="AA26" s="29"/>
      <c r="AB26" s="45"/>
    </row>
    <row r="27" spans="1:28" ht="15.75" thickBot="1" x14ac:dyDescent="0.3">
      <c r="A27" s="414">
        <v>42970</v>
      </c>
      <c r="B27" s="415">
        <v>32801.5</v>
      </c>
      <c r="C27" s="50" t="s">
        <v>926</v>
      </c>
      <c r="D27" s="435">
        <v>42970</v>
      </c>
      <c r="E27" s="436">
        <v>40000.5</v>
      </c>
      <c r="F27" s="23"/>
      <c r="G27" s="24">
        <v>42970</v>
      </c>
      <c r="H27" s="440">
        <v>0</v>
      </c>
      <c r="I27" s="38"/>
      <c r="J27" s="68"/>
      <c r="K27" s="109">
        <v>0</v>
      </c>
      <c r="L27" s="502" t="s">
        <v>927</v>
      </c>
      <c r="M27" s="506">
        <v>0</v>
      </c>
      <c r="O27" s="414">
        <v>42970</v>
      </c>
      <c r="P27" s="415"/>
      <c r="Q27" s="50"/>
      <c r="R27" s="435">
        <v>42970</v>
      </c>
      <c r="S27" s="436"/>
      <c r="T27" s="23"/>
      <c r="U27" s="24">
        <v>42970</v>
      </c>
      <c r="V27" s="440"/>
      <c r="W27" s="38"/>
      <c r="X27" s="68"/>
      <c r="Y27" s="109">
        <v>0</v>
      </c>
      <c r="Z27" s="443"/>
      <c r="AA27" s="29"/>
      <c r="AB27" s="45"/>
    </row>
    <row r="28" spans="1:28" ht="15.75" thickBot="1" x14ac:dyDescent="0.3">
      <c r="A28" s="414">
        <v>42971</v>
      </c>
      <c r="B28" s="415">
        <v>53234.5</v>
      </c>
      <c r="C28" s="50" t="s">
        <v>931</v>
      </c>
      <c r="D28" s="435">
        <v>42971</v>
      </c>
      <c r="E28" s="436">
        <v>53277.5</v>
      </c>
      <c r="F28" s="23"/>
      <c r="G28" s="24">
        <v>42971</v>
      </c>
      <c r="H28" s="440">
        <v>43</v>
      </c>
      <c r="I28" s="38"/>
      <c r="J28" s="358" t="s">
        <v>442</v>
      </c>
      <c r="K28" s="109">
        <v>0</v>
      </c>
      <c r="L28" s="446" t="s">
        <v>930</v>
      </c>
      <c r="M28" s="506">
        <v>0</v>
      </c>
      <c r="O28" s="414">
        <v>42971</v>
      </c>
      <c r="P28" s="415"/>
      <c r="Q28" s="50"/>
      <c r="R28" s="435">
        <v>42971</v>
      </c>
      <c r="S28" s="436"/>
      <c r="T28" s="23"/>
      <c r="U28" s="24">
        <v>42971</v>
      </c>
      <c r="V28" s="440"/>
      <c r="W28" s="38"/>
      <c r="X28" s="358" t="s">
        <v>442</v>
      </c>
      <c r="Y28" s="109">
        <v>0</v>
      </c>
      <c r="Z28" s="446"/>
      <c r="AA28" s="29"/>
      <c r="AB28" s="45"/>
    </row>
    <row r="29" spans="1:28" ht="15.75" thickBot="1" x14ac:dyDescent="0.3">
      <c r="A29" s="414">
        <v>42972</v>
      </c>
      <c r="B29" s="415">
        <v>33625</v>
      </c>
      <c r="C29" s="50" t="s">
        <v>932</v>
      </c>
      <c r="D29" s="435">
        <v>42972</v>
      </c>
      <c r="E29" s="436">
        <v>33625</v>
      </c>
      <c r="F29" s="23"/>
      <c r="G29" s="24">
        <v>42972</v>
      </c>
      <c r="H29" s="440">
        <v>0</v>
      </c>
      <c r="I29" s="38"/>
      <c r="J29" s="68"/>
      <c r="K29" s="109">
        <v>0</v>
      </c>
      <c r="L29" s="502" t="s">
        <v>933</v>
      </c>
      <c r="M29" s="506">
        <v>0</v>
      </c>
      <c r="O29" s="414">
        <v>42972</v>
      </c>
      <c r="P29" s="415"/>
      <c r="Q29" s="50"/>
      <c r="R29" s="435">
        <v>42972</v>
      </c>
      <c r="S29" s="436"/>
      <c r="T29" s="23"/>
      <c r="U29" s="24">
        <v>42972</v>
      </c>
      <c r="V29" s="440"/>
      <c r="W29" s="38"/>
      <c r="X29" s="68"/>
      <c r="Y29" s="109">
        <v>0</v>
      </c>
      <c r="Z29" s="443"/>
      <c r="AA29" s="29"/>
      <c r="AB29" s="45"/>
    </row>
    <row r="30" spans="1:28" ht="15.75" thickBot="1" x14ac:dyDescent="0.3">
      <c r="A30" s="414">
        <v>42973</v>
      </c>
      <c r="B30" s="415">
        <v>57054</v>
      </c>
      <c r="C30" s="57" t="s">
        <v>935</v>
      </c>
      <c r="D30" s="435">
        <v>42973</v>
      </c>
      <c r="E30" s="436">
        <v>78653.5</v>
      </c>
      <c r="F30" s="23"/>
      <c r="G30" s="24">
        <v>42973</v>
      </c>
      <c r="H30" s="440">
        <v>0</v>
      </c>
      <c r="I30" s="38"/>
      <c r="J30" s="461" t="s">
        <v>82</v>
      </c>
      <c r="K30" s="109">
        <v>0</v>
      </c>
      <c r="L30" s="446" t="s">
        <v>934</v>
      </c>
      <c r="M30" s="506">
        <v>0</v>
      </c>
      <c r="O30" s="414">
        <v>42973</v>
      </c>
      <c r="P30" s="415"/>
      <c r="Q30" s="57"/>
      <c r="R30" s="435">
        <v>42973</v>
      </c>
      <c r="S30" s="436"/>
      <c r="T30" s="23"/>
      <c r="U30" s="24">
        <v>42973</v>
      </c>
      <c r="V30" s="440"/>
      <c r="W30" s="38"/>
      <c r="X30" s="461" t="s">
        <v>82</v>
      </c>
      <c r="Y30" s="109">
        <v>0</v>
      </c>
      <c r="Z30" s="446"/>
      <c r="AA30" s="29">
        <v>0</v>
      </c>
    </row>
    <row r="31" spans="1:28" ht="15.75" thickBot="1" x14ac:dyDescent="0.3">
      <c r="A31" s="414">
        <v>42974</v>
      </c>
      <c r="B31" s="415">
        <v>60759</v>
      </c>
      <c r="C31" s="57" t="s">
        <v>937</v>
      </c>
      <c r="D31" s="435">
        <v>42974</v>
      </c>
      <c r="E31" s="436">
        <v>46951.5</v>
      </c>
      <c r="F31" s="23"/>
      <c r="G31" s="24">
        <v>42974</v>
      </c>
      <c r="H31" s="440">
        <v>20</v>
      </c>
      <c r="I31" s="38"/>
      <c r="J31" s="68"/>
      <c r="K31" s="109">
        <v>0</v>
      </c>
      <c r="L31" s="446" t="s">
        <v>936</v>
      </c>
      <c r="M31" s="506">
        <v>0</v>
      </c>
      <c r="O31" s="414">
        <v>42974</v>
      </c>
      <c r="P31" s="415"/>
      <c r="Q31" s="57"/>
      <c r="R31" s="435">
        <v>42974</v>
      </c>
      <c r="S31" s="436"/>
      <c r="T31" s="23"/>
      <c r="U31" s="24">
        <v>42974</v>
      </c>
      <c r="V31" s="440"/>
      <c r="W31" s="38"/>
      <c r="X31" s="68"/>
      <c r="Y31" s="109">
        <v>0</v>
      </c>
      <c r="Z31" s="446"/>
      <c r="AA31" s="29">
        <v>0</v>
      </c>
    </row>
    <row r="32" spans="1:28" ht="15.75" thickBot="1" x14ac:dyDescent="0.3">
      <c r="A32" s="414">
        <v>42975</v>
      </c>
      <c r="B32" s="415">
        <v>54063</v>
      </c>
      <c r="C32" s="48" t="s">
        <v>940</v>
      </c>
      <c r="D32" s="435">
        <v>42975</v>
      </c>
      <c r="E32" s="436">
        <v>50889</v>
      </c>
      <c r="F32" s="23"/>
      <c r="G32" s="24">
        <v>42975</v>
      </c>
      <c r="H32" s="440">
        <v>0</v>
      </c>
      <c r="I32" s="38"/>
      <c r="J32" s="461"/>
      <c r="K32" s="452"/>
      <c r="L32" s="502" t="s">
        <v>939</v>
      </c>
      <c r="M32" s="506">
        <v>0</v>
      </c>
      <c r="O32" s="414">
        <v>42975</v>
      </c>
      <c r="P32" s="415"/>
      <c r="Q32" s="48"/>
      <c r="R32" s="435">
        <v>42975</v>
      </c>
      <c r="S32" s="436"/>
      <c r="T32" s="23"/>
      <c r="U32" s="24">
        <v>42975</v>
      </c>
      <c r="V32" s="440"/>
      <c r="W32" s="38"/>
      <c r="X32" s="461"/>
      <c r="Y32" s="452"/>
      <c r="Z32" s="443"/>
      <c r="AA32" s="29">
        <v>0</v>
      </c>
    </row>
    <row r="33" spans="1:27" ht="15.75" thickBot="1" x14ac:dyDescent="0.3">
      <c r="A33" s="414">
        <v>42976</v>
      </c>
      <c r="B33" s="415">
        <v>36546.5</v>
      </c>
      <c r="C33" s="48" t="s">
        <v>955</v>
      </c>
      <c r="D33" s="435">
        <v>42976</v>
      </c>
      <c r="E33" s="436">
        <v>32454.5</v>
      </c>
      <c r="F33" s="23"/>
      <c r="G33" s="24">
        <v>42976</v>
      </c>
      <c r="H33" s="440">
        <v>33</v>
      </c>
      <c r="I33" s="38"/>
      <c r="J33" s="190"/>
      <c r="K33" s="191"/>
      <c r="L33" s="502" t="s">
        <v>953</v>
      </c>
      <c r="M33" s="506">
        <v>0</v>
      </c>
      <c r="O33" s="414">
        <v>42976</v>
      </c>
      <c r="P33" s="415"/>
      <c r="Q33" s="48"/>
      <c r="R33" s="435">
        <v>42976</v>
      </c>
      <c r="S33" s="436"/>
      <c r="T33" s="23"/>
      <c r="U33" s="24">
        <v>42976</v>
      </c>
      <c r="V33" s="440"/>
      <c r="W33" s="38"/>
      <c r="X33" s="190"/>
      <c r="Y33" s="191"/>
      <c r="Z33" s="443"/>
      <c r="AA33" s="29">
        <v>0</v>
      </c>
    </row>
    <row r="34" spans="1:27" ht="15.75" thickBot="1" x14ac:dyDescent="0.3">
      <c r="A34" s="414">
        <v>42977</v>
      </c>
      <c r="B34" s="415">
        <v>38108.35</v>
      </c>
      <c r="C34" s="57" t="s">
        <v>956</v>
      </c>
      <c r="D34" s="435">
        <v>42977</v>
      </c>
      <c r="E34" s="436">
        <v>42595</v>
      </c>
      <c r="F34" s="23"/>
      <c r="G34" s="24">
        <v>42977</v>
      </c>
      <c r="H34" s="440">
        <v>0</v>
      </c>
      <c r="I34" s="38"/>
      <c r="J34" s="190"/>
      <c r="K34" s="191"/>
      <c r="L34" s="447" t="s">
        <v>954</v>
      </c>
      <c r="M34" s="506">
        <v>0</v>
      </c>
      <c r="O34" s="414">
        <v>42977</v>
      </c>
      <c r="P34" s="415"/>
      <c r="Q34" s="57"/>
      <c r="R34" s="435">
        <v>42977</v>
      </c>
      <c r="S34" s="436"/>
      <c r="T34" s="23"/>
      <c r="U34" s="24">
        <v>42977</v>
      </c>
      <c r="V34" s="440"/>
      <c r="W34" s="38"/>
      <c r="X34" s="190"/>
      <c r="Y34" s="191"/>
      <c r="Z34" s="447"/>
      <c r="AA34" s="29">
        <v>0</v>
      </c>
    </row>
    <row r="35" spans="1:27" ht="15.75" thickBot="1" x14ac:dyDescent="0.3">
      <c r="A35" s="414">
        <v>42978</v>
      </c>
      <c r="B35" s="418">
        <v>35854.5</v>
      </c>
      <c r="C35" s="20" t="s">
        <v>958</v>
      </c>
      <c r="D35" s="435">
        <v>42978</v>
      </c>
      <c r="E35" s="436">
        <v>27055</v>
      </c>
      <c r="F35" s="23"/>
      <c r="G35" s="490">
        <v>42978</v>
      </c>
      <c r="H35" s="440">
        <v>0</v>
      </c>
      <c r="I35" s="38"/>
      <c r="J35" s="461"/>
      <c r="K35" s="452"/>
      <c r="L35" s="503"/>
      <c r="M35" s="506">
        <v>0</v>
      </c>
      <c r="O35" s="414">
        <v>42978</v>
      </c>
      <c r="P35" s="418"/>
      <c r="Q35" s="20"/>
      <c r="R35" s="435">
        <v>42978</v>
      </c>
      <c r="S35" s="436"/>
      <c r="T35" s="23"/>
      <c r="U35" s="490">
        <v>42978</v>
      </c>
      <c r="V35" s="440"/>
      <c r="W35" s="38"/>
      <c r="X35" s="461"/>
      <c r="Y35" s="452"/>
      <c r="Z35" s="448"/>
      <c r="AA35" s="29">
        <v>0</v>
      </c>
    </row>
    <row r="36" spans="1:27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508">
        <v>0</v>
      </c>
      <c r="O36" s="82"/>
      <c r="P36" s="83">
        <v>0</v>
      </c>
      <c r="Q36" s="14"/>
      <c r="R36" s="437"/>
      <c r="S36" s="438">
        <v>0</v>
      </c>
      <c r="U36" s="86"/>
      <c r="V36" s="441"/>
      <c r="W36" s="60"/>
      <c r="X36" s="461"/>
      <c r="Y36" s="457"/>
      <c r="Z36" s="9"/>
      <c r="AA36" s="29">
        <v>0</v>
      </c>
    </row>
    <row r="37" spans="1:27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60186.5</v>
      </c>
      <c r="O37" s="89"/>
      <c r="P37" s="90">
        <v>0</v>
      </c>
      <c r="Q37" s="14"/>
      <c r="R37" s="91"/>
      <c r="S37" s="92">
        <v>0</v>
      </c>
      <c r="U37" s="93"/>
      <c r="V37" s="94"/>
      <c r="W37" s="60"/>
      <c r="X37" s="462"/>
      <c r="Y37" s="458"/>
      <c r="Z37" s="9"/>
      <c r="AA37" s="97">
        <f>SUM(AA5:AA36)</f>
        <v>60186.5</v>
      </c>
    </row>
    <row r="38" spans="1:27" x14ac:dyDescent="0.25">
      <c r="A38" s="98" t="s">
        <v>85</v>
      </c>
      <c r="B38" s="99">
        <f>SUM(B5:B37)</f>
        <v>1244155.3500000001</v>
      </c>
      <c r="D38" s="100" t="s">
        <v>85</v>
      </c>
      <c r="E38" s="101">
        <f>SUM(E5:E37)</f>
        <v>1327219.6499999999</v>
      </c>
      <c r="G38" s="494" t="s">
        <v>85</v>
      </c>
      <c r="H38" s="4">
        <f>SUM(H5:H37)</f>
        <v>438</v>
      </c>
      <c r="I38" s="4"/>
      <c r="J38" s="102" t="s">
        <v>85</v>
      </c>
      <c r="K38" s="103">
        <f t="shared" ref="K38" si="0">SUM(K5:K37)</f>
        <v>85183.49</v>
      </c>
      <c r="L38" s="9"/>
      <c r="M38" s="3"/>
      <c r="O38" s="98" t="s">
        <v>85</v>
      </c>
      <c r="P38" s="99">
        <f>SUM(P5:P37)</f>
        <v>646530.5</v>
      </c>
      <c r="R38" s="100" t="s">
        <v>85</v>
      </c>
      <c r="S38" s="101">
        <f>SUM(S5:S37)</f>
        <v>721056.8</v>
      </c>
      <c r="U38" s="486" t="s">
        <v>85</v>
      </c>
      <c r="V38" s="4">
        <f>SUM(V5:V37)</f>
        <v>312</v>
      </c>
      <c r="W38" s="4"/>
      <c r="X38" s="102" t="s">
        <v>85</v>
      </c>
      <c r="Y38" s="103">
        <f t="shared" ref="Y38" si="1">SUM(Y5:Y37)</f>
        <v>62988.520000000004</v>
      </c>
      <c r="Z38" s="9"/>
      <c r="AA38" s="3"/>
    </row>
    <row r="39" spans="1:27" x14ac:dyDescent="0.25">
      <c r="A39" s="1"/>
      <c r="B39" s="5"/>
      <c r="E39" s="5"/>
      <c r="I39" s="5"/>
      <c r="L39" s="9"/>
      <c r="M39" s="3"/>
      <c r="O39" s="1"/>
      <c r="P39" s="5"/>
      <c r="S39" s="5"/>
      <c r="W39" s="5"/>
      <c r="Z39" s="9"/>
      <c r="AA39" s="3"/>
    </row>
    <row r="40" spans="1:27" ht="15.75" customHeight="1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493"/>
      <c r="J40" s="589">
        <f>H38+K38</f>
        <v>85621.49</v>
      </c>
      <c r="K40" s="590"/>
      <c r="L40" s="108"/>
      <c r="M40" s="108"/>
      <c r="O40" s="1"/>
      <c r="P40" s="104">
        <v>0</v>
      </c>
      <c r="Q40" s="105"/>
      <c r="R40" s="106"/>
      <c r="S40" s="60"/>
      <c r="U40" s="587" t="s">
        <v>86</v>
      </c>
      <c r="V40" s="588"/>
      <c r="W40" s="487"/>
      <c r="X40" s="589">
        <f>V38+Y38</f>
        <v>63300.520000000004</v>
      </c>
      <c r="Y40" s="590"/>
      <c r="Z40" s="108"/>
      <c r="AA40" s="108"/>
    </row>
    <row r="41" spans="1:27" ht="15.75" customHeight="1" x14ac:dyDescent="0.25">
      <c r="A41" s="1"/>
      <c r="B41" s="5"/>
      <c r="C41" s="609" t="s">
        <v>87</v>
      </c>
      <c r="D41" s="609"/>
      <c r="E41" s="109">
        <f>E38-J40</f>
        <v>1241598.1599999999</v>
      </c>
      <c r="H41" s="110"/>
      <c r="I41" s="110"/>
      <c r="L41" s="108"/>
      <c r="M41" s="108"/>
      <c r="O41" s="1"/>
      <c r="P41" s="5"/>
      <c r="Q41" s="609" t="s">
        <v>87</v>
      </c>
      <c r="R41" s="609"/>
      <c r="S41" s="109">
        <f>S38-X40</f>
        <v>657756.28</v>
      </c>
      <c r="V41" s="110"/>
      <c r="W41" s="110"/>
      <c r="Z41" s="108"/>
      <c r="AA41" s="108"/>
    </row>
    <row r="42" spans="1:27" x14ac:dyDescent="0.25">
      <c r="A42" s="1"/>
      <c r="B42" s="5"/>
      <c r="C42" s="105"/>
      <c r="D42" s="106"/>
      <c r="E42" s="109"/>
      <c r="I42" s="5"/>
      <c r="L42" s="108"/>
      <c r="M42" s="108"/>
      <c r="O42" s="1"/>
      <c r="P42" s="5"/>
      <c r="Q42" s="105"/>
      <c r="R42" s="106"/>
      <c r="S42" s="109"/>
      <c r="W42" s="5"/>
      <c r="Z42" s="108"/>
      <c r="AA42" s="108"/>
    </row>
    <row r="43" spans="1:27" ht="15.75" thickBot="1" x14ac:dyDescent="0.3">
      <c r="A43" s="1"/>
      <c r="B43" s="5" t="s">
        <v>88</v>
      </c>
      <c r="C43" s="6" t="s">
        <v>89</v>
      </c>
      <c r="E43" s="111">
        <v>-1309874.1499999999</v>
      </c>
      <c r="H43" s="608"/>
      <c r="I43" s="608"/>
      <c r="J43" s="608"/>
      <c r="K43" s="103"/>
      <c r="L43" s="108"/>
      <c r="M43" s="108"/>
      <c r="O43" s="1"/>
      <c r="P43" s="5" t="s">
        <v>88</v>
      </c>
      <c r="Q43" s="6" t="s">
        <v>89</v>
      </c>
      <c r="S43" s="111">
        <v>-744084.16</v>
      </c>
      <c r="V43" s="608"/>
      <c r="W43" s="608"/>
      <c r="X43" s="608"/>
      <c r="Y43" s="103"/>
      <c r="Z43" s="108"/>
      <c r="AA43" s="108"/>
    </row>
    <row r="44" spans="1:27" ht="16.5" thickTop="1" x14ac:dyDescent="0.25">
      <c r="A44" s="1"/>
      <c r="B44" s="5"/>
      <c r="D44" s="12" t="s">
        <v>90</v>
      </c>
      <c r="E44" s="4">
        <f>SUM(E41:E43)</f>
        <v>-68275.989999999991</v>
      </c>
      <c r="H44" s="610" t="s">
        <v>91</v>
      </c>
      <c r="I44" s="610"/>
      <c r="J44" s="611">
        <f>E46</f>
        <v>135936.19</v>
      </c>
      <c r="K44" s="612"/>
      <c r="L44" s="108"/>
      <c r="M44" s="108"/>
      <c r="O44" s="1"/>
      <c r="P44" s="5"/>
      <c r="R44" s="12" t="s">
        <v>90</v>
      </c>
      <c r="S44" s="4">
        <f>SUM(S41:S43)</f>
        <v>-86327.88</v>
      </c>
      <c r="V44" s="610" t="s">
        <v>91</v>
      </c>
      <c r="W44" s="610"/>
      <c r="X44" s="611">
        <f>S46</f>
        <v>105027.72999999998</v>
      </c>
      <c r="Y44" s="612"/>
      <c r="Z44" s="108"/>
      <c r="AA44" s="108"/>
    </row>
    <row r="45" spans="1:27" ht="16.5" thickBot="1" x14ac:dyDescent="0.3">
      <c r="A45" s="1"/>
      <c r="B45" s="5"/>
      <c r="C45" s="113" t="s">
        <v>92</v>
      </c>
      <c r="D45" s="114"/>
      <c r="E45" s="115">
        <v>204212.18</v>
      </c>
      <c r="H45" s="613" t="s">
        <v>3</v>
      </c>
      <c r="I45" s="613"/>
      <c r="J45" s="598">
        <v>-125687.1</v>
      </c>
      <c r="K45" s="598"/>
      <c r="L45" s="108"/>
      <c r="M45" s="108"/>
      <c r="O45" s="1"/>
      <c r="P45" s="5"/>
      <c r="Q45" s="113" t="s">
        <v>92</v>
      </c>
      <c r="R45" s="114"/>
      <c r="S45" s="115">
        <v>191355.61</v>
      </c>
      <c r="V45" s="613" t="s">
        <v>3</v>
      </c>
      <c r="W45" s="613"/>
      <c r="X45" s="598">
        <v>-125687.1</v>
      </c>
      <c r="Y45" s="598"/>
      <c r="Z45" s="108"/>
      <c r="AA45" s="108"/>
    </row>
    <row r="46" spans="1:27" ht="19.5" thickBot="1" x14ac:dyDescent="0.3">
      <c r="A46" s="1"/>
      <c r="B46" s="5"/>
      <c r="D46" s="6" t="s">
        <v>93</v>
      </c>
      <c r="E46" s="99">
        <f>E45+E44</f>
        <v>135936.19</v>
      </c>
      <c r="I46" s="116"/>
      <c r="J46" s="603">
        <v>0</v>
      </c>
      <c r="K46" s="603"/>
      <c r="L46" s="108"/>
      <c r="M46" s="108"/>
      <c r="O46" s="1"/>
      <c r="P46" s="5"/>
      <c r="R46" s="6" t="s">
        <v>93</v>
      </c>
      <c r="S46" s="99">
        <f>S45+S44</f>
        <v>105027.72999999998</v>
      </c>
      <c r="W46" s="116"/>
      <c r="X46" s="603">
        <v>0</v>
      </c>
      <c r="Y46" s="603"/>
      <c r="Z46" s="108"/>
      <c r="AA46" s="108"/>
    </row>
    <row r="47" spans="1:27" ht="19.5" thickBot="1" x14ac:dyDescent="0.3">
      <c r="A47" s="1"/>
      <c r="B47" s="5"/>
      <c r="E47" s="109"/>
      <c r="H47" s="604" t="s">
        <v>94</v>
      </c>
      <c r="I47" s="605"/>
      <c r="J47" s="606">
        <f>SUM(J44:K46)</f>
        <v>10249.089999999997</v>
      </c>
      <c r="K47" s="607"/>
      <c r="L47" s="108"/>
      <c r="M47" s="108"/>
      <c r="O47" s="1"/>
      <c r="P47" s="5"/>
      <c r="S47" s="109"/>
      <c r="V47" s="604" t="s">
        <v>270</v>
      </c>
      <c r="W47" s="605"/>
      <c r="X47" s="606">
        <f>SUM(X44:Y46)</f>
        <v>-20659.370000000024</v>
      </c>
      <c r="Y47" s="607"/>
      <c r="Z47" s="108"/>
      <c r="AA47" s="108"/>
    </row>
    <row r="48" spans="1:27" x14ac:dyDescent="0.25">
      <c r="A48" s="1"/>
      <c r="B48" s="5"/>
      <c r="C48" s="608"/>
      <c r="D48" s="608"/>
      <c r="E48" s="4"/>
      <c r="I48" s="5"/>
      <c r="L48" s="108"/>
      <c r="M48" s="108"/>
      <c r="O48" s="1"/>
      <c r="P48" s="5"/>
      <c r="Q48" s="608"/>
      <c r="R48" s="608"/>
      <c r="S48" s="4"/>
      <c r="W48" s="5"/>
      <c r="Z48" s="108"/>
      <c r="AA48" s="108"/>
    </row>
    <row r="49" spans="1:27" x14ac:dyDescent="0.25">
      <c r="A49"/>
      <c r="C49"/>
      <c r="L49" s="108"/>
      <c r="M49" s="108"/>
      <c r="O49"/>
      <c r="Q49"/>
      <c r="Z49" s="108"/>
      <c r="AA49" s="108"/>
    </row>
    <row r="50" spans="1:27" x14ac:dyDescent="0.25">
      <c r="A50"/>
      <c r="L50" s="108"/>
      <c r="M50" s="108"/>
      <c r="O50"/>
      <c r="Z50" s="108"/>
      <c r="AA50" s="108"/>
    </row>
    <row r="51" spans="1:27" x14ac:dyDescent="0.25">
      <c r="A51"/>
      <c r="L51" s="108"/>
      <c r="M51" s="108"/>
      <c r="O51"/>
      <c r="Z51" s="108"/>
      <c r="AA51" s="108"/>
    </row>
    <row r="52" spans="1:27" x14ac:dyDescent="0.25">
      <c r="A52"/>
      <c r="L52" s="108"/>
      <c r="M52" s="108"/>
      <c r="O52"/>
      <c r="Z52" s="108"/>
      <c r="AA52" s="108"/>
    </row>
    <row r="53" spans="1:27" x14ac:dyDescent="0.25">
      <c r="A53"/>
      <c r="L53" s="117"/>
      <c r="M53" s="108"/>
      <c r="O53"/>
      <c r="Z53" s="117"/>
      <c r="AA53" s="108"/>
    </row>
    <row r="54" spans="1:27" x14ac:dyDescent="0.25">
      <c r="A54"/>
      <c r="M54" s="108"/>
      <c r="O54"/>
      <c r="AA54" s="108"/>
    </row>
    <row r="55" spans="1:27" x14ac:dyDescent="0.25">
      <c r="A55"/>
      <c r="M55" s="108"/>
      <c r="O55"/>
      <c r="AA55" s="108"/>
    </row>
    <row r="56" spans="1:27" x14ac:dyDescent="0.25">
      <c r="A56"/>
      <c r="M56" s="108"/>
      <c r="O56"/>
      <c r="AA56" s="108"/>
    </row>
    <row r="57" spans="1:27" x14ac:dyDescent="0.25">
      <c r="A57"/>
      <c r="M57" s="108"/>
      <c r="O57"/>
      <c r="AA57" s="108"/>
    </row>
    <row r="58" spans="1:27" x14ac:dyDescent="0.25">
      <c r="A58"/>
      <c r="M58" s="108"/>
      <c r="O58"/>
      <c r="AA58" s="108"/>
    </row>
    <row r="59" spans="1:27" x14ac:dyDescent="0.25">
      <c r="A59"/>
      <c r="M59" s="108"/>
      <c r="O59"/>
      <c r="AA59" s="108"/>
    </row>
    <row r="60" spans="1:27" x14ac:dyDescent="0.25">
      <c r="A60"/>
      <c r="M60" s="108"/>
      <c r="O60"/>
      <c r="AA60" s="108"/>
    </row>
    <row r="61" spans="1:27" x14ac:dyDescent="0.25">
      <c r="A61"/>
      <c r="M61" s="108"/>
      <c r="O61"/>
      <c r="AA61" s="108"/>
    </row>
    <row r="62" spans="1:27" x14ac:dyDescent="0.25">
      <c r="A62"/>
      <c r="M62" s="108"/>
      <c r="O62"/>
      <c r="AA62" s="108"/>
    </row>
    <row r="63" spans="1:27" x14ac:dyDescent="0.25">
      <c r="A63"/>
      <c r="M63" s="108"/>
      <c r="O63"/>
      <c r="AA63" s="108"/>
    </row>
    <row r="64" spans="1:27" x14ac:dyDescent="0.25">
      <c r="A64"/>
      <c r="M64" s="108"/>
      <c r="O64"/>
      <c r="AA64" s="108"/>
    </row>
    <row r="65" spans="1:27" x14ac:dyDescent="0.25">
      <c r="A65"/>
      <c r="C65"/>
      <c r="M65" s="108"/>
      <c r="O65"/>
      <c r="Q65"/>
      <c r="AA65" s="108"/>
    </row>
    <row r="66" spans="1:27" x14ac:dyDescent="0.25">
      <c r="A66"/>
      <c r="C66"/>
      <c r="M66" s="108"/>
      <c r="O66"/>
      <c r="Q66"/>
      <c r="AA66" s="108"/>
    </row>
    <row r="67" spans="1:27" x14ac:dyDescent="0.25">
      <c r="A67"/>
      <c r="C67"/>
      <c r="M67" s="108"/>
      <c r="O67"/>
      <c r="Q67"/>
      <c r="AA67" s="108"/>
    </row>
    <row r="68" spans="1:27" x14ac:dyDescent="0.25">
      <c r="A68"/>
      <c r="C68"/>
      <c r="M68" s="117"/>
      <c r="O68"/>
      <c r="Q68"/>
      <c r="AA68" s="117"/>
    </row>
  </sheetData>
  <mergeCells count="38">
    <mergeCell ref="Q48:R48"/>
    <mergeCell ref="X17:X18"/>
    <mergeCell ref="U40:V40"/>
    <mergeCell ref="X40:Y40"/>
    <mergeCell ref="Q41:R41"/>
    <mergeCell ref="V43:X43"/>
    <mergeCell ref="V44:W44"/>
    <mergeCell ref="X44:Y44"/>
    <mergeCell ref="V45:W45"/>
    <mergeCell ref="X45:Y45"/>
    <mergeCell ref="X46:Y46"/>
    <mergeCell ref="V47:W47"/>
    <mergeCell ref="X47:Y47"/>
    <mergeCell ref="P1:X1"/>
    <mergeCell ref="O3:O4"/>
    <mergeCell ref="R3:T3"/>
    <mergeCell ref="U3:V3"/>
    <mergeCell ref="R4:S4"/>
    <mergeCell ref="V4:Y4"/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3:J43"/>
    <mergeCell ref="H47:I47"/>
    <mergeCell ref="J47:K47"/>
    <mergeCell ref="C48:D48"/>
    <mergeCell ref="H44:I44"/>
    <mergeCell ref="J44:K44"/>
    <mergeCell ref="H45:I45"/>
    <mergeCell ref="J45:K45"/>
    <mergeCell ref="J46:K46"/>
  </mergeCells>
  <pageMargins left="0.31496062992125984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2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9" max="9" width="13.85546875" bestFit="1" customWidth="1"/>
    <col min="11" max="11" width="13.85546875" bestFit="1" customWidth="1"/>
    <col min="13" max="13" width="12" customWidth="1"/>
    <col min="14" max="14" width="14.140625" bestFit="1" customWidth="1"/>
    <col min="18" max="18" width="13.85546875" bestFit="1" customWidth="1"/>
    <col min="20" max="20" width="13.85546875" bestFit="1" customWidth="1"/>
    <col min="23" max="23" width="13.85546875" bestFit="1" customWidth="1"/>
  </cols>
  <sheetData>
    <row r="1" spans="1:24" ht="19.5" thickBot="1" x14ac:dyDescent="0.35">
      <c r="A1" s="1"/>
      <c r="B1" s="118"/>
      <c r="C1" s="614" t="s">
        <v>95</v>
      </c>
      <c r="D1" s="615"/>
      <c r="E1" s="616"/>
      <c r="F1" s="119"/>
      <c r="I1" s="45"/>
      <c r="J1" s="154"/>
      <c r="K1" s="343">
        <v>42961</v>
      </c>
      <c r="L1" s="216"/>
      <c r="M1" s="217" t="s">
        <v>141</v>
      </c>
      <c r="N1" s="111"/>
      <c r="O1" s="158"/>
      <c r="R1" s="45"/>
      <c r="S1" s="154"/>
      <c r="T1" s="361">
        <v>42978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3678+29808+4003</f>
        <v>37489</v>
      </c>
      <c r="J2" s="367" t="s">
        <v>805</v>
      </c>
      <c r="K2" s="133">
        <v>27428.76</v>
      </c>
      <c r="L2" s="214" t="s">
        <v>143</v>
      </c>
      <c r="M2" s="160" t="s">
        <v>154</v>
      </c>
      <c r="N2" s="161">
        <v>3678</v>
      </c>
      <c r="O2" s="162">
        <v>42940</v>
      </c>
      <c r="R2" s="45">
        <f>37668+38678.5</f>
        <v>76346.5</v>
      </c>
      <c r="S2" s="132" t="s">
        <v>898</v>
      </c>
      <c r="T2" s="133">
        <v>67294.880000000005</v>
      </c>
      <c r="U2" s="214" t="s">
        <v>143</v>
      </c>
      <c r="V2" s="160">
        <v>3932556</v>
      </c>
      <c r="W2" s="161">
        <v>40000</v>
      </c>
      <c r="X2" s="162">
        <v>42966</v>
      </c>
    </row>
    <row r="3" spans="1:24" ht="15.75" x14ac:dyDescent="0.25">
      <c r="A3" s="125">
        <v>42948</v>
      </c>
      <c r="B3" s="126" t="s">
        <v>829</v>
      </c>
      <c r="C3" s="127">
        <v>4337.8</v>
      </c>
      <c r="D3" s="128">
        <v>42961</v>
      </c>
      <c r="E3" s="127">
        <v>4337.8</v>
      </c>
      <c r="F3" s="129">
        <f t="shared" ref="F3:F44" si="0">C3-E3</f>
        <v>0</v>
      </c>
      <c r="I3" s="45">
        <v>12166.5</v>
      </c>
      <c r="J3" s="367" t="s">
        <v>806</v>
      </c>
      <c r="K3" s="133">
        <v>12166.4</v>
      </c>
      <c r="L3" s="159"/>
      <c r="M3" s="160">
        <v>3932314</v>
      </c>
      <c r="N3" s="161">
        <v>29808</v>
      </c>
      <c r="O3" s="162">
        <v>42941</v>
      </c>
      <c r="R3" s="45">
        <v>30723</v>
      </c>
      <c r="S3" s="132" t="s">
        <v>905</v>
      </c>
      <c r="T3" s="133">
        <v>30723.1</v>
      </c>
      <c r="U3" s="197"/>
      <c r="V3" s="198">
        <v>3932557</v>
      </c>
      <c r="W3" s="148">
        <v>7346.5</v>
      </c>
      <c r="X3" s="167">
        <v>42966</v>
      </c>
    </row>
    <row r="4" spans="1:24" ht="15.75" x14ac:dyDescent="0.25">
      <c r="A4" s="131">
        <v>42950</v>
      </c>
      <c r="B4" s="132" t="s">
        <v>843</v>
      </c>
      <c r="C4" s="133">
        <v>36612.92</v>
      </c>
      <c r="D4" s="128">
        <v>42961</v>
      </c>
      <c r="E4" s="133">
        <v>36612.92</v>
      </c>
      <c r="F4" s="134">
        <f t="shared" si="0"/>
        <v>0</v>
      </c>
      <c r="I4" s="45">
        <f>6182.5+48080.5+3173+16918</f>
        <v>74354</v>
      </c>
      <c r="J4" s="367" t="s">
        <v>807</v>
      </c>
      <c r="K4" s="133">
        <v>74354.06</v>
      </c>
      <c r="L4" s="163"/>
      <c r="M4" s="160">
        <v>3932315</v>
      </c>
      <c r="N4" s="161">
        <v>22352</v>
      </c>
      <c r="O4" s="162">
        <v>42942</v>
      </c>
      <c r="R4" s="45">
        <v>15674.5</v>
      </c>
      <c r="S4" s="132" t="s">
        <v>906</v>
      </c>
      <c r="T4" s="133">
        <v>29593.599999999999</v>
      </c>
      <c r="U4" s="344"/>
      <c r="V4" s="270">
        <v>3932559</v>
      </c>
      <c r="W4" s="148">
        <v>33602.5</v>
      </c>
      <c r="X4" s="167">
        <v>42967</v>
      </c>
    </row>
    <row r="5" spans="1:24" ht="15.75" x14ac:dyDescent="0.25">
      <c r="A5" s="131">
        <v>42951</v>
      </c>
      <c r="B5" s="132" t="s">
        <v>844</v>
      </c>
      <c r="C5" s="133">
        <v>41594.639999999999</v>
      </c>
      <c r="D5" s="128">
        <v>42961</v>
      </c>
      <c r="E5" s="133">
        <v>41594.639999999999</v>
      </c>
      <c r="F5" s="134">
        <f t="shared" si="0"/>
        <v>0</v>
      </c>
      <c r="I5" s="45">
        <v>8046.5</v>
      </c>
      <c r="J5" s="367" t="s">
        <v>842</v>
      </c>
      <c r="K5" s="133">
        <v>8046.72</v>
      </c>
      <c r="L5" s="164"/>
      <c r="M5" s="160">
        <v>3932348</v>
      </c>
      <c r="N5" s="161">
        <v>25000</v>
      </c>
      <c r="O5" s="162">
        <v>42943</v>
      </c>
      <c r="R5" s="45">
        <f>26273.5+4710.5</f>
        <v>30984</v>
      </c>
      <c r="S5" s="132" t="s">
        <v>908</v>
      </c>
      <c r="T5" s="133">
        <v>30984.2</v>
      </c>
      <c r="U5" s="344"/>
      <c r="V5" s="270">
        <v>3932558</v>
      </c>
      <c r="W5" s="148">
        <v>50000</v>
      </c>
      <c r="X5" s="167">
        <v>42967</v>
      </c>
    </row>
    <row r="6" spans="1:24" ht="15.75" x14ac:dyDescent="0.25">
      <c r="A6" s="131">
        <v>42951</v>
      </c>
      <c r="B6" s="132" t="s">
        <v>845</v>
      </c>
      <c r="C6" s="133">
        <v>44797.22</v>
      </c>
      <c r="D6" s="128">
        <v>42961</v>
      </c>
      <c r="E6" s="133">
        <v>44797.22</v>
      </c>
      <c r="F6" s="135">
        <f t="shared" si="0"/>
        <v>0</v>
      </c>
      <c r="I6" s="45">
        <v>2340</v>
      </c>
      <c r="J6" s="367" t="s">
        <v>808</v>
      </c>
      <c r="K6" s="133">
        <v>2340</v>
      </c>
      <c r="L6" s="277"/>
      <c r="M6" s="160">
        <v>3932349</v>
      </c>
      <c r="N6" s="161">
        <v>23380.5</v>
      </c>
      <c r="O6" s="162">
        <v>42943</v>
      </c>
      <c r="R6" s="45">
        <f>9971+8282+22284</f>
        <v>40537</v>
      </c>
      <c r="S6" s="132" t="s">
        <v>914</v>
      </c>
      <c r="T6" s="133">
        <v>40536.94</v>
      </c>
      <c r="U6" s="172"/>
      <c r="V6" s="198">
        <v>3932560</v>
      </c>
      <c r="W6" s="148">
        <v>25000</v>
      </c>
      <c r="X6" s="167">
        <v>42968</v>
      </c>
    </row>
    <row r="7" spans="1:24" ht="15.75" x14ac:dyDescent="0.25">
      <c r="A7" s="131">
        <v>42951</v>
      </c>
      <c r="B7" s="132" t="s">
        <v>846</v>
      </c>
      <c r="C7" s="133">
        <v>34824.400000000001</v>
      </c>
      <c r="D7" s="128">
        <v>42961</v>
      </c>
      <c r="E7" s="133">
        <v>34824.400000000001</v>
      </c>
      <c r="F7" s="135">
        <f t="shared" si="0"/>
        <v>0</v>
      </c>
      <c r="I7" s="45">
        <f>33969+44077.5</f>
        <v>78046.5</v>
      </c>
      <c r="J7" s="367" t="s">
        <v>824</v>
      </c>
      <c r="K7" s="133">
        <v>78046.62</v>
      </c>
      <c r="L7" s="163"/>
      <c r="M7" s="160" t="s">
        <v>154</v>
      </c>
      <c r="N7" s="161">
        <v>3173</v>
      </c>
      <c r="O7" s="162">
        <v>42942</v>
      </c>
      <c r="R7" s="45">
        <f>10517.5+53234.5+2071.5</f>
        <v>65823.5</v>
      </c>
      <c r="S7" s="132" t="s">
        <v>915</v>
      </c>
      <c r="T7" s="133">
        <v>65823.44</v>
      </c>
      <c r="U7" s="172"/>
      <c r="V7" s="198">
        <v>3932561</v>
      </c>
      <c r="W7" s="148">
        <v>16666.5</v>
      </c>
      <c r="X7" s="167">
        <v>42968</v>
      </c>
    </row>
    <row r="8" spans="1:24" ht="15.75" x14ac:dyDescent="0.25">
      <c r="A8" s="131">
        <v>42952</v>
      </c>
      <c r="B8" s="132" t="s">
        <v>847</v>
      </c>
      <c r="C8" s="133">
        <v>34669.040000000001</v>
      </c>
      <c r="D8" s="128">
        <v>42961</v>
      </c>
      <c r="E8" s="133">
        <v>34669.040000000001</v>
      </c>
      <c r="F8" s="135">
        <f t="shared" si="0"/>
        <v>0</v>
      </c>
      <c r="I8" s="45">
        <f>9374.5+28107</f>
        <v>37481.5</v>
      </c>
      <c r="J8" s="367" t="s">
        <v>828</v>
      </c>
      <c r="K8" s="133">
        <v>37481.32</v>
      </c>
      <c r="L8" s="165"/>
      <c r="M8" s="160">
        <v>3932347</v>
      </c>
      <c r="N8" s="166">
        <v>25000</v>
      </c>
      <c r="O8" s="167">
        <v>42944</v>
      </c>
      <c r="R8" s="153">
        <f>31553.5+6329</f>
        <v>37882.5</v>
      </c>
      <c r="S8" s="366" t="s">
        <v>916</v>
      </c>
      <c r="T8" s="339">
        <v>37882.5</v>
      </c>
      <c r="U8" s="198"/>
      <c r="V8" s="274">
        <v>3932562</v>
      </c>
      <c r="W8" s="148">
        <v>14681.5</v>
      </c>
      <c r="X8" s="167">
        <v>42969</v>
      </c>
    </row>
    <row r="9" spans="1:24" ht="15.75" x14ac:dyDescent="0.25">
      <c r="A9" s="131">
        <v>42952</v>
      </c>
      <c r="B9" s="132" t="s">
        <v>848</v>
      </c>
      <c r="C9" s="133">
        <v>33442.449999999997</v>
      </c>
      <c r="D9" s="128">
        <v>42961</v>
      </c>
      <c r="E9" s="133">
        <v>33442.449999999997</v>
      </c>
      <c r="F9" s="135">
        <f t="shared" si="0"/>
        <v>0</v>
      </c>
      <c r="I9" s="45">
        <f>19348.5+17196</f>
        <v>36544.5</v>
      </c>
      <c r="J9" s="367" t="s">
        <v>825</v>
      </c>
      <c r="K9" s="133">
        <v>36544.639999999999</v>
      </c>
      <c r="L9" s="163"/>
      <c r="M9" s="160">
        <v>3932346</v>
      </c>
      <c r="N9" s="148">
        <v>27927</v>
      </c>
      <c r="O9" s="167">
        <v>42944</v>
      </c>
      <c r="R9" s="153">
        <v>50725</v>
      </c>
      <c r="S9" s="132" t="s">
        <v>917</v>
      </c>
      <c r="T9" s="133">
        <v>69455.34</v>
      </c>
      <c r="U9" s="479" t="s">
        <v>941</v>
      </c>
      <c r="V9" s="210" t="s">
        <v>154</v>
      </c>
      <c r="W9" s="148">
        <v>8282</v>
      </c>
      <c r="X9" s="167">
        <v>42968</v>
      </c>
    </row>
    <row r="10" spans="1:24" ht="15.75" x14ac:dyDescent="0.25">
      <c r="A10" s="131">
        <v>42954</v>
      </c>
      <c r="B10" s="132" t="s">
        <v>849</v>
      </c>
      <c r="C10" s="133">
        <v>44382.76</v>
      </c>
      <c r="D10" s="128">
        <v>42961</v>
      </c>
      <c r="E10" s="133">
        <v>44382.76</v>
      </c>
      <c r="F10" s="135">
        <f t="shared" si="0"/>
        <v>0</v>
      </c>
      <c r="I10" s="45">
        <v>4338</v>
      </c>
      <c r="J10" s="126" t="s">
        <v>829</v>
      </c>
      <c r="K10" s="127">
        <v>4337.8</v>
      </c>
      <c r="L10" s="168"/>
      <c r="M10" s="160">
        <v>39323644</v>
      </c>
      <c r="N10" s="161">
        <v>35000</v>
      </c>
      <c r="O10" s="162">
        <v>42945</v>
      </c>
      <c r="R10" s="45"/>
      <c r="S10" s="393"/>
      <c r="T10" s="133"/>
      <c r="U10" s="479"/>
      <c r="V10" s="210">
        <v>3932563</v>
      </c>
      <c r="W10" s="148">
        <v>32801.5</v>
      </c>
      <c r="X10" s="167">
        <v>42970</v>
      </c>
    </row>
    <row r="11" spans="1:24" ht="15.75" x14ac:dyDescent="0.25">
      <c r="A11" s="131">
        <v>42954</v>
      </c>
      <c r="B11" s="132" t="s">
        <v>850</v>
      </c>
      <c r="C11" s="133">
        <v>450</v>
      </c>
      <c r="D11" s="128">
        <v>42961</v>
      </c>
      <c r="E11" s="133">
        <v>450</v>
      </c>
      <c r="F11" s="135">
        <f t="shared" si="0"/>
        <v>0</v>
      </c>
      <c r="I11" s="45">
        <f>4391.5+1785+20298+10138.5</f>
        <v>36613</v>
      </c>
      <c r="J11" s="132" t="s">
        <v>843</v>
      </c>
      <c r="K11" s="133">
        <v>36612.92</v>
      </c>
      <c r="L11" s="168"/>
      <c r="M11" s="160">
        <v>3932343</v>
      </c>
      <c r="N11" s="161">
        <v>18452</v>
      </c>
      <c r="O11" s="162">
        <v>42945</v>
      </c>
      <c r="R11" s="45"/>
      <c r="S11" s="290"/>
      <c r="T11" s="133"/>
      <c r="U11" s="479"/>
      <c r="V11" s="210">
        <v>3932564</v>
      </c>
      <c r="W11" s="148">
        <v>40000</v>
      </c>
      <c r="X11" s="167">
        <v>42971</v>
      </c>
    </row>
    <row r="12" spans="1:24" ht="15.75" x14ac:dyDescent="0.25">
      <c r="A12" s="131">
        <v>42956</v>
      </c>
      <c r="B12" s="132" t="s">
        <v>851</v>
      </c>
      <c r="C12" s="133">
        <v>37687.97</v>
      </c>
      <c r="D12" s="128">
        <v>42961</v>
      </c>
      <c r="E12" s="133">
        <v>37687.97</v>
      </c>
      <c r="F12" s="135">
        <f t="shared" si="0"/>
        <v>0</v>
      </c>
      <c r="I12" s="45">
        <f>13723+27871</f>
        <v>41594</v>
      </c>
      <c r="J12" s="132" t="s">
        <v>844</v>
      </c>
      <c r="K12" s="133">
        <v>41594.639999999999</v>
      </c>
      <c r="L12" s="168"/>
      <c r="M12" s="160">
        <v>3932342</v>
      </c>
      <c r="N12" s="161">
        <v>35000</v>
      </c>
      <c r="O12" s="162">
        <v>42946</v>
      </c>
      <c r="R12" s="45"/>
      <c r="S12" s="132"/>
      <c r="T12" s="133"/>
      <c r="U12" s="209"/>
      <c r="V12" s="210">
        <v>3932565</v>
      </c>
      <c r="W12" s="148">
        <v>13234.5</v>
      </c>
      <c r="X12" s="167">
        <v>42971</v>
      </c>
    </row>
    <row r="13" spans="1:24" ht="15.75" x14ac:dyDescent="0.25">
      <c r="A13" s="131">
        <v>42957</v>
      </c>
      <c r="B13" s="132" t="s">
        <v>876</v>
      </c>
      <c r="C13" s="133">
        <v>62861.65</v>
      </c>
      <c r="D13" s="128">
        <v>42970</v>
      </c>
      <c r="E13" s="133">
        <v>62861.65</v>
      </c>
      <c r="F13" s="135">
        <f>C13-E13</f>
        <v>0</v>
      </c>
      <c r="I13" s="45">
        <f>7265.5+37531.5</f>
        <v>44797</v>
      </c>
      <c r="J13" s="132" t="s">
        <v>845</v>
      </c>
      <c r="K13" s="133">
        <v>44797.22</v>
      </c>
      <c r="L13" s="168"/>
      <c r="M13" s="160">
        <v>3932341</v>
      </c>
      <c r="N13" s="161">
        <v>12455.5</v>
      </c>
      <c r="O13" s="162">
        <v>42946</v>
      </c>
      <c r="Q13">
        <v>24141</v>
      </c>
      <c r="R13" s="45">
        <v>9678.5</v>
      </c>
      <c r="S13" s="132"/>
      <c r="T13" s="133"/>
      <c r="U13" s="133"/>
      <c r="V13" s="210">
        <v>3932566</v>
      </c>
      <c r="W13" s="148">
        <v>25000</v>
      </c>
      <c r="X13" s="167">
        <v>42972</v>
      </c>
    </row>
    <row r="14" spans="1:24" ht="15.75" x14ac:dyDescent="0.25">
      <c r="A14" s="131">
        <v>42958</v>
      </c>
      <c r="B14" s="132" t="s">
        <v>852</v>
      </c>
      <c r="C14" s="133">
        <v>36099.199999999997</v>
      </c>
      <c r="D14" s="128" t="s">
        <v>913</v>
      </c>
      <c r="E14" s="133">
        <f>6072.78+30026.42</f>
        <v>36099.199999999997</v>
      </c>
      <c r="F14" s="135">
        <f>C14-E14</f>
        <v>0</v>
      </c>
      <c r="I14" s="45">
        <f>27252+7572.5</f>
        <v>34824.5</v>
      </c>
      <c r="J14" s="132" t="s">
        <v>846</v>
      </c>
      <c r="K14" s="133">
        <v>34824.400000000001</v>
      </c>
      <c r="L14" s="168"/>
      <c r="M14" s="160">
        <v>3932340</v>
      </c>
      <c r="N14" s="161">
        <v>20000</v>
      </c>
      <c r="O14" s="162">
        <v>42947</v>
      </c>
      <c r="R14" s="45">
        <v>13919</v>
      </c>
      <c r="S14" s="132"/>
      <c r="T14" s="133"/>
      <c r="U14" s="209"/>
      <c r="V14" s="210">
        <v>3932567</v>
      </c>
      <c r="W14" s="148">
        <v>8625</v>
      </c>
      <c r="X14" s="167">
        <v>42972</v>
      </c>
    </row>
    <row r="15" spans="1:24" ht="15.75" x14ac:dyDescent="0.25">
      <c r="A15" s="131">
        <v>42958</v>
      </c>
      <c r="B15" s="132" t="s">
        <v>877</v>
      </c>
      <c r="C15" s="133">
        <v>39050.22</v>
      </c>
      <c r="D15" s="128">
        <v>42970</v>
      </c>
      <c r="E15" s="133">
        <v>39050.22</v>
      </c>
      <c r="F15" s="135">
        <f>C15-E15</f>
        <v>0</v>
      </c>
      <c r="I15" s="45">
        <v>34669</v>
      </c>
      <c r="J15" s="132" t="s">
        <v>847</v>
      </c>
      <c r="K15" s="133">
        <v>34669.040000000001</v>
      </c>
      <c r="L15" s="168"/>
      <c r="M15" s="160">
        <v>3932339</v>
      </c>
      <c r="N15" s="161">
        <v>13972</v>
      </c>
      <c r="O15" s="162">
        <v>42947</v>
      </c>
      <c r="R15" s="45"/>
      <c r="S15" s="132"/>
      <c r="T15" s="133"/>
      <c r="U15" s="209"/>
      <c r="V15" s="270">
        <v>3932569</v>
      </c>
      <c r="W15" s="148">
        <v>12054</v>
      </c>
      <c r="X15" s="167">
        <v>42973</v>
      </c>
    </row>
    <row r="16" spans="1:24" ht="15.75" x14ac:dyDescent="0.25">
      <c r="A16" s="131">
        <v>42958</v>
      </c>
      <c r="B16" s="132" t="s">
        <v>880</v>
      </c>
      <c r="C16" s="133">
        <v>2419.1999999999998</v>
      </c>
      <c r="D16" s="128">
        <v>42970</v>
      </c>
      <c r="E16" s="133">
        <v>2419.1999999999998</v>
      </c>
      <c r="F16" s="135">
        <f>C16-E16</f>
        <v>0</v>
      </c>
      <c r="I16" s="45">
        <f>13613+19829.5</f>
        <v>33442.5</v>
      </c>
      <c r="J16" s="132" t="s">
        <v>848</v>
      </c>
      <c r="K16" s="133">
        <v>33442.449999999997</v>
      </c>
      <c r="L16" s="197"/>
      <c r="M16" s="160">
        <v>3932338</v>
      </c>
      <c r="N16" s="148">
        <v>20298</v>
      </c>
      <c r="O16" s="167">
        <v>42948</v>
      </c>
      <c r="R16" s="45"/>
      <c r="S16" s="132"/>
      <c r="T16" s="133"/>
      <c r="U16" s="209"/>
      <c r="V16" s="210">
        <v>3932568</v>
      </c>
      <c r="W16" s="148">
        <v>45000</v>
      </c>
      <c r="X16" s="167">
        <v>42973</v>
      </c>
    </row>
    <row r="17" spans="1:24" ht="15.75" x14ac:dyDescent="0.25">
      <c r="A17" s="131">
        <v>42959</v>
      </c>
      <c r="B17" s="132" t="s">
        <v>878</v>
      </c>
      <c r="C17" s="133">
        <v>101045.86</v>
      </c>
      <c r="D17" s="128">
        <v>42970</v>
      </c>
      <c r="E17" s="133">
        <v>101045.86</v>
      </c>
      <c r="F17" s="135">
        <f>C17-E17</f>
        <v>0</v>
      </c>
      <c r="I17" s="45">
        <f>23670.5+20712.5</f>
        <v>44383</v>
      </c>
      <c r="J17" s="132" t="s">
        <v>849</v>
      </c>
      <c r="K17" s="133">
        <v>44382.76</v>
      </c>
      <c r="L17" s="344"/>
      <c r="M17" s="160" t="s">
        <v>154</v>
      </c>
      <c r="N17" s="148">
        <v>1785</v>
      </c>
      <c r="O17" s="167">
        <v>42947</v>
      </c>
      <c r="R17" s="45"/>
      <c r="S17" s="132"/>
      <c r="T17" s="133"/>
      <c r="U17" s="209"/>
      <c r="V17" s="210"/>
      <c r="W17" s="148"/>
      <c r="X17" s="167"/>
    </row>
    <row r="18" spans="1:24" ht="16.5" thickBot="1" x14ac:dyDescent="0.3">
      <c r="A18" s="131">
        <v>42961</v>
      </c>
      <c r="B18" s="132" t="s">
        <v>879</v>
      </c>
      <c r="C18" s="133">
        <v>13948.48</v>
      </c>
      <c r="D18" s="128">
        <v>42970</v>
      </c>
      <c r="E18" s="133">
        <v>13948.48</v>
      </c>
      <c r="F18" s="135">
        <f t="shared" si="0"/>
        <v>0</v>
      </c>
      <c r="I18" s="45">
        <v>450</v>
      </c>
      <c r="J18" s="132" t="s">
        <v>850</v>
      </c>
      <c r="K18" s="133">
        <v>450</v>
      </c>
      <c r="L18" s="344"/>
      <c r="M18" s="160">
        <v>3932337</v>
      </c>
      <c r="N18" s="148">
        <v>23861.5</v>
      </c>
      <c r="O18" s="167">
        <v>42949</v>
      </c>
      <c r="R18" s="179">
        <v>0</v>
      </c>
      <c r="S18" s="209"/>
      <c r="T18" s="196">
        <v>0</v>
      </c>
      <c r="U18" s="209"/>
      <c r="V18" s="210"/>
      <c r="W18" s="148"/>
      <c r="X18" s="167"/>
    </row>
    <row r="19" spans="1:24" ht="16.5" thickBot="1" x14ac:dyDescent="0.3">
      <c r="A19" s="131">
        <v>42958</v>
      </c>
      <c r="B19" s="132" t="s">
        <v>909</v>
      </c>
      <c r="C19" s="133">
        <v>342</v>
      </c>
      <c r="D19" s="128" t="s">
        <v>890</v>
      </c>
      <c r="E19" s="133">
        <v>342</v>
      </c>
      <c r="F19" s="135">
        <f t="shared" si="0"/>
        <v>0</v>
      </c>
      <c r="I19" s="179">
        <f>17473+16228</f>
        <v>33701</v>
      </c>
      <c r="J19" s="132" t="s">
        <v>851</v>
      </c>
      <c r="K19" s="133">
        <v>37687.97</v>
      </c>
      <c r="L19" s="172"/>
      <c r="M19" s="160">
        <v>3932336</v>
      </c>
      <c r="N19" s="148">
        <v>35136.5</v>
      </c>
      <c r="O19" s="167">
        <v>42950</v>
      </c>
      <c r="R19" s="273">
        <f>SUM(R1:R18)</f>
        <v>372293.5</v>
      </c>
      <c r="S19" s="271"/>
      <c r="T19" s="275">
        <f>SUM(T2:T18)</f>
        <v>372294</v>
      </c>
      <c r="U19" s="276"/>
      <c r="V19" s="276"/>
      <c r="W19" s="275">
        <f>SUM(W2:W18)</f>
        <v>372294</v>
      </c>
      <c r="X19" s="272"/>
    </row>
    <row r="20" spans="1:24" ht="15.75" x14ac:dyDescent="0.25">
      <c r="A20" s="131">
        <v>42964</v>
      </c>
      <c r="B20" s="132" t="s">
        <v>896</v>
      </c>
      <c r="C20" s="133">
        <v>34542.89</v>
      </c>
      <c r="D20" s="128">
        <v>42970</v>
      </c>
      <c r="E20" s="133">
        <v>34542.89</v>
      </c>
      <c r="F20" s="135">
        <f t="shared" si="0"/>
        <v>0</v>
      </c>
      <c r="I20" s="179"/>
      <c r="J20" s="132" t="s">
        <v>852</v>
      </c>
      <c r="K20" s="133">
        <v>6072.78</v>
      </c>
      <c r="L20" s="172" t="s">
        <v>159</v>
      </c>
      <c r="M20" s="160" t="s">
        <v>154</v>
      </c>
      <c r="N20" s="148">
        <v>300</v>
      </c>
      <c r="O20" s="167">
        <v>42954</v>
      </c>
    </row>
    <row r="21" spans="1:24" ht="15.75" x14ac:dyDescent="0.25">
      <c r="A21" s="131">
        <v>42965</v>
      </c>
      <c r="B21" s="365" t="s">
        <v>897</v>
      </c>
      <c r="C21" s="364">
        <v>64288.1</v>
      </c>
      <c r="D21" s="128">
        <v>42970</v>
      </c>
      <c r="E21" s="364">
        <v>64288.1</v>
      </c>
      <c r="F21" s="135">
        <f t="shared" si="0"/>
        <v>0</v>
      </c>
      <c r="I21" s="179"/>
      <c r="J21" s="132"/>
      <c r="K21" s="133"/>
      <c r="L21" s="198"/>
      <c r="M21" s="160">
        <v>3932335</v>
      </c>
      <c r="N21" s="148">
        <v>30000</v>
      </c>
      <c r="O21" s="167">
        <v>42951</v>
      </c>
    </row>
    <row r="22" spans="1:24" ht="15.75" x14ac:dyDescent="0.25">
      <c r="A22" s="131">
        <v>42965</v>
      </c>
      <c r="B22" s="132" t="s">
        <v>898</v>
      </c>
      <c r="C22" s="133">
        <v>76346.559999999998</v>
      </c>
      <c r="D22" s="211" t="s">
        <v>942</v>
      </c>
      <c r="E22" s="133">
        <f>9051.68+67294.88</f>
        <v>76346.559999999998</v>
      </c>
      <c r="F22" s="135">
        <f t="shared" si="0"/>
        <v>0</v>
      </c>
      <c r="I22" s="179"/>
      <c r="J22" s="209"/>
      <c r="K22" s="196"/>
      <c r="L22" s="209"/>
      <c r="M22" s="160">
        <v>3932334</v>
      </c>
      <c r="N22" s="148">
        <v>34483.5</v>
      </c>
      <c r="O22" s="167">
        <v>42951</v>
      </c>
    </row>
    <row r="23" spans="1:24" ht="15.75" x14ac:dyDescent="0.25">
      <c r="A23" s="131">
        <v>42965</v>
      </c>
      <c r="B23" s="132">
        <v>304</v>
      </c>
      <c r="C23" s="133">
        <v>340.8</v>
      </c>
      <c r="D23" s="128" t="s">
        <v>890</v>
      </c>
      <c r="E23" s="133">
        <v>340.8</v>
      </c>
      <c r="F23" s="135">
        <f t="shared" si="0"/>
        <v>0</v>
      </c>
      <c r="I23" s="179"/>
      <c r="J23" s="209"/>
      <c r="K23" s="196"/>
      <c r="L23" s="209"/>
      <c r="M23" s="160">
        <v>3932333</v>
      </c>
      <c r="N23" s="148">
        <v>45000</v>
      </c>
      <c r="O23" s="167">
        <v>42952</v>
      </c>
    </row>
    <row r="24" spans="1:24" ht="15.75" x14ac:dyDescent="0.25">
      <c r="A24" s="131">
        <v>42966</v>
      </c>
      <c r="B24" s="132" t="s">
        <v>905</v>
      </c>
      <c r="C24" s="133">
        <v>30723.1</v>
      </c>
      <c r="D24" s="128">
        <v>42978</v>
      </c>
      <c r="E24" s="133">
        <v>30723.1</v>
      </c>
      <c r="F24" s="135">
        <f t="shared" si="0"/>
        <v>0</v>
      </c>
      <c r="I24" s="179"/>
      <c r="J24" s="209"/>
      <c r="K24" s="196"/>
      <c r="L24" s="209"/>
      <c r="M24" s="160">
        <v>3932332</v>
      </c>
      <c r="N24" s="148">
        <v>10854.5</v>
      </c>
      <c r="O24" s="167">
        <v>42952</v>
      </c>
    </row>
    <row r="25" spans="1:24" ht="15.75" x14ac:dyDescent="0.25">
      <c r="A25" s="131">
        <v>42968</v>
      </c>
      <c r="B25" s="132" t="s">
        <v>906</v>
      </c>
      <c r="C25" s="133">
        <v>29593.599999999999</v>
      </c>
      <c r="D25" s="128">
        <v>42978</v>
      </c>
      <c r="E25" s="133">
        <v>29593.599999999999</v>
      </c>
      <c r="F25" s="135">
        <f t="shared" si="0"/>
        <v>0</v>
      </c>
      <c r="I25" s="179"/>
      <c r="J25" s="209"/>
      <c r="K25" s="196"/>
      <c r="L25" s="209"/>
      <c r="M25" s="160">
        <v>3932331</v>
      </c>
      <c r="N25" s="148">
        <v>30000</v>
      </c>
      <c r="O25" s="167">
        <v>42953</v>
      </c>
    </row>
    <row r="26" spans="1:24" ht="15.75" x14ac:dyDescent="0.25">
      <c r="A26" s="131">
        <v>42968</v>
      </c>
      <c r="B26" s="132" t="s">
        <v>908</v>
      </c>
      <c r="C26" s="133">
        <v>30984.2</v>
      </c>
      <c r="D26" s="128">
        <v>42978</v>
      </c>
      <c r="E26" s="133">
        <v>30984.2</v>
      </c>
      <c r="F26" s="135">
        <f t="shared" si="0"/>
        <v>0</v>
      </c>
      <c r="I26" s="179"/>
      <c r="J26" s="209"/>
      <c r="K26" s="196"/>
      <c r="L26" s="209"/>
      <c r="M26" s="160">
        <v>3932330</v>
      </c>
      <c r="N26" s="148">
        <v>13545</v>
      </c>
      <c r="O26" s="167">
        <v>42953</v>
      </c>
    </row>
    <row r="27" spans="1:24" ht="15.75" x14ac:dyDescent="0.25">
      <c r="A27" s="131">
        <v>42969</v>
      </c>
      <c r="B27" s="132" t="s">
        <v>914</v>
      </c>
      <c r="C27" s="133">
        <v>40536.94</v>
      </c>
      <c r="D27" s="128">
        <v>42978</v>
      </c>
      <c r="E27" s="133">
        <v>40536.94</v>
      </c>
      <c r="F27" s="135">
        <f t="shared" si="0"/>
        <v>0</v>
      </c>
      <c r="I27" s="179"/>
      <c r="J27" s="209"/>
      <c r="K27" s="196"/>
      <c r="L27" s="209"/>
      <c r="M27" s="160">
        <v>3932329</v>
      </c>
      <c r="N27" s="148">
        <v>25000</v>
      </c>
      <c r="O27" s="167">
        <v>42954</v>
      </c>
    </row>
    <row r="28" spans="1:24" ht="15.75" x14ac:dyDescent="0.25">
      <c r="A28" s="131">
        <v>42970</v>
      </c>
      <c r="B28" s="132" t="s">
        <v>915</v>
      </c>
      <c r="C28" s="133">
        <v>65823.44</v>
      </c>
      <c r="D28" s="128">
        <v>42978</v>
      </c>
      <c r="E28" s="133">
        <v>65823.44</v>
      </c>
      <c r="F28" s="135">
        <f t="shared" si="0"/>
        <v>0</v>
      </c>
      <c r="I28" s="179"/>
      <c r="J28" s="209"/>
      <c r="K28" s="196"/>
      <c r="L28" s="209"/>
      <c r="M28" s="160">
        <v>3932328</v>
      </c>
      <c r="N28" s="148">
        <v>13635.5</v>
      </c>
      <c r="O28" s="167">
        <v>42954</v>
      </c>
    </row>
    <row r="29" spans="1:24" ht="15.75" x14ac:dyDescent="0.25">
      <c r="A29" s="131">
        <v>42970</v>
      </c>
      <c r="B29" s="366" t="s">
        <v>928</v>
      </c>
      <c r="C29" s="339">
        <v>4484</v>
      </c>
      <c r="D29" s="211" t="s">
        <v>929</v>
      </c>
      <c r="E29" s="339">
        <v>4484</v>
      </c>
      <c r="F29" s="135">
        <f t="shared" si="0"/>
        <v>0</v>
      </c>
      <c r="I29" s="179"/>
      <c r="J29" s="209"/>
      <c r="K29" s="196"/>
      <c r="L29" s="209"/>
      <c r="M29" s="210" t="s">
        <v>154</v>
      </c>
      <c r="N29" s="148">
        <v>1183</v>
      </c>
      <c r="O29" s="167">
        <v>42957</v>
      </c>
    </row>
    <row r="30" spans="1:24" ht="16.5" thickBot="1" x14ac:dyDescent="0.3">
      <c r="A30" s="131">
        <v>42971</v>
      </c>
      <c r="B30" s="366" t="s">
        <v>916</v>
      </c>
      <c r="C30" s="339">
        <v>37882.5</v>
      </c>
      <c r="D30" s="128">
        <v>42978</v>
      </c>
      <c r="E30" s="133">
        <v>37882.5</v>
      </c>
      <c r="F30" s="135">
        <f t="shared" si="0"/>
        <v>0</v>
      </c>
      <c r="I30" s="179">
        <v>0</v>
      </c>
      <c r="J30" s="209"/>
      <c r="K30" s="196">
        <v>0</v>
      </c>
      <c r="L30" s="209"/>
      <c r="M30" s="210">
        <v>3932327</v>
      </c>
      <c r="N30" s="148">
        <v>15000</v>
      </c>
      <c r="O30" s="167">
        <v>42955</v>
      </c>
    </row>
    <row r="31" spans="1:24" ht="16.5" thickBot="1" x14ac:dyDescent="0.3">
      <c r="A31" s="131">
        <v>42972</v>
      </c>
      <c r="B31" s="132" t="s">
        <v>917</v>
      </c>
      <c r="C31" s="133">
        <v>80391.08</v>
      </c>
      <c r="D31" s="329" t="s">
        <v>965</v>
      </c>
      <c r="E31" s="133">
        <f>69455.34+10935.74</f>
        <v>80391.08</v>
      </c>
      <c r="F31" s="135">
        <f t="shared" si="0"/>
        <v>0</v>
      </c>
      <c r="I31" s="273">
        <f>SUM(I1:I30)</f>
        <v>595280.5</v>
      </c>
      <c r="J31" s="271"/>
      <c r="K31" s="275">
        <f>SUM(K2:K30)</f>
        <v>595280.5</v>
      </c>
      <c r="L31" s="276"/>
      <c r="M31" s="276"/>
      <c r="N31" s="275">
        <f>SUM(N2:N30)</f>
        <v>595280.5</v>
      </c>
      <c r="O31" s="272"/>
    </row>
    <row r="32" spans="1:24" ht="15.75" x14ac:dyDescent="0.25">
      <c r="A32" s="131">
        <v>42973</v>
      </c>
      <c r="B32" s="393" t="s">
        <v>918</v>
      </c>
      <c r="C32" s="133">
        <v>74369.600000000006</v>
      </c>
      <c r="D32" s="128">
        <v>42987</v>
      </c>
      <c r="E32" s="133">
        <v>74369.600000000006</v>
      </c>
      <c r="F32" s="135">
        <f t="shared" si="0"/>
        <v>0</v>
      </c>
      <c r="I32" s="284"/>
      <c r="J32" s="39"/>
      <c r="K32" s="482"/>
      <c r="L32" s="483"/>
      <c r="M32" s="483"/>
      <c r="N32" s="482"/>
      <c r="O32" s="39"/>
    </row>
    <row r="33" spans="1:15" ht="15.75" x14ac:dyDescent="0.25">
      <c r="A33" s="287">
        <v>42975</v>
      </c>
      <c r="B33" s="290" t="s">
        <v>919</v>
      </c>
      <c r="C33" s="133">
        <v>77338.5</v>
      </c>
      <c r="D33" s="128">
        <v>42987</v>
      </c>
      <c r="E33" s="133">
        <v>77338.5</v>
      </c>
      <c r="F33" s="135">
        <f t="shared" si="0"/>
        <v>0</v>
      </c>
      <c r="I33" s="284"/>
      <c r="J33" s="39"/>
      <c r="K33" s="482"/>
      <c r="L33" s="483"/>
      <c r="M33" s="483"/>
      <c r="N33" s="482"/>
      <c r="O33" s="39"/>
    </row>
    <row r="34" spans="1:15" ht="16.5" thickBot="1" x14ac:dyDescent="0.3">
      <c r="A34" s="287">
        <v>42976</v>
      </c>
      <c r="B34" s="290" t="s">
        <v>948</v>
      </c>
      <c r="C34" s="133">
        <v>2427</v>
      </c>
      <c r="D34" s="128">
        <v>42987</v>
      </c>
      <c r="E34" s="133">
        <v>2427</v>
      </c>
      <c r="F34" s="135">
        <f t="shared" si="0"/>
        <v>0</v>
      </c>
      <c r="I34" s="45"/>
      <c r="J34" s="154"/>
      <c r="K34" s="390">
        <v>42970</v>
      </c>
      <c r="L34" s="216"/>
      <c r="M34" s="217" t="s">
        <v>141</v>
      </c>
      <c r="N34" s="111"/>
      <c r="O34" s="158"/>
    </row>
    <row r="35" spans="1:15" ht="16.5" thickTop="1" x14ac:dyDescent="0.25">
      <c r="A35" s="287">
        <v>42978</v>
      </c>
      <c r="B35" s="290" t="s">
        <v>949</v>
      </c>
      <c r="C35" s="133">
        <v>32799.199999999997</v>
      </c>
      <c r="D35" s="128">
        <v>42987</v>
      </c>
      <c r="E35" s="133">
        <v>32799.199999999997</v>
      </c>
      <c r="F35" s="135">
        <f t="shared" si="0"/>
        <v>0</v>
      </c>
      <c r="I35" s="45">
        <f>2178+27245.5+25087.5+10528.5</f>
        <v>65039.5</v>
      </c>
      <c r="J35" s="132" t="s">
        <v>876</v>
      </c>
      <c r="K35" s="133">
        <v>62861.65</v>
      </c>
      <c r="L35" s="214"/>
      <c r="M35" s="160">
        <v>3932326</v>
      </c>
      <c r="N35" s="161">
        <v>29423.5</v>
      </c>
      <c r="O35" s="162">
        <v>42956</v>
      </c>
    </row>
    <row r="36" spans="1:15" ht="15.75" x14ac:dyDescent="0.25">
      <c r="A36" s="287">
        <v>42978</v>
      </c>
      <c r="B36" s="290" t="s">
        <v>950</v>
      </c>
      <c r="C36" s="133">
        <v>44833.63</v>
      </c>
      <c r="D36" s="128">
        <v>42987</v>
      </c>
      <c r="E36" s="133">
        <v>44833.63</v>
      </c>
      <c r="F36" s="135">
        <f t="shared" si="0"/>
        <v>0</v>
      </c>
      <c r="I36" s="45">
        <v>36099</v>
      </c>
      <c r="J36" s="132" t="s">
        <v>852</v>
      </c>
      <c r="K36" s="133">
        <v>30026.42</v>
      </c>
      <c r="L36" s="197" t="s">
        <v>143</v>
      </c>
      <c r="M36" s="198">
        <v>3932325</v>
      </c>
      <c r="N36" s="148">
        <v>20000</v>
      </c>
      <c r="O36" s="167">
        <v>42957</v>
      </c>
    </row>
    <row r="37" spans="1:15" ht="15.75" x14ac:dyDescent="0.25">
      <c r="A37" s="287">
        <v>42978</v>
      </c>
      <c r="B37" s="290" t="s">
        <v>951</v>
      </c>
      <c r="C37" s="133">
        <v>722.4</v>
      </c>
      <c r="D37" s="128">
        <v>42987</v>
      </c>
      <c r="E37" s="133">
        <v>722.4</v>
      </c>
      <c r="F37" s="135">
        <f t="shared" si="0"/>
        <v>0</v>
      </c>
      <c r="I37" s="45">
        <f>12287.5+26762.5</f>
        <v>39050</v>
      </c>
      <c r="J37" s="132" t="s">
        <v>877</v>
      </c>
      <c r="K37" s="133">
        <v>39050.22</v>
      </c>
      <c r="L37" s="344"/>
      <c r="M37" s="270" t="s">
        <v>154</v>
      </c>
      <c r="N37" s="148">
        <v>5087.5</v>
      </c>
      <c r="O37" s="167">
        <v>42959</v>
      </c>
    </row>
    <row r="38" spans="1:15" ht="15.75" x14ac:dyDescent="0.25">
      <c r="A38" s="287">
        <v>42978</v>
      </c>
      <c r="B38" s="367" t="s">
        <v>952</v>
      </c>
      <c r="C38" s="133">
        <v>8460</v>
      </c>
      <c r="D38" s="128">
        <v>42987</v>
      </c>
      <c r="E38" s="133">
        <v>8460</v>
      </c>
      <c r="F38" s="135">
        <f t="shared" si="0"/>
        <v>0</v>
      </c>
      <c r="I38" s="45">
        <v>2419</v>
      </c>
      <c r="J38" s="132" t="s">
        <v>880</v>
      </c>
      <c r="K38" s="133">
        <v>2419.1999999999998</v>
      </c>
      <c r="L38" s="344"/>
      <c r="M38" s="270">
        <v>3932324</v>
      </c>
      <c r="N38" s="148">
        <v>30000</v>
      </c>
      <c r="O38" s="167">
        <v>42958</v>
      </c>
    </row>
    <row r="39" spans="1:15" ht="15.75" x14ac:dyDescent="0.25">
      <c r="A39" s="287">
        <v>42978</v>
      </c>
      <c r="B39" s="367">
        <v>376</v>
      </c>
      <c r="C39" s="133">
        <v>4420.8</v>
      </c>
      <c r="D39" s="128" t="s">
        <v>957</v>
      </c>
      <c r="E39" s="133">
        <v>4420.8</v>
      </c>
      <c r="F39" s="135">
        <f t="shared" si="0"/>
        <v>0</v>
      </c>
      <c r="I39" s="45">
        <f>30008.5+10284+52921.5+7832</f>
        <v>101046</v>
      </c>
      <c r="J39" s="132" t="s">
        <v>878</v>
      </c>
      <c r="K39" s="133">
        <v>101045.86</v>
      </c>
      <c r="L39" s="172"/>
      <c r="M39" s="198">
        <v>3932323</v>
      </c>
      <c r="N39" s="148">
        <v>28915</v>
      </c>
      <c r="O39" s="167">
        <v>42958</v>
      </c>
    </row>
    <row r="40" spans="1:15" ht="15.75" x14ac:dyDescent="0.25">
      <c r="A40" s="287"/>
      <c r="B40" s="367"/>
      <c r="C40" s="133"/>
      <c r="D40" s="128"/>
      <c r="E40" s="133"/>
      <c r="F40" s="135">
        <f t="shared" si="0"/>
        <v>0</v>
      </c>
      <c r="I40" s="45">
        <v>13648.48</v>
      </c>
      <c r="J40" s="132" t="s">
        <v>879</v>
      </c>
      <c r="K40" s="133">
        <v>13948.48</v>
      </c>
      <c r="L40" s="172"/>
      <c r="M40" s="198">
        <v>3932322</v>
      </c>
      <c r="N40" s="148">
        <v>40000</v>
      </c>
      <c r="O40" s="167">
        <v>42959</v>
      </c>
    </row>
    <row r="41" spans="1:15" ht="15.75" x14ac:dyDescent="0.25">
      <c r="A41" s="287"/>
      <c r="B41" s="290"/>
      <c r="C41" s="133"/>
      <c r="D41" s="128"/>
      <c r="E41" s="133"/>
      <c r="F41" s="289">
        <f t="shared" si="0"/>
        <v>0</v>
      </c>
      <c r="I41" s="45">
        <f>10780.02+1442+22662+10439</f>
        <v>45323.020000000004</v>
      </c>
      <c r="J41" s="132" t="s">
        <v>910</v>
      </c>
      <c r="K41" s="133">
        <v>34542.89</v>
      </c>
      <c r="L41" s="198"/>
      <c r="M41" s="274">
        <v>3932320</v>
      </c>
      <c r="N41" s="148">
        <v>19190</v>
      </c>
      <c r="O41" s="167">
        <v>42959</v>
      </c>
    </row>
    <row r="42" spans="1:15" ht="15.75" x14ac:dyDescent="0.25">
      <c r="A42" s="287"/>
      <c r="B42" s="290"/>
      <c r="C42" s="133"/>
      <c r="D42" s="128"/>
      <c r="E42" s="133"/>
      <c r="F42" s="289">
        <f t="shared" si="0"/>
        <v>0</v>
      </c>
      <c r="I42" s="45">
        <v>54609.5</v>
      </c>
      <c r="J42" s="365" t="s">
        <v>897</v>
      </c>
      <c r="K42" s="364">
        <v>64288.1</v>
      </c>
      <c r="L42" s="209"/>
      <c r="M42" s="210">
        <v>3932319</v>
      </c>
      <c r="N42" s="148">
        <v>35000</v>
      </c>
      <c r="O42" s="167">
        <v>42960</v>
      </c>
    </row>
    <row r="43" spans="1:15" ht="15.75" x14ac:dyDescent="0.25">
      <c r="A43" s="287"/>
      <c r="B43" s="291"/>
      <c r="C43" s="139"/>
      <c r="D43" s="128"/>
      <c r="E43" s="148"/>
      <c r="F43" s="166">
        <f t="shared" si="0"/>
        <v>0</v>
      </c>
      <c r="I43" s="45"/>
      <c r="J43" s="132" t="s">
        <v>898</v>
      </c>
      <c r="K43" s="133">
        <v>9051.68</v>
      </c>
      <c r="L43" s="479" t="s">
        <v>368</v>
      </c>
      <c r="M43" s="210">
        <v>3932318</v>
      </c>
      <c r="N43" s="148">
        <v>13000</v>
      </c>
      <c r="O43" s="167">
        <v>42960</v>
      </c>
    </row>
    <row r="44" spans="1:15" ht="16.5" thickBot="1" x14ac:dyDescent="0.3">
      <c r="A44" s="131"/>
      <c r="B44" s="291"/>
      <c r="C44" s="139"/>
      <c r="D44" s="209"/>
      <c r="E44" s="139"/>
      <c r="F44" s="166">
        <f t="shared" si="0"/>
        <v>0</v>
      </c>
      <c r="I44" s="45"/>
      <c r="J44" s="132"/>
      <c r="K44" s="133"/>
      <c r="L44" s="479"/>
      <c r="M44" s="210" t="s">
        <v>154</v>
      </c>
      <c r="N44" s="148">
        <v>4921.5</v>
      </c>
      <c r="O44" s="167">
        <v>42962</v>
      </c>
    </row>
    <row r="45" spans="1:15" ht="16.5" thickBot="1" x14ac:dyDescent="0.3">
      <c r="A45" s="271"/>
      <c r="B45" s="335"/>
      <c r="C45" s="336">
        <f>SUM(C3:C44)</f>
        <v>1309874.1499999999</v>
      </c>
      <c r="D45" s="335"/>
      <c r="E45" s="275">
        <f>SUM(E3:E44)</f>
        <v>1309874.1499999999</v>
      </c>
      <c r="F45" s="488">
        <f>SUM(F3:F44)</f>
        <v>0</v>
      </c>
      <c r="I45" s="45"/>
      <c r="J45" s="132"/>
      <c r="K45" s="133"/>
      <c r="L45" s="209"/>
      <c r="M45" s="210">
        <v>3932504</v>
      </c>
      <c r="N45" s="148">
        <v>10284</v>
      </c>
      <c r="O45" s="167">
        <v>42959</v>
      </c>
    </row>
    <row r="46" spans="1:15" ht="15.75" x14ac:dyDescent="0.25">
      <c r="I46" s="45"/>
      <c r="J46" s="132"/>
      <c r="K46" s="133"/>
      <c r="L46" s="133"/>
      <c r="M46" s="210">
        <v>3932316</v>
      </c>
      <c r="N46" s="148">
        <v>32260.5</v>
      </c>
      <c r="O46" s="167">
        <v>42961</v>
      </c>
    </row>
    <row r="47" spans="1:15" ht="15.75" x14ac:dyDescent="0.25">
      <c r="I47" s="45"/>
      <c r="J47" s="132"/>
      <c r="K47" s="133"/>
      <c r="L47" s="209"/>
      <c r="M47" s="210">
        <v>3932553</v>
      </c>
      <c r="N47" s="148">
        <v>22662</v>
      </c>
      <c r="O47" s="167">
        <v>42964</v>
      </c>
    </row>
    <row r="48" spans="1:15" ht="15.75" x14ac:dyDescent="0.25">
      <c r="I48" s="45"/>
      <c r="J48" s="132"/>
      <c r="K48" s="133"/>
      <c r="L48" s="209"/>
      <c r="M48" s="270" t="s">
        <v>154</v>
      </c>
      <c r="N48" s="148">
        <v>1442</v>
      </c>
      <c r="O48" s="167">
        <v>42962</v>
      </c>
    </row>
    <row r="49" spans="9:15" ht="15.75" x14ac:dyDescent="0.25">
      <c r="I49" s="45"/>
      <c r="J49" s="132"/>
      <c r="K49" s="133"/>
      <c r="L49" s="209"/>
      <c r="M49" s="210">
        <v>3932554</v>
      </c>
      <c r="N49" s="148">
        <v>40000</v>
      </c>
      <c r="O49" s="167">
        <v>42965</v>
      </c>
    </row>
    <row r="50" spans="9:15" ht="15.75" x14ac:dyDescent="0.25">
      <c r="I50" s="45"/>
      <c r="J50" s="132"/>
      <c r="K50" s="133"/>
      <c r="L50" s="209"/>
      <c r="M50" s="210">
        <v>3932555</v>
      </c>
      <c r="N50" s="148">
        <v>25048.5</v>
      </c>
      <c r="O50" s="167">
        <v>42965</v>
      </c>
    </row>
    <row r="51" spans="9:15" ht="16.5" thickBot="1" x14ac:dyDescent="0.3">
      <c r="I51" s="179">
        <v>0</v>
      </c>
      <c r="J51" s="209"/>
      <c r="K51" s="196">
        <v>0</v>
      </c>
      <c r="L51" s="209"/>
      <c r="M51" s="210"/>
      <c r="N51" s="148"/>
      <c r="O51" s="167"/>
    </row>
    <row r="52" spans="9:15" ht="16.5" thickBot="1" x14ac:dyDescent="0.3">
      <c r="I52" s="273">
        <f>SUM(I34:I51)</f>
        <v>357234.5</v>
      </c>
      <c r="J52" s="271"/>
      <c r="K52" s="275">
        <f>SUM(K35:K51)</f>
        <v>357234.5</v>
      </c>
      <c r="L52" s="276"/>
      <c r="M52" s="276"/>
      <c r="N52" s="275">
        <f>SUM(N35:N51)</f>
        <v>357234.5</v>
      </c>
      <c r="O52" s="272"/>
    </row>
  </sheetData>
  <sortState ref="A15:C18">
    <sortCondition ref="B15:B18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68"/>
  <sheetViews>
    <sheetView topLeftCell="A10" workbookViewId="0">
      <selection activeCell="J22" sqref="J2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</cols>
  <sheetData>
    <row r="1" spans="1:13" ht="23.25" x14ac:dyDescent="0.35">
      <c r="A1" s="1"/>
      <c r="B1" s="594" t="s">
        <v>943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3" ht="15.75" thickBot="1" x14ac:dyDescent="0.3">
      <c r="A2" s="1"/>
      <c r="B2" s="5"/>
      <c r="D2" s="496"/>
      <c r="E2" s="8"/>
      <c r="L2" s="9"/>
      <c r="M2" s="3"/>
    </row>
    <row r="3" spans="1:13" ht="19.5" customHeight="1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9"/>
      <c r="M3" s="3"/>
    </row>
    <row r="4" spans="1:13" ht="20.25" thickTop="1" thickBot="1" x14ac:dyDescent="0.35">
      <c r="A4" s="582"/>
      <c r="B4" s="13">
        <v>204212.18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3" ht="16.5" thickTop="1" thickBot="1" x14ac:dyDescent="0.3">
      <c r="A5" s="412">
        <v>42979</v>
      </c>
      <c r="B5" s="413">
        <v>36357.5</v>
      </c>
      <c r="C5" s="20" t="s">
        <v>969</v>
      </c>
      <c r="D5" s="433">
        <v>42979</v>
      </c>
      <c r="E5" s="434">
        <v>38105</v>
      </c>
      <c r="F5" s="23"/>
      <c r="G5" s="24">
        <v>42979</v>
      </c>
      <c r="H5" s="439">
        <v>0</v>
      </c>
      <c r="I5" s="26"/>
      <c r="J5" s="451"/>
      <c r="K5" s="451"/>
      <c r="L5" s="491" t="s">
        <v>968</v>
      </c>
      <c r="M5" s="29"/>
    </row>
    <row r="6" spans="1:13" ht="15.75" thickBot="1" x14ac:dyDescent="0.3">
      <c r="A6" s="414">
        <v>42980</v>
      </c>
      <c r="B6" s="415">
        <v>84339.5</v>
      </c>
      <c r="C6" s="20" t="s">
        <v>970</v>
      </c>
      <c r="D6" s="435">
        <v>42980</v>
      </c>
      <c r="E6" s="436">
        <v>86478</v>
      </c>
      <c r="F6" s="36"/>
      <c r="G6" s="24">
        <v>42980</v>
      </c>
      <c r="H6" s="440">
        <v>0</v>
      </c>
      <c r="I6" s="38"/>
      <c r="J6" s="106" t="s">
        <v>15</v>
      </c>
      <c r="K6" s="452">
        <v>599</v>
      </c>
      <c r="L6" s="445" t="s">
        <v>973</v>
      </c>
      <c r="M6" s="29"/>
    </row>
    <row r="7" spans="1:13" ht="15.75" thickBot="1" x14ac:dyDescent="0.3">
      <c r="A7" s="414">
        <v>42981</v>
      </c>
      <c r="B7" s="415">
        <v>56526.35</v>
      </c>
      <c r="C7" s="20" t="s">
        <v>974</v>
      </c>
      <c r="D7" s="435">
        <v>42981</v>
      </c>
      <c r="E7" s="436">
        <v>56536.35</v>
      </c>
      <c r="F7" s="23"/>
      <c r="G7" s="24">
        <v>42981</v>
      </c>
      <c r="H7" s="440">
        <v>10</v>
      </c>
      <c r="I7" s="38"/>
      <c r="J7" s="459" t="s">
        <v>1071</v>
      </c>
      <c r="K7" s="453">
        <v>8502.5</v>
      </c>
      <c r="L7" s="445" t="s">
        <v>972</v>
      </c>
      <c r="M7" s="29"/>
    </row>
    <row r="8" spans="1:13" ht="15.75" thickBot="1" x14ac:dyDescent="0.3">
      <c r="A8" s="414">
        <v>42982</v>
      </c>
      <c r="B8" s="415">
        <v>80171.5</v>
      </c>
      <c r="C8" s="48" t="s">
        <v>976</v>
      </c>
      <c r="D8" s="435">
        <v>42982</v>
      </c>
      <c r="E8" s="436">
        <v>80851.5</v>
      </c>
      <c r="F8" s="23"/>
      <c r="G8" s="24">
        <v>42982</v>
      </c>
      <c r="H8" s="440">
        <v>33</v>
      </c>
      <c r="I8" s="38"/>
      <c r="J8" s="106" t="s">
        <v>22</v>
      </c>
      <c r="K8" s="489">
        <f>7187.5+7187.5+7187.5+7187.5</f>
        <v>28750</v>
      </c>
      <c r="L8" s="445" t="s">
        <v>975</v>
      </c>
      <c r="M8" s="29"/>
    </row>
    <row r="9" spans="1:13" ht="15.75" thickBot="1" x14ac:dyDescent="0.3">
      <c r="A9" s="414">
        <v>42983</v>
      </c>
      <c r="B9" s="415">
        <v>16174.5</v>
      </c>
      <c r="C9" s="50" t="s">
        <v>978</v>
      </c>
      <c r="D9" s="435">
        <v>42983</v>
      </c>
      <c r="E9" s="436">
        <v>16174.5</v>
      </c>
      <c r="F9" s="23"/>
      <c r="G9" s="24">
        <v>42983</v>
      </c>
      <c r="H9" s="440">
        <v>0</v>
      </c>
      <c r="I9" s="38" t="s">
        <v>971</v>
      </c>
      <c r="J9" s="106" t="s">
        <v>944</v>
      </c>
      <c r="K9" s="191">
        <v>13692.47</v>
      </c>
      <c r="L9" s="445" t="s">
        <v>977</v>
      </c>
      <c r="M9" s="29"/>
    </row>
    <row r="10" spans="1:13" ht="15.75" thickBot="1" x14ac:dyDescent="0.3">
      <c r="A10" s="414">
        <v>42984</v>
      </c>
      <c r="B10" s="415">
        <v>42057.5</v>
      </c>
      <c r="C10" s="48" t="s">
        <v>978</v>
      </c>
      <c r="D10" s="435">
        <v>42984</v>
      </c>
      <c r="E10" s="436">
        <v>35413.5</v>
      </c>
      <c r="F10" s="23"/>
      <c r="G10" s="24">
        <v>42984</v>
      </c>
      <c r="H10" s="440">
        <v>0</v>
      </c>
      <c r="I10" s="51" t="s">
        <v>1028</v>
      </c>
      <c r="J10" s="106" t="s">
        <v>945</v>
      </c>
      <c r="K10" s="191">
        <v>8463.15</v>
      </c>
      <c r="L10" s="445" t="s">
        <v>1002</v>
      </c>
      <c r="M10" s="29"/>
    </row>
    <row r="11" spans="1:13" ht="15.75" thickBot="1" x14ac:dyDescent="0.3">
      <c r="A11" s="414">
        <v>42985</v>
      </c>
      <c r="B11" s="415">
        <v>18970</v>
      </c>
      <c r="C11" s="48" t="s">
        <v>978</v>
      </c>
      <c r="D11" s="435">
        <v>42985</v>
      </c>
      <c r="E11" s="436">
        <v>26859</v>
      </c>
      <c r="F11" s="23"/>
      <c r="G11" s="24">
        <v>42985</v>
      </c>
      <c r="H11" s="440">
        <v>0</v>
      </c>
      <c r="I11" s="51" t="s">
        <v>1029</v>
      </c>
      <c r="J11" s="106" t="s">
        <v>946</v>
      </c>
      <c r="K11" s="191">
        <v>9248.86</v>
      </c>
      <c r="L11" s="445" t="s">
        <v>1001</v>
      </c>
      <c r="M11" s="29"/>
    </row>
    <row r="12" spans="1:13" ht="15.75" thickBot="1" x14ac:dyDescent="0.3">
      <c r="A12" s="414">
        <v>42986</v>
      </c>
      <c r="B12" s="415">
        <v>47681.5</v>
      </c>
      <c r="C12" s="48" t="s">
        <v>998</v>
      </c>
      <c r="D12" s="435">
        <v>42986</v>
      </c>
      <c r="E12" s="436">
        <v>47681.5</v>
      </c>
      <c r="F12" s="23"/>
      <c r="G12" s="24">
        <v>42986</v>
      </c>
      <c r="H12" s="440">
        <v>0</v>
      </c>
      <c r="I12" s="51" t="s">
        <v>1056</v>
      </c>
      <c r="J12" s="106" t="s">
        <v>947</v>
      </c>
      <c r="K12" s="191">
        <v>8234.57</v>
      </c>
      <c r="L12" s="445" t="s">
        <v>1000</v>
      </c>
      <c r="M12" s="29"/>
    </row>
    <row r="13" spans="1:13" ht="15.75" thickBot="1" x14ac:dyDescent="0.3">
      <c r="A13" s="414">
        <v>42987</v>
      </c>
      <c r="B13" s="415">
        <v>68983</v>
      </c>
      <c r="C13" s="48" t="s">
        <v>1003</v>
      </c>
      <c r="D13" s="435">
        <v>42987</v>
      </c>
      <c r="E13" s="436">
        <v>68983</v>
      </c>
      <c r="F13" s="23"/>
      <c r="G13" s="24">
        <v>42987</v>
      </c>
      <c r="H13" s="440">
        <v>0</v>
      </c>
      <c r="I13" s="51" t="s">
        <v>1057</v>
      </c>
      <c r="J13" s="368" t="s">
        <v>1058</v>
      </c>
      <c r="K13" s="452">
        <v>8234.57</v>
      </c>
      <c r="L13" s="445" t="s">
        <v>999</v>
      </c>
      <c r="M13" s="29"/>
    </row>
    <row r="14" spans="1:13" ht="15.75" thickBot="1" x14ac:dyDescent="0.3">
      <c r="A14" s="414">
        <v>42988</v>
      </c>
      <c r="B14" s="415">
        <v>45007.5</v>
      </c>
      <c r="C14" s="50" t="s">
        <v>1005</v>
      </c>
      <c r="D14" s="435">
        <v>42988</v>
      </c>
      <c r="E14" s="436">
        <v>47948.5</v>
      </c>
      <c r="F14" s="23"/>
      <c r="G14" s="24">
        <v>42988</v>
      </c>
      <c r="H14" s="440">
        <v>10</v>
      </c>
      <c r="I14" s="38"/>
      <c r="J14" s="460"/>
      <c r="K14" s="452">
        <v>0</v>
      </c>
      <c r="L14" s="445" t="s">
        <v>1004</v>
      </c>
      <c r="M14" s="29"/>
    </row>
    <row r="15" spans="1:13" ht="15.75" thickBot="1" x14ac:dyDescent="0.3">
      <c r="A15" s="414">
        <v>42989</v>
      </c>
      <c r="B15" s="415">
        <v>68262.5</v>
      </c>
      <c r="C15" s="50" t="s">
        <v>1007</v>
      </c>
      <c r="D15" s="435">
        <v>42989</v>
      </c>
      <c r="E15" s="436">
        <v>68262.5</v>
      </c>
      <c r="F15" s="23"/>
      <c r="G15" s="24">
        <v>42989</v>
      </c>
      <c r="H15" s="440">
        <v>0</v>
      </c>
      <c r="I15" s="38"/>
      <c r="J15" s="481" t="s">
        <v>44</v>
      </c>
      <c r="K15" s="452">
        <v>0</v>
      </c>
      <c r="L15" s="445" t="s">
        <v>1006</v>
      </c>
      <c r="M15" s="456"/>
    </row>
    <row r="16" spans="1:13" ht="15.75" thickBot="1" x14ac:dyDescent="0.3">
      <c r="A16" s="414">
        <v>42990</v>
      </c>
      <c r="B16" s="415">
        <v>24855.5</v>
      </c>
      <c r="C16" s="50" t="s">
        <v>1009</v>
      </c>
      <c r="D16" s="435">
        <v>42990</v>
      </c>
      <c r="E16" s="436">
        <v>24855.5</v>
      </c>
      <c r="F16" s="23"/>
      <c r="G16" s="24">
        <v>42990</v>
      </c>
      <c r="H16" s="440">
        <v>0</v>
      </c>
      <c r="I16" s="38"/>
      <c r="J16" s="54"/>
      <c r="K16" s="455">
        <v>0</v>
      </c>
      <c r="L16" s="445" t="s">
        <v>1008</v>
      </c>
      <c r="M16" s="29"/>
    </row>
    <row r="17" spans="1:13" ht="15.75" customHeight="1" thickBot="1" x14ac:dyDescent="0.3">
      <c r="A17" s="414">
        <v>42991</v>
      </c>
      <c r="B17" s="415">
        <v>36892.5</v>
      </c>
      <c r="C17" s="50" t="s">
        <v>1011</v>
      </c>
      <c r="D17" s="435">
        <v>42991</v>
      </c>
      <c r="E17" s="436">
        <v>37775.5</v>
      </c>
      <c r="F17" s="23"/>
      <c r="G17" s="24">
        <v>42991</v>
      </c>
      <c r="H17" s="440">
        <v>33</v>
      </c>
      <c r="I17" s="38"/>
      <c r="J17" s="591" t="s">
        <v>49</v>
      </c>
      <c r="K17" s="455">
        <v>850</v>
      </c>
      <c r="L17" s="445" t="s">
        <v>1010</v>
      </c>
      <c r="M17" s="29"/>
    </row>
    <row r="18" spans="1:13" ht="15.75" thickBot="1" x14ac:dyDescent="0.3">
      <c r="A18" s="414">
        <v>42992</v>
      </c>
      <c r="B18" s="415">
        <v>63097</v>
      </c>
      <c r="C18" s="48" t="s">
        <v>1013</v>
      </c>
      <c r="D18" s="435">
        <v>42992</v>
      </c>
      <c r="E18" s="436">
        <v>63097</v>
      </c>
      <c r="F18" s="23"/>
      <c r="G18" s="24">
        <v>42992</v>
      </c>
      <c r="H18" s="440">
        <v>0</v>
      </c>
      <c r="I18" s="56"/>
      <c r="J18" s="591"/>
      <c r="K18" s="456">
        <v>0</v>
      </c>
      <c r="L18" s="445" t="s">
        <v>1012</v>
      </c>
      <c r="M18" s="29"/>
    </row>
    <row r="19" spans="1:13" ht="16.5" thickBot="1" x14ac:dyDescent="0.3">
      <c r="A19" s="414">
        <v>42993</v>
      </c>
      <c r="B19" s="415">
        <v>78823</v>
      </c>
      <c r="C19" s="50" t="s">
        <v>1015</v>
      </c>
      <c r="D19" s="435">
        <v>42993</v>
      </c>
      <c r="E19" s="436">
        <v>70485</v>
      </c>
      <c r="F19" s="23"/>
      <c r="G19" s="24">
        <v>42993</v>
      </c>
      <c r="H19" s="440">
        <v>0</v>
      </c>
      <c r="I19" s="38"/>
      <c r="J19" s="368" t="s">
        <v>54</v>
      </c>
      <c r="K19" s="456">
        <v>0</v>
      </c>
      <c r="L19" s="445" t="s">
        <v>1014</v>
      </c>
      <c r="M19" s="495"/>
    </row>
    <row r="20" spans="1:13" ht="16.5" thickBot="1" x14ac:dyDescent="0.3">
      <c r="A20" s="414">
        <v>42994</v>
      </c>
      <c r="B20" s="415">
        <v>59111.5</v>
      </c>
      <c r="C20" s="57" t="s">
        <v>1017</v>
      </c>
      <c r="D20" s="435">
        <v>42994</v>
      </c>
      <c r="E20" s="436">
        <v>59111</v>
      </c>
      <c r="F20" s="23"/>
      <c r="G20" s="24">
        <v>42994</v>
      </c>
      <c r="H20" s="440">
        <v>0</v>
      </c>
      <c r="I20" s="58"/>
      <c r="J20" s="59" t="s">
        <v>57</v>
      </c>
      <c r="K20" s="109">
        <v>0</v>
      </c>
      <c r="L20" s="445" t="s">
        <v>1016</v>
      </c>
      <c r="M20" s="495"/>
    </row>
    <row r="21" spans="1:13" ht="15.75" thickBot="1" x14ac:dyDescent="0.3">
      <c r="A21" s="414">
        <v>42995</v>
      </c>
      <c r="B21" s="415">
        <v>84618.5</v>
      </c>
      <c r="C21" s="57" t="s">
        <v>1019</v>
      </c>
      <c r="D21" s="435">
        <v>42995</v>
      </c>
      <c r="E21" s="436">
        <v>84618.5</v>
      </c>
      <c r="F21" s="23"/>
      <c r="G21" s="24">
        <v>42995</v>
      </c>
      <c r="H21" s="440">
        <v>0</v>
      </c>
      <c r="J21" s="450" t="s">
        <v>1104</v>
      </c>
      <c r="K21" s="109"/>
      <c r="L21" s="445" t="s">
        <v>1018</v>
      </c>
      <c r="M21" s="29"/>
    </row>
    <row r="22" spans="1:13" ht="15.75" thickBot="1" x14ac:dyDescent="0.3">
      <c r="A22" s="414">
        <v>42996</v>
      </c>
      <c r="B22" s="415">
        <v>58817</v>
      </c>
      <c r="C22" s="50" t="s">
        <v>1021</v>
      </c>
      <c r="D22" s="435">
        <v>42996</v>
      </c>
      <c r="E22" s="436">
        <v>63441</v>
      </c>
      <c r="F22" s="23"/>
      <c r="G22" s="24">
        <v>42996</v>
      </c>
      <c r="H22" s="440">
        <v>0</v>
      </c>
      <c r="I22" s="58"/>
      <c r="J22" s="449"/>
      <c r="K22" s="109">
        <v>0</v>
      </c>
      <c r="L22" s="445" t="s">
        <v>1020</v>
      </c>
      <c r="M22" s="29"/>
    </row>
    <row r="23" spans="1:13" ht="15.75" thickBot="1" x14ac:dyDescent="0.3">
      <c r="A23" s="414">
        <v>42997</v>
      </c>
      <c r="B23" s="415">
        <v>19755.5</v>
      </c>
      <c r="C23" s="50" t="s">
        <v>1023</v>
      </c>
      <c r="D23" s="435">
        <v>42997</v>
      </c>
      <c r="E23" s="436">
        <v>19755.5</v>
      </c>
      <c r="F23" s="23"/>
      <c r="G23" s="24">
        <v>42997</v>
      </c>
      <c r="H23" s="440">
        <v>0</v>
      </c>
      <c r="I23" s="38"/>
      <c r="J23" s="63"/>
      <c r="K23" s="109">
        <v>0</v>
      </c>
      <c r="L23" s="445" t="s">
        <v>1022</v>
      </c>
      <c r="M23" s="29"/>
    </row>
    <row r="24" spans="1:13" ht="15.75" thickBot="1" x14ac:dyDescent="0.3">
      <c r="A24" s="414">
        <v>42998</v>
      </c>
      <c r="B24" s="415">
        <v>46040.5</v>
      </c>
      <c r="C24" s="50" t="s">
        <v>1025</v>
      </c>
      <c r="D24" s="435">
        <v>42998</v>
      </c>
      <c r="E24" s="436">
        <v>34979.5</v>
      </c>
      <c r="F24" s="23"/>
      <c r="G24" s="24">
        <v>42998</v>
      </c>
      <c r="H24" s="440">
        <v>43</v>
      </c>
      <c r="I24" s="38"/>
      <c r="J24" s="359" t="s">
        <v>66</v>
      </c>
      <c r="K24" s="109">
        <v>870</v>
      </c>
      <c r="L24" s="445" t="s">
        <v>1024</v>
      </c>
      <c r="M24" s="29"/>
    </row>
    <row r="25" spans="1:13" ht="15.75" thickBot="1" x14ac:dyDescent="0.3">
      <c r="A25" s="414">
        <v>42999</v>
      </c>
      <c r="B25" s="415">
        <v>29261</v>
      </c>
      <c r="C25" s="57" t="s">
        <v>1027</v>
      </c>
      <c r="D25" s="435">
        <v>42999</v>
      </c>
      <c r="E25" s="436">
        <v>29261</v>
      </c>
      <c r="F25" s="23"/>
      <c r="G25" s="24">
        <v>42999</v>
      </c>
      <c r="H25" s="440">
        <v>0</v>
      </c>
      <c r="I25" s="38"/>
      <c r="J25" s="68">
        <v>42979</v>
      </c>
      <c r="K25" s="109">
        <v>0</v>
      </c>
      <c r="L25" s="445" t="s">
        <v>1026</v>
      </c>
      <c r="M25" s="29"/>
    </row>
    <row r="26" spans="1:13" ht="15.75" thickBot="1" x14ac:dyDescent="0.3">
      <c r="A26" s="414">
        <v>43000</v>
      </c>
      <c r="B26" s="415">
        <v>71074</v>
      </c>
      <c r="C26" s="50" t="s">
        <v>1031</v>
      </c>
      <c r="D26" s="435">
        <v>43000</v>
      </c>
      <c r="E26" s="436">
        <v>78663</v>
      </c>
      <c r="F26" s="23"/>
      <c r="G26" s="24">
        <v>43000</v>
      </c>
      <c r="H26" s="440">
        <v>0</v>
      </c>
      <c r="I26" s="38"/>
      <c r="J26" s="514" t="s">
        <v>73</v>
      </c>
      <c r="K26" s="515">
        <v>1800</v>
      </c>
      <c r="L26" s="445" t="s">
        <v>1030</v>
      </c>
      <c r="M26" s="29"/>
    </row>
    <row r="27" spans="1:13" ht="15.75" thickBot="1" x14ac:dyDescent="0.3">
      <c r="A27" s="414">
        <v>43001</v>
      </c>
      <c r="B27" s="415">
        <v>78202.5</v>
      </c>
      <c r="C27" s="50" t="s">
        <v>1034</v>
      </c>
      <c r="D27" s="435">
        <v>43001</v>
      </c>
      <c r="E27" s="436">
        <v>80052.5</v>
      </c>
      <c r="F27" s="23"/>
      <c r="G27" s="24">
        <v>43001</v>
      </c>
      <c r="H27" s="440">
        <v>50</v>
      </c>
      <c r="I27" s="38"/>
      <c r="J27" s="516" t="s">
        <v>1032</v>
      </c>
      <c r="K27" s="109">
        <v>0</v>
      </c>
      <c r="L27" s="445" t="s">
        <v>1033</v>
      </c>
      <c r="M27" s="29"/>
    </row>
    <row r="28" spans="1:13" ht="15.75" thickBot="1" x14ac:dyDescent="0.3">
      <c r="A28" s="414">
        <v>43002</v>
      </c>
      <c r="B28" s="415">
        <v>63533</v>
      </c>
      <c r="C28" s="50" t="s">
        <v>1043</v>
      </c>
      <c r="D28" s="435">
        <v>43002</v>
      </c>
      <c r="E28" s="436">
        <v>63533</v>
      </c>
      <c r="F28" s="23"/>
      <c r="G28" s="24">
        <v>43002</v>
      </c>
      <c r="H28" s="440">
        <v>0</v>
      </c>
      <c r="I28" s="38"/>
      <c r="J28" s="358"/>
      <c r="K28" s="109">
        <v>0</v>
      </c>
      <c r="L28" s="517" t="s">
        <v>1042</v>
      </c>
      <c r="M28" s="29"/>
    </row>
    <row r="29" spans="1:13" ht="15.75" thickBot="1" x14ac:dyDescent="0.3">
      <c r="A29" s="414">
        <v>43003</v>
      </c>
      <c r="B29" s="415">
        <v>36348.5</v>
      </c>
      <c r="C29" s="50" t="s">
        <v>1045</v>
      </c>
      <c r="D29" s="435">
        <v>43003</v>
      </c>
      <c r="E29" s="436">
        <v>38934</v>
      </c>
      <c r="F29" s="23"/>
      <c r="G29" s="24">
        <v>43003</v>
      </c>
      <c r="H29" s="440">
        <v>0</v>
      </c>
      <c r="I29" s="38"/>
      <c r="J29" s="68"/>
      <c r="K29" s="109">
        <v>0</v>
      </c>
      <c r="L29" s="445" t="s">
        <v>1044</v>
      </c>
      <c r="M29" s="29"/>
    </row>
    <row r="30" spans="1:13" ht="15.75" thickBot="1" x14ac:dyDescent="0.3">
      <c r="A30" s="414">
        <v>43004</v>
      </c>
      <c r="B30" s="415">
        <v>31074</v>
      </c>
      <c r="C30" s="57" t="s">
        <v>1045</v>
      </c>
      <c r="D30" s="435">
        <v>43004</v>
      </c>
      <c r="E30" s="436">
        <v>23485</v>
      </c>
      <c r="F30" s="23"/>
      <c r="G30" s="24">
        <v>43004</v>
      </c>
      <c r="H30" s="440">
        <v>0</v>
      </c>
      <c r="I30" s="38"/>
      <c r="J30" s="461" t="s">
        <v>82</v>
      </c>
      <c r="K30" s="109">
        <v>0</v>
      </c>
      <c r="L30" s="517" t="s">
        <v>1046</v>
      </c>
      <c r="M30" s="29"/>
    </row>
    <row r="31" spans="1:13" ht="15.75" thickBot="1" x14ac:dyDescent="0.3">
      <c r="A31" s="414">
        <v>43005</v>
      </c>
      <c r="B31" s="415">
        <v>25595</v>
      </c>
      <c r="C31" s="57" t="s">
        <v>1048</v>
      </c>
      <c r="D31" s="435">
        <v>43005</v>
      </c>
      <c r="E31" s="436">
        <v>28147.5</v>
      </c>
      <c r="F31" s="23"/>
      <c r="G31" s="24">
        <v>43005</v>
      </c>
      <c r="H31" s="440">
        <v>0</v>
      </c>
      <c r="I31" s="38"/>
      <c r="J31" s="68"/>
      <c r="K31" s="109">
        <v>0</v>
      </c>
      <c r="L31" s="517" t="s">
        <v>1047</v>
      </c>
      <c r="M31" s="29"/>
    </row>
    <row r="32" spans="1:13" ht="15.75" thickBot="1" x14ac:dyDescent="0.3">
      <c r="A32" s="414">
        <v>43006</v>
      </c>
      <c r="B32" s="415">
        <v>37256</v>
      </c>
      <c r="C32" s="48" t="s">
        <v>1050</v>
      </c>
      <c r="D32" s="435">
        <v>43006</v>
      </c>
      <c r="E32" s="436">
        <v>35824</v>
      </c>
      <c r="F32" s="23"/>
      <c r="G32" s="24">
        <v>43006</v>
      </c>
      <c r="H32" s="440">
        <v>0</v>
      </c>
      <c r="I32" s="38"/>
      <c r="J32" s="461"/>
      <c r="K32" s="452"/>
      <c r="L32" s="445" t="s">
        <v>1049</v>
      </c>
      <c r="M32" s="29"/>
    </row>
    <row r="33" spans="1:13" ht="15.75" thickBot="1" x14ac:dyDescent="0.3">
      <c r="A33" s="414">
        <v>43007</v>
      </c>
      <c r="B33" s="415">
        <v>62721.5</v>
      </c>
      <c r="C33" s="48" t="s">
        <v>1053</v>
      </c>
      <c r="D33" s="435">
        <v>43007</v>
      </c>
      <c r="E33" s="436">
        <v>62721.5</v>
      </c>
      <c r="F33" s="23"/>
      <c r="G33" s="24">
        <v>43007</v>
      </c>
      <c r="H33" s="440">
        <v>0</v>
      </c>
      <c r="I33" s="38"/>
      <c r="J33" s="190"/>
      <c r="K33" s="191"/>
      <c r="L33" s="445" t="s">
        <v>1052</v>
      </c>
      <c r="M33" s="29"/>
    </row>
    <row r="34" spans="1:13" ht="15.75" thickBot="1" x14ac:dyDescent="0.3">
      <c r="A34" s="414">
        <v>43008</v>
      </c>
      <c r="B34" s="415">
        <v>88074</v>
      </c>
      <c r="C34" s="57">
        <v>4578</v>
      </c>
      <c r="D34" s="435">
        <v>43008</v>
      </c>
      <c r="E34" s="436">
        <v>88441</v>
      </c>
      <c r="F34" s="23"/>
      <c r="G34" s="24">
        <v>43008</v>
      </c>
      <c r="H34" s="440">
        <v>400</v>
      </c>
      <c r="I34" s="38" t="s">
        <v>1054</v>
      </c>
      <c r="J34" s="190"/>
      <c r="K34" s="191"/>
      <c r="L34" s="518" t="s">
        <v>1055</v>
      </c>
      <c r="M34" s="29"/>
    </row>
    <row r="35" spans="1:13" ht="15.75" thickBot="1" x14ac:dyDescent="0.3">
      <c r="A35" s="414"/>
      <c r="B35" s="418"/>
      <c r="C35" s="20"/>
      <c r="D35" s="435"/>
      <c r="E35" s="436"/>
      <c r="F35" s="23"/>
      <c r="G35" s="490"/>
      <c r="H35" s="440"/>
      <c r="I35" s="38"/>
      <c r="J35" s="461"/>
      <c r="K35" s="452"/>
      <c r="L35" s="448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1559681.85</v>
      </c>
      <c r="D38" s="100" t="s">
        <v>85</v>
      </c>
      <c r="E38" s="101">
        <f>SUM(E5:E37)</f>
        <v>1560474.35</v>
      </c>
      <c r="G38" s="496" t="s">
        <v>85</v>
      </c>
      <c r="H38" s="4">
        <f>SUM(H5:H37)</f>
        <v>579</v>
      </c>
      <c r="I38" s="4"/>
      <c r="J38" s="102" t="s">
        <v>85</v>
      </c>
      <c r="K38" s="103">
        <f t="shared" ref="K38" si="0">SUM(K5:K37)</f>
        <v>89245.120000000024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497"/>
      <c r="J40" s="589">
        <f>H38+K38</f>
        <v>89824.120000000024</v>
      </c>
      <c r="K40" s="590"/>
      <c r="L40" s="108"/>
      <c r="M40" s="108"/>
    </row>
    <row r="41" spans="1:13" ht="15.75" customHeight="1" x14ac:dyDescent="0.25">
      <c r="A41" s="1"/>
      <c r="B41" s="5"/>
      <c r="C41" s="609" t="s">
        <v>87</v>
      </c>
      <c r="D41" s="609"/>
      <c r="E41" s="109">
        <f>E38-J40</f>
        <v>1470650.23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-1419732.79</v>
      </c>
      <c r="H43" s="608"/>
      <c r="I43" s="608"/>
      <c r="J43" s="608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50917.439999999944</v>
      </c>
      <c r="H44" s="610" t="s">
        <v>91</v>
      </c>
      <c r="I44" s="610"/>
      <c r="J44" s="611">
        <f>E46</f>
        <v>226041.11999999994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175123.68</v>
      </c>
      <c r="H45" s="613" t="s">
        <v>3</v>
      </c>
      <c r="I45" s="613"/>
      <c r="J45" s="598">
        <v>-204212.18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226041.11999999994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1070</v>
      </c>
      <c r="I47" s="605"/>
      <c r="J47" s="606">
        <f>SUM(J44:K46)</f>
        <v>21828.939999999944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H47:I47"/>
    <mergeCell ref="J47:K47"/>
    <mergeCell ref="C48:D48"/>
    <mergeCell ref="H45:I45"/>
    <mergeCell ref="J45:K45"/>
    <mergeCell ref="J46:K46"/>
    <mergeCell ref="C41:D41"/>
    <mergeCell ref="H43:J43"/>
    <mergeCell ref="H44:I44"/>
    <mergeCell ref="J44:K44"/>
    <mergeCell ref="J17:J18"/>
    <mergeCell ref="G40:H40"/>
    <mergeCell ref="J40:K40"/>
    <mergeCell ref="B1:J1"/>
    <mergeCell ref="A3:A4"/>
    <mergeCell ref="D3:F3"/>
    <mergeCell ref="G3:H3"/>
    <mergeCell ref="D4:E4"/>
    <mergeCell ref="H4:K4"/>
  </mergeCells>
  <pageMargins left="0.51181102362204722" right="0.11811023622047245" top="0.35433070866141736" bottom="0.15748031496062992" header="0.31496062992125984" footer="0.31496062992125984"/>
  <pageSetup scale="7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FF"/>
  </sheetPr>
  <dimension ref="A1:Y64"/>
  <sheetViews>
    <sheetView topLeftCell="A10" workbookViewId="0">
      <selection activeCell="E32" sqref="E3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10" max="10" width="14.5703125" customWidth="1"/>
    <col min="12" max="12" width="14.28515625" customWidth="1"/>
    <col min="15" max="15" width="14.4257812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614" t="s">
        <v>95</v>
      </c>
      <c r="D1" s="615"/>
      <c r="E1" s="616"/>
      <c r="F1" s="119"/>
      <c r="J1" s="45"/>
      <c r="K1" s="154"/>
      <c r="L1" s="343">
        <v>42987</v>
      </c>
      <c r="M1" s="216"/>
      <c r="N1" s="217" t="s">
        <v>141</v>
      </c>
      <c r="O1" s="111"/>
      <c r="P1" s="158"/>
      <c r="S1" s="45">
        <v>6366.5</v>
      </c>
      <c r="T1" s="154"/>
      <c r="U1" s="510">
        <v>43008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16366.5+13299.5</f>
        <v>29666</v>
      </c>
      <c r="K2" s="132" t="s">
        <v>917</v>
      </c>
      <c r="L2" s="133">
        <v>10935.74</v>
      </c>
      <c r="M2" s="214" t="s">
        <v>143</v>
      </c>
      <c r="N2" s="160">
        <v>3932570</v>
      </c>
      <c r="O2" s="161">
        <v>40000</v>
      </c>
      <c r="P2" s="162">
        <v>42974</v>
      </c>
      <c r="S2" s="45">
        <v>30839</v>
      </c>
      <c r="T2" s="132" t="s">
        <v>988</v>
      </c>
      <c r="U2" s="133">
        <v>18475.38</v>
      </c>
      <c r="V2" s="214" t="s">
        <v>143</v>
      </c>
      <c r="W2" s="160">
        <v>3534568</v>
      </c>
      <c r="X2" s="161">
        <v>46420</v>
      </c>
      <c r="Y2" s="162">
        <v>42996</v>
      </c>
    </row>
    <row r="3" spans="1:25" ht="15.75" x14ac:dyDescent="0.25">
      <c r="A3" s="125">
        <v>42980</v>
      </c>
      <c r="B3" s="126" t="s">
        <v>959</v>
      </c>
      <c r="C3" s="127">
        <v>101491.67</v>
      </c>
      <c r="D3" s="128">
        <v>42987</v>
      </c>
      <c r="E3" s="127">
        <v>101491.67</v>
      </c>
      <c r="F3" s="129">
        <f t="shared" ref="F3:F42" si="0">C3-E3</f>
        <v>0</v>
      </c>
      <c r="J3" s="45">
        <f>31093+7144+36132.5+10786.5</f>
        <v>85156</v>
      </c>
      <c r="K3" s="393" t="s">
        <v>918</v>
      </c>
      <c r="L3" s="133">
        <v>74369.600000000006</v>
      </c>
      <c r="M3" s="159"/>
      <c r="N3" s="160">
        <v>3932571</v>
      </c>
      <c r="O3" s="161">
        <v>20759</v>
      </c>
      <c r="P3" s="162">
        <v>42974</v>
      </c>
      <c r="S3" s="45">
        <f>21611.5+16306.5</f>
        <v>37918</v>
      </c>
      <c r="T3" s="365" t="s">
        <v>989</v>
      </c>
      <c r="U3" s="364">
        <v>37918.21</v>
      </c>
      <c r="V3" s="159"/>
      <c r="W3" s="160">
        <v>3534569</v>
      </c>
      <c r="X3" s="161">
        <v>12397</v>
      </c>
      <c r="Y3" s="162">
        <v>42996</v>
      </c>
    </row>
    <row r="4" spans="1:25" ht="15.75" x14ac:dyDescent="0.25">
      <c r="A4" s="131">
        <v>42982</v>
      </c>
      <c r="B4" s="132" t="s">
        <v>960</v>
      </c>
      <c r="C4" s="133">
        <v>36015.64</v>
      </c>
      <c r="D4" s="128">
        <v>42987</v>
      </c>
      <c r="E4" s="133">
        <v>36015.64</v>
      </c>
      <c r="F4" s="134">
        <f t="shared" si="0"/>
        <v>0</v>
      </c>
      <c r="J4" s="45">
        <f>6812+29734.5+1256+28749.5</f>
        <v>66552</v>
      </c>
      <c r="K4" s="290" t="s">
        <v>919</v>
      </c>
      <c r="L4" s="133">
        <v>77338.5</v>
      </c>
      <c r="M4" s="163"/>
      <c r="N4" s="160">
        <v>3932572</v>
      </c>
      <c r="O4" s="161">
        <v>35000</v>
      </c>
      <c r="P4" s="162">
        <v>42975</v>
      </c>
      <c r="S4" s="45">
        <f>3449+11104+34936.5+24165+24349.5</f>
        <v>98004</v>
      </c>
      <c r="T4" s="132" t="s">
        <v>991</v>
      </c>
      <c r="U4" s="133">
        <v>98004.02</v>
      </c>
      <c r="V4" s="163"/>
      <c r="W4" s="160">
        <v>3534570</v>
      </c>
      <c r="X4" s="161">
        <v>19755.5</v>
      </c>
      <c r="Y4" s="162">
        <v>42997</v>
      </c>
    </row>
    <row r="5" spans="1:25" ht="15.75" x14ac:dyDescent="0.25">
      <c r="A5" s="131">
        <v>42983</v>
      </c>
      <c r="B5" s="132" t="s">
        <v>961</v>
      </c>
      <c r="C5" s="133">
        <v>34494.449999999997</v>
      </c>
      <c r="D5" s="128">
        <v>42987</v>
      </c>
      <c r="E5" s="133">
        <v>34494.449999999997</v>
      </c>
      <c r="F5" s="134">
        <f t="shared" si="0"/>
        <v>0</v>
      </c>
      <c r="J5" s="45">
        <v>2427</v>
      </c>
      <c r="K5" s="290" t="s">
        <v>948</v>
      </c>
      <c r="L5" s="133">
        <v>2427</v>
      </c>
      <c r="M5" s="164"/>
      <c r="N5" s="160">
        <v>3932573</v>
      </c>
      <c r="O5" s="161">
        <v>11919</v>
      </c>
      <c r="P5" s="162">
        <v>42975</v>
      </c>
      <c r="S5" s="45">
        <v>41026</v>
      </c>
      <c r="T5" s="132" t="s">
        <v>992</v>
      </c>
      <c r="U5" s="133">
        <v>41025.870000000003</v>
      </c>
      <c r="V5" s="164"/>
      <c r="W5" s="160">
        <v>3534571</v>
      </c>
      <c r="X5" s="161">
        <v>31479.5</v>
      </c>
      <c r="Y5" s="162">
        <v>42998</v>
      </c>
    </row>
    <row r="6" spans="1:25" ht="15.75" x14ac:dyDescent="0.25">
      <c r="A6" s="131">
        <v>42983</v>
      </c>
      <c r="B6" s="132" t="s">
        <v>962</v>
      </c>
      <c r="C6" s="133">
        <v>6025</v>
      </c>
      <c r="D6" s="128">
        <v>42987</v>
      </c>
      <c r="E6" s="133">
        <v>6025</v>
      </c>
      <c r="F6" s="135">
        <f t="shared" si="0"/>
        <v>0</v>
      </c>
      <c r="J6" s="45">
        <f>5676+13220.5+13902.5</f>
        <v>32799</v>
      </c>
      <c r="K6" s="290" t="s">
        <v>949</v>
      </c>
      <c r="L6" s="133">
        <v>32799.199999999997</v>
      </c>
      <c r="M6" s="277"/>
      <c r="N6" s="160" t="s">
        <v>154</v>
      </c>
      <c r="O6" s="161">
        <v>4429</v>
      </c>
      <c r="P6" s="162">
        <v>42971</v>
      </c>
      <c r="S6" s="45">
        <f>5698.5+25301</f>
        <v>30999.5</v>
      </c>
      <c r="T6" s="132" t="s">
        <v>993</v>
      </c>
      <c r="U6" s="133">
        <v>30999.54</v>
      </c>
      <c r="V6" s="277"/>
      <c r="W6" s="160" t="s">
        <v>154</v>
      </c>
      <c r="X6" s="161">
        <v>4624</v>
      </c>
      <c r="Y6" s="162">
        <v>42997</v>
      </c>
    </row>
    <row r="7" spans="1:25" ht="15.75" x14ac:dyDescent="0.25">
      <c r="A7" s="131">
        <v>42984</v>
      </c>
      <c r="B7" s="132" t="s">
        <v>963</v>
      </c>
      <c r="C7" s="133">
        <v>32340</v>
      </c>
      <c r="D7" s="128">
        <v>42987</v>
      </c>
      <c r="E7" s="133">
        <v>32340</v>
      </c>
      <c r="F7" s="135">
        <f t="shared" si="0"/>
        <v>0</v>
      </c>
      <c r="J7" s="45">
        <f>8731.5+36102</f>
        <v>44833.5</v>
      </c>
      <c r="K7" s="290" t="s">
        <v>950</v>
      </c>
      <c r="L7" s="133">
        <v>44833.63</v>
      </c>
      <c r="M7" s="163"/>
      <c r="N7" s="160" t="s">
        <v>154</v>
      </c>
      <c r="O7" s="161">
        <v>2715</v>
      </c>
      <c r="P7" s="162">
        <v>42970</v>
      </c>
      <c r="S7" s="45">
        <v>0</v>
      </c>
      <c r="T7" s="132" t="s">
        <v>994</v>
      </c>
      <c r="U7" s="133">
        <v>7419.1</v>
      </c>
      <c r="V7" s="163"/>
      <c r="W7" s="160" t="s">
        <v>154</v>
      </c>
      <c r="X7" s="161">
        <v>6480</v>
      </c>
      <c r="Y7" s="162">
        <v>42993</v>
      </c>
    </row>
    <row r="8" spans="1:25" ht="15.75" x14ac:dyDescent="0.25">
      <c r="A8" s="131">
        <v>42985</v>
      </c>
      <c r="B8" s="132" t="s">
        <v>964</v>
      </c>
      <c r="C8" s="133">
        <v>101320.35</v>
      </c>
      <c r="D8" s="211" t="s">
        <v>990</v>
      </c>
      <c r="E8" s="133">
        <f>36648.02+64672.33</f>
        <v>101320.35</v>
      </c>
      <c r="F8" s="135">
        <f t="shared" si="0"/>
        <v>0</v>
      </c>
      <c r="J8" s="45">
        <f>255.5+467</f>
        <v>722.5</v>
      </c>
      <c r="K8" s="290" t="s">
        <v>951</v>
      </c>
      <c r="L8" s="133">
        <v>722.4</v>
      </c>
      <c r="M8" s="165"/>
      <c r="N8" s="160">
        <v>3932574</v>
      </c>
      <c r="O8" s="166">
        <v>20000</v>
      </c>
      <c r="P8" s="167">
        <v>42976</v>
      </c>
      <c r="S8" s="45">
        <v>52901.5</v>
      </c>
      <c r="T8" s="132" t="s">
        <v>995</v>
      </c>
      <c r="U8" s="133">
        <v>64179.38</v>
      </c>
      <c r="V8" s="165"/>
      <c r="W8" s="160" t="s">
        <v>154</v>
      </c>
      <c r="X8" s="166">
        <v>3457</v>
      </c>
      <c r="Y8" s="167">
        <v>42998</v>
      </c>
    </row>
    <row r="9" spans="1:25" ht="15.75" x14ac:dyDescent="0.25">
      <c r="A9" s="131">
        <v>42985</v>
      </c>
      <c r="B9" s="132" t="s">
        <v>966</v>
      </c>
      <c r="C9" s="133">
        <v>780</v>
      </c>
      <c r="D9" s="128">
        <v>43001</v>
      </c>
      <c r="E9" s="133">
        <v>780</v>
      </c>
      <c r="F9" s="135">
        <f t="shared" si="0"/>
        <v>0</v>
      </c>
      <c r="J9" s="45">
        <v>8460</v>
      </c>
      <c r="K9" s="367" t="s">
        <v>952</v>
      </c>
      <c r="L9" s="133">
        <v>8460</v>
      </c>
      <c r="M9" s="163"/>
      <c r="N9" s="160">
        <v>3932576</v>
      </c>
      <c r="O9" s="148">
        <v>9734.5</v>
      </c>
      <c r="P9" s="167">
        <v>42976</v>
      </c>
      <c r="S9" s="45">
        <v>0</v>
      </c>
      <c r="T9" s="132"/>
      <c r="U9" s="133">
        <v>0</v>
      </c>
      <c r="V9" s="163"/>
      <c r="W9" s="160">
        <v>3534572</v>
      </c>
      <c r="X9" s="148">
        <v>24165</v>
      </c>
      <c r="Y9" s="167">
        <v>42999</v>
      </c>
    </row>
    <row r="10" spans="1:25" ht="15.75" x14ac:dyDescent="0.25">
      <c r="A10" s="131">
        <v>42986</v>
      </c>
      <c r="B10" s="132" t="s">
        <v>967</v>
      </c>
      <c r="C10" s="133">
        <v>32635.05</v>
      </c>
      <c r="D10" s="128">
        <v>43001</v>
      </c>
      <c r="E10" s="133">
        <v>32635.05</v>
      </c>
      <c r="F10" s="135">
        <f t="shared" si="0"/>
        <v>0</v>
      </c>
      <c r="J10" s="45">
        <f>75412.5+26079</f>
        <v>101491.5</v>
      </c>
      <c r="K10" s="126" t="s">
        <v>959</v>
      </c>
      <c r="L10" s="127">
        <v>101491.67</v>
      </c>
      <c r="M10" s="168"/>
      <c r="N10" s="160" t="s">
        <v>154</v>
      </c>
      <c r="O10" s="161">
        <v>6812</v>
      </c>
      <c r="P10" s="162">
        <v>42975</v>
      </c>
      <c r="S10" s="45">
        <v>0</v>
      </c>
      <c r="T10" s="132"/>
      <c r="U10" s="133">
        <v>0</v>
      </c>
      <c r="V10" s="168"/>
      <c r="W10" s="160">
        <v>3534574</v>
      </c>
      <c r="X10" s="161">
        <v>31041</v>
      </c>
      <c r="Y10" s="162">
        <v>43000</v>
      </c>
    </row>
    <row r="11" spans="1:25" ht="15.75" x14ac:dyDescent="0.25">
      <c r="A11" s="131">
        <v>42986</v>
      </c>
      <c r="B11" s="207" t="s">
        <v>1051</v>
      </c>
      <c r="C11" s="219">
        <v>37647.050000000003</v>
      </c>
      <c r="D11" s="521">
        <v>43022</v>
      </c>
      <c r="E11" s="138">
        <v>37647.050000000003</v>
      </c>
      <c r="F11" s="135">
        <f t="shared" si="0"/>
        <v>0</v>
      </c>
      <c r="J11" s="45">
        <f>30447.5+2981+2587</f>
        <v>36015.5</v>
      </c>
      <c r="K11" s="132" t="s">
        <v>960</v>
      </c>
      <c r="L11" s="133">
        <v>36015.64</v>
      </c>
      <c r="M11" s="168"/>
      <c r="N11" s="160">
        <v>3932577</v>
      </c>
      <c r="O11" s="161">
        <v>20000</v>
      </c>
      <c r="P11" s="162">
        <v>42977</v>
      </c>
      <c r="S11" s="45">
        <v>0</v>
      </c>
      <c r="T11" s="132"/>
      <c r="U11" s="133">
        <v>0</v>
      </c>
      <c r="V11" s="168"/>
      <c r="W11" s="160">
        <v>3534573</v>
      </c>
      <c r="X11" s="161">
        <v>40000</v>
      </c>
      <c r="Y11" s="162">
        <v>43000</v>
      </c>
    </row>
    <row r="12" spans="1:25" ht="15.75" x14ac:dyDescent="0.25">
      <c r="A12" s="131">
        <v>42987</v>
      </c>
      <c r="B12" s="132" t="s">
        <v>979</v>
      </c>
      <c r="C12" s="133">
        <v>34733.81</v>
      </c>
      <c r="D12" s="128">
        <v>43001</v>
      </c>
      <c r="E12" s="133">
        <v>34733.81</v>
      </c>
      <c r="F12" s="135">
        <f t="shared" ref="F12:F13" si="1">C12-E12</f>
        <v>0</v>
      </c>
      <c r="J12" s="45">
        <v>34494.5</v>
      </c>
      <c r="K12" s="132" t="s">
        <v>961</v>
      </c>
      <c r="L12" s="133">
        <v>34494.449999999997</v>
      </c>
      <c r="M12" s="168"/>
      <c r="N12" s="160">
        <v>3932580</v>
      </c>
      <c r="O12" s="161">
        <v>16852.5</v>
      </c>
      <c r="P12" s="162">
        <v>42977</v>
      </c>
      <c r="S12" s="45">
        <v>0</v>
      </c>
      <c r="T12" s="132"/>
      <c r="U12" s="133">
        <v>0</v>
      </c>
      <c r="V12" s="168"/>
      <c r="W12" s="160">
        <v>3534575</v>
      </c>
      <c r="X12" s="161">
        <v>50000</v>
      </c>
      <c r="Y12" s="162">
        <v>43001</v>
      </c>
    </row>
    <row r="13" spans="1:25" ht="15.75" x14ac:dyDescent="0.25">
      <c r="A13" s="131">
        <v>42989</v>
      </c>
      <c r="B13" s="132" t="s">
        <v>980</v>
      </c>
      <c r="C13" s="133">
        <v>76300.81</v>
      </c>
      <c r="D13" s="128">
        <v>43001</v>
      </c>
      <c r="E13" s="133">
        <v>76300.81</v>
      </c>
      <c r="F13" s="135">
        <f t="shared" si="1"/>
        <v>0</v>
      </c>
      <c r="J13" s="45">
        <v>6025</v>
      </c>
      <c r="K13" s="132" t="s">
        <v>962</v>
      </c>
      <c r="L13" s="133">
        <v>6025</v>
      </c>
      <c r="M13" s="168"/>
      <c r="N13" s="160" t="s">
        <v>154</v>
      </c>
      <c r="O13" s="161">
        <v>1256</v>
      </c>
      <c r="P13" s="162">
        <v>42975</v>
      </c>
      <c r="S13" s="45">
        <v>0</v>
      </c>
      <c r="T13" s="132"/>
      <c r="U13" s="133">
        <v>0</v>
      </c>
      <c r="V13" s="168"/>
      <c r="W13" s="160">
        <v>35345769</v>
      </c>
      <c r="X13" s="161">
        <v>28202.5</v>
      </c>
      <c r="Y13" s="162">
        <v>43001</v>
      </c>
    </row>
    <row r="14" spans="1:25" ht="16.5" thickBot="1" x14ac:dyDescent="0.3">
      <c r="A14" s="131">
        <v>42989</v>
      </c>
      <c r="B14" s="132" t="s">
        <v>981</v>
      </c>
      <c r="C14" s="133">
        <v>6445</v>
      </c>
      <c r="D14" s="128">
        <v>43001</v>
      </c>
      <c r="E14" s="133">
        <v>6445</v>
      </c>
      <c r="F14" s="135">
        <f>C14-E14</f>
        <v>0</v>
      </c>
      <c r="J14" s="45">
        <v>32340</v>
      </c>
      <c r="K14" s="132" t="s">
        <v>963</v>
      </c>
      <c r="L14" s="133">
        <v>32340</v>
      </c>
      <c r="M14" s="168"/>
      <c r="N14" s="160">
        <v>3932579</v>
      </c>
      <c r="O14" s="161">
        <v>20000</v>
      </c>
      <c r="P14" s="162">
        <v>42978</v>
      </c>
      <c r="S14" s="111">
        <v>0</v>
      </c>
      <c r="T14" s="262"/>
      <c r="U14" s="181">
        <v>0</v>
      </c>
      <c r="V14" s="513"/>
      <c r="W14" s="183"/>
      <c r="X14" s="201">
        <v>0</v>
      </c>
      <c r="Y14" s="202"/>
    </row>
    <row r="15" spans="1:25" ht="16.5" thickTop="1" x14ac:dyDescent="0.25">
      <c r="A15" s="131">
        <v>42991</v>
      </c>
      <c r="B15" s="132" t="s">
        <v>982</v>
      </c>
      <c r="C15" s="133">
        <v>77262.320000000007</v>
      </c>
      <c r="D15" s="128">
        <v>43001</v>
      </c>
      <c r="E15" s="133">
        <v>77262.320000000007</v>
      </c>
      <c r="F15" s="135">
        <f>C15-E15</f>
        <v>0</v>
      </c>
      <c r="J15" s="45">
        <f>17449+16154.5</f>
        <v>33603.5</v>
      </c>
      <c r="K15" s="132" t="s">
        <v>964</v>
      </c>
      <c r="L15" s="133">
        <v>36648.019999999997</v>
      </c>
      <c r="M15" s="168" t="s">
        <v>159</v>
      </c>
      <c r="N15" s="160">
        <v>3932581</v>
      </c>
      <c r="O15" s="161">
        <v>8082.5</v>
      </c>
      <c r="P15" s="162">
        <v>42978</v>
      </c>
      <c r="S15" s="38">
        <f>SUM(S1:S14)</f>
        <v>298054.5</v>
      </c>
      <c r="T15" s="511"/>
      <c r="U15" s="38">
        <f>SUM(U2:U14)</f>
        <v>298021.5</v>
      </c>
      <c r="V15" s="308"/>
      <c r="W15" s="187"/>
      <c r="X15" s="38">
        <f>SUM(X2:X14)</f>
        <v>298021.5</v>
      </c>
      <c r="Y15" s="128"/>
    </row>
    <row r="16" spans="1:25" ht="15.75" x14ac:dyDescent="0.25">
      <c r="A16" s="131">
        <v>42991</v>
      </c>
      <c r="B16" s="132" t="s">
        <v>983</v>
      </c>
      <c r="C16" s="133">
        <v>948</v>
      </c>
      <c r="D16" s="128">
        <v>43001</v>
      </c>
      <c r="E16" s="133">
        <v>948</v>
      </c>
      <c r="F16" s="135">
        <f>C16-E16</f>
        <v>0</v>
      </c>
      <c r="J16" s="45"/>
      <c r="K16" s="132"/>
      <c r="L16" s="133"/>
      <c r="M16" s="197"/>
      <c r="N16" s="160">
        <v>3932537</v>
      </c>
      <c r="O16" s="148">
        <v>7772</v>
      </c>
      <c r="P16" s="167">
        <v>42974</v>
      </c>
      <c r="S16" s="38"/>
      <c r="T16" s="256"/>
      <c r="U16" s="108"/>
      <c r="V16" s="512"/>
      <c r="W16" s="187"/>
      <c r="X16" s="38"/>
      <c r="Y16" s="128"/>
    </row>
    <row r="17" spans="1:25" ht="15.75" x14ac:dyDescent="0.25">
      <c r="A17" s="131">
        <v>42992</v>
      </c>
      <c r="B17" s="132" t="s">
        <v>984</v>
      </c>
      <c r="C17" s="133">
        <v>78728.67</v>
      </c>
      <c r="D17" s="128">
        <v>43001</v>
      </c>
      <c r="E17" s="133">
        <v>78728.67</v>
      </c>
      <c r="F17" s="135">
        <f>C17-E17</f>
        <v>0</v>
      </c>
      <c r="J17" s="45"/>
      <c r="K17" s="132"/>
      <c r="L17" s="133"/>
      <c r="M17" s="344"/>
      <c r="N17" s="160">
        <v>3932582</v>
      </c>
      <c r="O17" s="148">
        <v>30000</v>
      </c>
      <c r="P17" s="167">
        <v>42979</v>
      </c>
      <c r="S17" s="38"/>
      <c r="T17" s="256"/>
      <c r="U17" s="108"/>
      <c r="V17" s="368"/>
      <c r="W17" s="187"/>
      <c r="X17" s="38"/>
      <c r="Y17" s="128"/>
    </row>
    <row r="18" spans="1:25" ht="15.75" x14ac:dyDescent="0.25">
      <c r="A18" s="131">
        <v>42994</v>
      </c>
      <c r="B18" s="132" t="s">
        <v>985</v>
      </c>
      <c r="C18" s="133">
        <v>74693.36</v>
      </c>
      <c r="D18" s="128">
        <v>43001</v>
      </c>
      <c r="E18" s="133">
        <v>74693.36</v>
      </c>
      <c r="F18" s="135">
        <f>C18-E18</f>
        <v>0</v>
      </c>
      <c r="J18" s="45"/>
      <c r="K18" s="132"/>
      <c r="L18" s="133"/>
      <c r="M18" s="344"/>
      <c r="N18" s="160">
        <v>3932584</v>
      </c>
      <c r="O18" s="148">
        <v>6357.5</v>
      </c>
      <c r="P18" s="167">
        <v>42979</v>
      </c>
      <c r="S18" s="38"/>
      <c r="T18" s="256"/>
      <c r="U18" s="108"/>
      <c r="V18" s="368"/>
      <c r="W18" s="187"/>
      <c r="X18" s="38"/>
      <c r="Y18" s="128"/>
    </row>
    <row r="19" spans="1:25" ht="15.75" x14ac:dyDescent="0.25">
      <c r="A19" s="131">
        <v>42996</v>
      </c>
      <c r="B19" s="132" t="s">
        <v>986</v>
      </c>
      <c r="C19" s="133">
        <v>113126.66</v>
      </c>
      <c r="D19" s="128">
        <v>43001</v>
      </c>
      <c r="E19" s="133">
        <v>113126.66</v>
      </c>
      <c r="F19" s="135">
        <f t="shared" ref="F19:F32" si="2">C19-E19</f>
        <v>0</v>
      </c>
      <c r="J19" s="179"/>
      <c r="K19" s="132"/>
      <c r="L19" s="133"/>
      <c r="M19" s="172"/>
      <c r="N19" s="160">
        <v>3932585</v>
      </c>
      <c r="O19" s="148">
        <v>30000</v>
      </c>
      <c r="P19" s="167">
        <v>42980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42998</v>
      </c>
      <c r="B20" s="132" t="s">
        <v>987</v>
      </c>
      <c r="C20" s="133">
        <v>65670.350000000006</v>
      </c>
      <c r="D20" s="128">
        <v>43001</v>
      </c>
      <c r="E20" s="133">
        <v>65670.350000000006</v>
      </c>
      <c r="F20" s="135">
        <f t="shared" si="2"/>
        <v>0</v>
      </c>
      <c r="J20" s="179"/>
      <c r="K20" s="132"/>
      <c r="L20" s="133"/>
      <c r="M20" s="172"/>
      <c r="N20" s="160">
        <v>3932588</v>
      </c>
      <c r="O20" s="148">
        <v>30339.5</v>
      </c>
      <c r="P20" s="167">
        <v>42980</v>
      </c>
      <c r="S20" s="284"/>
      <c r="T20" s="256"/>
      <c r="U20" s="108"/>
      <c r="V20" s="186"/>
      <c r="W20" s="187"/>
      <c r="X20" s="38"/>
      <c r="Y20" s="128"/>
    </row>
    <row r="21" spans="1:25" ht="15.75" x14ac:dyDescent="0.25">
      <c r="A21" s="131">
        <v>42999</v>
      </c>
      <c r="B21" s="132" t="s">
        <v>988</v>
      </c>
      <c r="C21" s="133">
        <v>30839.02</v>
      </c>
      <c r="D21" s="329" t="s">
        <v>997</v>
      </c>
      <c r="E21" s="133">
        <f>12363.64+18475.38</f>
        <v>30839.02</v>
      </c>
      <c r="F21" s="135">
        <f t="shared" si="2"/>
        <v>0</v>
      </c>
      <c r="J21" s="179"/>
      <c r="K21" s="132"/>
      <c r="L21" s="133"/>
      <c r="M21" s="198"/>
      <c r="N21" s="160">
        <v>3932586</v>
      </c>
      <c r="O21" s="148">
        <v>24000</v>
      </c>
      <c r="P21" s="167">
        <v>42980</v>
      </c>
      <c r="S21" s="284"/>
      <c r="T21" s="256"/>
      <c r="U21" s="108"/>
      <c r="V21" s="187"/>
      <c r="W21" s="187"/>
      <c r="X21" s="38"/>
      <c r="Y21" s="128"/>
    </row>
    <row r="22" spans="1:25" ht="15.75" x14ac:dyDescent="0.25">
      <c r="A22" s="131">
        <v>42999</v>
      </c>
      <c r="B22" s="365" t="s">
        <v>989</v>
      </c>
      <c r="C22" s="364">
        <v>37918.21</v>
      </c>
      <c r="D22" s="128">
        <v>43008</v>
      </c>
      <c r="E22" s="364">
        <v>37918.21</v>
      </c>
      <c r="F22" s="135">
        <f t="shared" si="2"/>
        <v>0</v>
      </c>
      <c r="J22" s="179"/>
      <c r="K22" s="209"/>
      <c r="L22" s="196"/>
      <c r="M22" s="209"/>
      <c r="N22" s="160">
        <v>3932589</v>
      </c>
      <c r="O22" s="148">
        <v>40000</v>
      </c>
      <c r="P22" s="167">
        <v>42981</v>
      </c>
      <c r="S22" s="284"/>
      <c r="T22" s="39"/>
      <c r="U22" s="108"/>
      <c r="V22" s="39"/>
      <c r="W22" s="187"/>
      <c r="X22" s="38"/>
      <c r="Y22" s="128"/>
    </row>
    <row r="23" spans="1:25" ht="15.75" x14ac:dyDescent="0.25">
      <c r="A23" s="131">
        <v>43000</v>
      </c>
      <c r="B23" s="132" t="s">
        <v>991</v>
      </c>
      <c r="C23" s="133">
        <v>98004.02</v>
      </c>
      <c r="D23" s="128">
        <v>43008</v>
      </c>
      <c r="E23" s="133">
        <v>98004.02</v>
      </c>
      <c r="F23" s="135">
        <f t="shared" si="2"/>
        <v>0</v>
      </c>
      <c r="J23" s="179"/>
      <c r="K23" s="209"/>
      <c r="L23" s="196"/>
      <c r="M23" s="209"/>
      <c r="N23" s="160">
        <v>3932590</v>
      </c>
      <c r="O23" s="148">
        <v>16526.5</v>
      </c>
      <c r="P23" s="167">
        <v>42981</v>
      </c>
      <c r="S23" s="284"/>
      <c r="T23" s="39"/>
      <c r="U23" s="108"/>
      <c r="V23" s="39"/>
      <c r="W23" s="187"/>
      <c r="X23" s="38"/>
      <c r="Y23" s="128"/>
    </row>
    <row r="24" spans="1:25" ht="15.75" x14ac:dyDescent="0.25">
      <c r="A24" s="131">
        <v>43002</v>
      </c>
      <c r="B24" s="132" t="s">
        <v>992</v>
      </c>
      <c r="C24" s="133">
        <v>41025.870000000003</v>
      </c>
      <c r="D24" s="128">
        <v>43008</v>
      </c>
      <c r="E24" s="133">
        <v>41025.870000000003</v>
      </c>
      <c r="F24" s="135">
        <f t="shared" si="2"/>
        <v>0</v>
      </c>
      <c r="J24" s="179"/>
      <c r="K24" s="209"/>
      <c r="L24" s="196"/>
      <c r="M24" s="209"/>
      <c r="N24" s="160">
        <v>3932594</v>
      </c>
      <c r="O24" s="148">
        <v>23190.5</v>
      </c>
      <c r="P24" s="167">
        <v>42982</v>
      </c>
      <c r="S24" s="284"/>
      <c r="T24" s="39"/>
      <c r="U24" s="108"/>
      <c r="V24" s="39"/>
      <c r="W24" s="187"/>
      <c r="X24" s="38"/>
      <c r="Y24" s="128"/>
    </row>
    <row r="25" spans="1:25" ht="15.75" x14ac:dyDescent="0.25">
      <c r="A25" s="131">
        <v>43002</v>
      </c>
      <c r="B25" s="132" t="s">
        <v>993</v>
      </c>
      <c r="C25" s="133">
        <v>30999.54</v>
      </c>
      <c r="D25" s="128">
        <v>43008</v>
      </c>
      <c r="E25" s="133">
        <v>30999.54</v>
      </c>
      <c r="F25" s="135">
        <f t="shared" si="2"/>
        <v>0</v>
      </c>
      <c r="J25" s="179"/>
      <c r="K25" s="209"/>
      <c r="L25" s="196"/>
      <c r="M25" s="209"/>
      <c r="N25" s="160">
        <v>3932592</v>
      </c>
      <c r="O25" s="148">
        <v>54000</v>
      </c>
      <c r="P25" s="167">
        <v>42982</v>
      </c>
      <c r="S25" s="284"/>
      <c r="T25" s="39"/>
      <c r="U25" s="108"/>
      <c r="V25" s="39"/>
      <c r="W25" s="187"/>
      <c r="X25" s="38"/>
      <c r="Y25" s="128"/>
    </row>
    <row r="26" spans="1:25" ht="15.75" x14ac:dyDescent="0.25">
      <c r="A26" s="131">
        <v>43003</v>
      </c>
      <c r="B26" s="132" t="s">
        <v>994</v>
      </c>
      <c r="C26" s="133">
        <v>7419.1</v>
      </c>
      <c r="D26" s="128">
        <v>43008</v>
      </c>
      <c r="E26" s="133">
        <v>7419.1</v>
      </c>
      <c r="F26" s="135">
        <f t="shared" si="2"/>
        <v>0</v>
      </c>
      <c r="J26" s="179"/>
      <c r="K26" s="209"/>
      <c r="L26" s="196"/>
      <c r="M26" s="209"/>
      <c r="N26" s="160" t="s">
        <v>154</v>
      </c>
      <c r="O26" s="148">
        <v>2981</v>
      </c>
      <c r="P26" s="167">
        <v>42978</v>
      </c>
      <c r="S26" s="284"/>
      <c r="T26" s="39"/>
      <c r="U26" s="108"/>
      <c r="V26" s="39"/>
      <c r="W26" s="187"/>
      <c r="X26" s="38"/>
      <c r="Y26" s="128"/>
    </row>
    <row r="27" spans="1:25" ht="15.75" x14ac:dyDescent="0.25">
      <c r="A27" s="131">
        <v>43005</v>
      </c>
      <c r="B27" s="132" t="s">
        <v>995</v>
      </c>
      <c r="C27" s="133">
        <v>66337.119999999995</v>
      </c>
      <c r="D27" s="463" t="s">
        <v>1072</v>
      </c>
      <c r="E27" s="138">
        <f>64179.38+2157.74</f>
        <v>66337.119999999995</v>
      </c>
      <c r="F27" s="135">
        <f t="shared" si="2"/>
        <v>0</v>
      </c>
      <c r="J27" s="179"/>
      <c r="K27" s="209"/>
      <c r="L27" s="196"/>
      <c r="M27" s="209"/>
      <c r="N27" s="160">
        <v>3932595</v>
      </c>
      <c r="O27" s="148">
        <v>16174.5</v>
      </c>
      <c r="P27" s="167">
        <v>42983</v>
      </c>
      <c r="S27" s="284"/>
      <c r="T27" s="39"/>
      <c r="U27" s="108"/>
      <c r="V27" s="39"/>
      <c r="W27" s="187"/>
      <c r="X27" s="38"/>
      <c r="Y27" s="128"/>
    </row>
    <row r="28" spans="1:25" ht="16.5" thickBot="1" x14ac:dyDescent="0.3">
      <c r="A28" s="131">
        <v>43006</v>
      </c>
      <c r="B28" s="132" t="s">
        <v>996</v>
      </c>
      <c r="C28" s="133">
        <v>33157.64</v>
      </c>
      <c r="D28" s="137">
        <v>43022</v>
      </c>
      <c r="E28" s="138">
        <v>33157.64</v>
      </c>
      <c r="F28" s="135">
        <f t="shared" si="2"/>
        <v>0</v>
      </c>
      <c r="J28" s="179">
        <v>0</v>
      </c>
      <c r="K28" s="209"/>
      <c r="L28" s="196">
        <v>0</v>
      </c>
      <c r="M28" s="209"/>
      <c r="N28" s="210"/>
      <c r="O28" s="148">
        <v>0</v>
      </c>
      <c r="P28" s="167"/>
      <c r="S28" s="284"/>
      <c r="T28" s="39"/>
      <c r="U28" s="108"/>
      <c r="V28" s="39"/>
      <c r="W28" s="187"/>
      <c r="X28" s="38"/>
      <c r="Y28" s="128"/>
    </row>
    <row r="29" spans="1:25" ht="16.5" thickBot="1" x14ac:dyDescent="0.3">
      <c r="A29" s="131">
        <v>43007</v>
      </c>
      <c r="B29" s="366" t="s">
        <v>1035</v>
      </c>
      <c r="C29" s="339">
        <v>95816.92</v>
      </c>
      <c r="D29" s="137">
        <v>43022</v>
      </c>
      <c r="E29" s="138">
        <v>95816.92</v>
      </c>
      <c r="F29" s="135">
        <f t="shared" si="2"/>
        <v>0</v>
      </c>
      <c r="J29" s="273">
        <f>SUM(J1:J28)</f>
        <v>514586</v>
      </c>
      <c r="K29" s="271"/>
      <c r="L29" s="275">
        <f>SUM(L2:L28)</f>
        <v>498900.85000000009</v>
      </c>
      <c r="M29" s="276"/>
      <c r="N29" s="276"/>
      <c r="O29" s="275">
        <f>SUM(O2:O28)</f>
        <v>498901</v>
      </c>
      <c r="P29" s="272"/>
      <c r="S29" s="284"/>
      <c r="T29" s="39"/>
      <c r="U29" s="108"/>
      <c r="V29" s="39"/>
      <c r="W29" s="187"/>
      <c r="X29" s="38"/>
      <c r="Y29" s="128"/>
    </row>
    <row r="30" spans="1:25" ht="15.75" x14ac:dyDescent="0.25">
      <c r="A30" s="131">
        <v>43008</v>
      </c>
      <c r="B30" s="132" t="s">
        <v>1036</v>
      </c>
      <c r="C30" s="133">
        <v>67122.399999999994</v>
      </c>
      <c r="D30" s="137">
        <v>43022</v>
      </c>
      <c r="E30" s="138">
        <v>67122.399999999994</v>
      </c>
      <c r="F30" s="135">
        <f t="shared" si="2"/>
        <v>0</v>
      </c>
      <c r="S30" s="284"/>
      <c r="T30" s="39"/>
      <c r="U30" s="108"/>
      <c r="V30" s="39"/>
      <c r="W30" s="187"/>
      <c r="X30" s="38"/>
      <c r="Y30" s="128"/>
    </row>
    <row r="31" spans="1:25" ht="15.75" x14ac:dyDescent="0.25">
      <c r="A31" s="131">
        <v>43008</v>
      </c>
      <c r="B31" s="393" t="s">
        <v>1037</v>
      </c>
      <c r="C31" s="133">
        <v>90</v>
      </c>
      <c r="D31" s="137">
        <v>42749</v>
      </c>
      <c r="E31" s="138">
        <v>90</v>
      </c>
      <c r="F31" s="135">
        <f t="shared" si="2"/>
        <v>0</v>
      </c>
      <c r="S31" s="284"/>
      <c r="T31" s="39"/>
      <c r="U31" s="482"/>
      <c r="V31" s="483"/>
      <c r="W31" s="483"/>
      <c r="X31" s="482"/>
      <c r="Y31" s="39"/>
    </row>
    <row r="32" spans="1:25" x14ac:dyDescent="0.25">
      <c r="A32" s="287">
        <v>43007</v>
      </c>
      <c r="B32" s="290">
        <v>513</v>
      </c>
      <c r="C32" s="133">
        <v>344.76</v>
      </c>
      <c r="D32" s="128">
        <v>43005</v>
      </c>
      <c r="E32" s="133">
        <v>344.76</v>
      </c>
      <c r="F32" s="135">
        <f t="shared" si="2"/>
        <v>0</v>
      </c>
      <c r="S32" s="39"/>
      <c r="T32" s="39"/>
      <c r="U32" s="39"/>
      <c r="V32" s="39"/>
      <c r="W32" s="39"/>
      <c r="X32" s="39"/>
      <c r="Y32" s="39"/>
    </row>
    <row r="33" spans="1:16" x14ac:dyDescent="0.25">
      <c r="A33" s="287"/>
      <c r="B33" s="290"/>
      <c r="C33" s="133"/>
      <c r="D33" s="128"/>
      <c r="E33" s="133"/>
      <c r="F33" s="135">
        <f t="shared" si="0"/>
        <v>0</v>
      </c>
    </row>
    <row r="34" spans="1:16" ht="16.5" thickBot="1" x14ac:dyDescent="0.3">
      <c r="A34" s="287"/>
      <c r="B34" s="290"/>
      <c r="C34" s="133"/>
      <c r="D34" s="128"/>
      <c r="E34" s="133"/>
      <c r="F34" s="135">
        <f t="shared" si="0"/>
        <v>0</v>
      </c>
      <c r="J34" s="45"/>
      <c r="K34" s="154"/>
      <c r="L34" s="361">
        <v>43001</v>
      </c>
      <c r="M34" s="216"/>
      <c r="N34" s="217" t="s">
        <v>141</v>
      </c>
      <c r="O34" s="111"/>
      <c r="P34" s="158"/>
    </row>
    <row r="35" spans="1:16" ht="16.5" thickTop="1" x14ac:dyDescent="0.25">
      <c r="A35" s="287"/>
      <c r="B35" s="290"/>
      <c r="C35" s="133"/>
      <c r="D35" s="128"/>
      <c r="E35" s="133"/>
      <c r="F35" s="135">
        <f t="shared" si="0"/>
        <v>0</v>
      </c>
      <c r="J35" s="45">
        <f>6644+35413.5+18970+22374.5</f>
        <v>83402</v>
      </c>
      <c r="K35" s="132" t="s">
        <v>964</v>
      </c>
      <c r="L35" s="133">
        <v>64672.33</v>
      </c>
      <c r="M35" s="214" t="s">
        <v>143</v>
      </c>
      <c r="N35" s="160">
        <v>3932596</v>
      </c>
      <c r="O35" s="161">
        <v>35413.5</v>
      </c>
      <c r="P35" s="162">
        <v>42984</v>
      </c>
    </row>
    <row r="36" spans="1:16" ht="15.75" x14ac:dyDescent="0.25">
      <c r="A36" s="287"/>
      <c r="B36" s="367"/>
      <c r="C36" s="133"/>
      <c r="D36" s="128"/>
      <c r="E36" s="133"/>
      <c r="F36" s="135">
        <f t="shared" si="0"/>
        <v>0</v>
      </c>
      <c r="J36" s="45">
        <v>780</v>
      </c>
      <c r="K36" s="132" t="s">
        <v>966</v>
      </c>
      <c r="L36" s="133">
        <v>780</v>
      </c>
      <c r="M36" s="159"/>
      <c r="N36" s="160">
        <v>3932526</v>
      </c>
      <c r="O36" s="161">
        <v>3016</v>
      </c>
      <c r="P36" s="162">
        <v>42980</v>
      </c>
    </row>
    <row r="37" spans="1:16" ht="15.75" x14ac:dyDescent="0.25">
      <c r="A37" s="287"/>
      <c r="B37" s="367"/>
      <c r="C37" s="133"/>
      <c r="D37" s="128"/>
      <c r="E37" s="133"/>
      <c r="F37" s="135">
        <f t="shared" si="0"/>
        <v>0</v>
      </c>
      <c r="J37" s="45">
        <f>24527+8108</f>
        <v>32635</v>
      </c>
      <c r="K37" s="132" t="s">
        <v>967</v>
      </c>
      <c r="L37" s="133">
        <v>32635.05</v>
      </c>
      <c r="M37" s="163"/>
      <c r="N37" s="160" t="s">
        <v>154</v>
      </c>
      <c r="O37" s="161">
        <v>3628</v>
      </c>
      <c r="P37" s="162">
        <v>42982</v>
      </c>
    </row>
    <row r="38" spans="1:16" ht="15.75" x14ac:dyDescent="0.25">
      <c r="A38" s="287"/>
      <c r="B38" s="367"/>
      <c r="C38" s="133"/>
      <c r="D38" s="128"/>
      <c r="E38" s="133"/>
      <c r="F38" s="135">
        <f t="shared" si="0"/>
        <v>0</v>
      </c>
      <c r="J38" s="45">
        <v>34734</v>
      </c>
      <c r="K38" s="132" t="s">
        <v>979</v>
      </c>
      <c r="L38" s="133">
        <v>34733.81</v>
      </c>
      <c r="M38" s="164"/>
      <c r="N38" s="160">
        <v>3932597</v>
      </c>
      <c r="O38" s="161">
        <v>18970</v>
      </c>
      <c r="P38" s="162">
        <v>42985</v>
      </c>
    </row>
    <row r="39" spans="1:16" ht="15.75" x14ac:dyDescent="0.25">
      <c r="A39" s="287"/>
      <c r="B39" s="290"/>
      <c r="C39" s="133"/>
      <c r="D39" s="128"/>
      <c r="E39" s="133"/>
      <c r="F39" s="289">
        <f t="shared" si="0"/>
        <v>0</v>
      </c>
      <c r="J39" s="45">
        <f>26141+45007.5+5152.5</f>
        <v>76301</v>
      </c>
      <c r="K39" s="132" t="s">
        <v>980</v>
      </c>
      <c r="L39" s="133">
        <v>76300.81</v>
      </c>
      <c r="M39" s="277"/>
      <c r="N39" s="160">
        <v>3932599</v>
      </c>
      <c r="O39" s="161">
        <v>22681.5</v>
      </c>
      <c r="P39" s="162">
        <v>42986</v>
      </c>
    </row>
    <row r="40" spans="1:16" ht="15.75" x14ac:dyDescent="0.25">
      <c r="A40" s="287"/>
      <c r="B40" s="290"/>
      <c r="C40" s="133"/>
      <c r="D40" s="128"/>
      <c r="E40" s="133"/>
      <c r="F40" s="289">
        <f t="shared" si="0"/>
        <v>0</v>
      </c>
      <c r="J40" s="45">
        <v>6445</v>
      </c>
      <c r="K40" s="132" t="s">
        <v>981</v>
      </c>
      <c r="L40" s="133">
        <v>6445</v>
      </c>
      <c r="M40" s="163"/>
      <c r="N40" s="160">
        <v>3932598</v>
      </c>
      <c r="O40" s="161">
        <v>25000</v>
      </c>
      <c r="P40" s="162">
        <v>42986</v>
      </c>
    </row>
    <row r="41" spans="1:16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56665+20597.5</f>
        <v>77262.5</v>
      </c>
      <c r="K41" s="132" t="s">
        <v>982</v>
      </c>
      <c r="L41" s="133">
        <v>77262.320000000007</v>
      </c>
      <c r="M41" s="165"/>
      <c r="N41" s="160">
        <v>3534551</v>
      </c>
      <c r="O41" s="166">
        <v>17000</v>
      </c>
      <c r="P41" s="167">
        <v>42987</v>
      </c>
    </row>
    <row r="42" spans="1:16" ht="16.5" thickBot="1" x14ac:dyDescent="0.3">
      <c r="A42" s="131"/>
      <c r="B42" s="291"/>
      <c r="C42" s="139"/>
      <c r="D42" s="209"/>
      <c r="E42" s="139"/>
      <c r="F42" s="166">
        <f t="shared" si="0"/>
        <v>0</v>
      </c>
      <c r="J42" s="45">
        <v>948</v>
      </c>
      <c r="K42" s="132" t="s">
        <v>983</v>
      </c>
      <c r="L42" s="133">
        <v>948</v>
      </c>
      <c r="M42" s="163"/>
      <c r="N42" s="160">
        <v>3932600</v>
      </c>
      <c r="O42" s="148">
        <v>30000</v>
      </c>
      <c r="P42" s="167">
        <v>42987</v>
      </c>
    </row>
    <row r="43" spans="1:16" ht="16.5" thickBot="1" x14ac:dyDescent="0.3">
      <c r="A43" s="271"/>
      <c r="B43" s="335"/>
      <c r="C43" s="336">
        <f>SUM(C3:C42)</f>
        <v>1419732.79</v>
      </c>
      <c r="D43" s="335"/>
      <c r="E43" s="275">
        <f>SUM(E3:E42)</f>
        <v>1419732.79</v>
      </c>
      <c r="F43" s="488">
        <f>SUM(F3:F42)</f>
        <v>0</v>
      </c>
      <c r="J43" s="45">
        <f>3310+36892.5+38526</f>
        <v>78728.5</v>
      </c>
      <c r="K43" s="132" t="s">
        <v>984</v>
      </c>
      <c r="L43" s="133">
        <v>78728.67</v>
      </c>
      <c r="M43" s="168"/>
      <c r="N43" s="160">
        <v>3534552</v>
      </c>
      <c r="O43" s="161">
        <v>21983</v>
      </c>
      <c r="P43" s="162">
        <v>42987</v>
      </c>
    </row>
    <row r="44" spans="1:16" ht="15.75" x14ac:dyDescent="0.25">
      <c r="J44" s="45">
        <f>24571+14818+35304.5</f>
        <v>74693.5</v>
      </c>
      <c r="K44" s="132" t="s">
        <v>985</v>
      </c>
      <c r="L44" s="133">
        <v>74693.36</v>
      </c>
      <c r="M44" s="168"/>
      <c r="N44" s="160">
        <v>3534553</v>
      </c>
      <c r="O44" s="161">
        <v>25000</v>
      </c>
      <c r="P44" s="162">
        <v>42988</v>
      </c>
    </row>
    <row r="45" spans="1:16" ht="15.75" x14ac:dyDescent="0.25">
      <c r="J45" s="45">
        <f>28700.5+59111.5+25314.5</f>
        <v>113126.5</v>
      </c>
      <c r="K45" s="132" t="s">
        <v>986</v>
      </c>
      <c r="L45" s="133">
        <v>113126.66</v>
      </c>
      <c r="M45" s="168"/>
      <c r="N45" s="160">
        <v>3534554</v>
      </c>
      <c r="O45" s="161">
        <v>19000</v>
      </c>
      <c r="P45" s="162">
        <v>42988</v>
      </c>
    </row>
    <row r="46" spans="1:16" ht="15.75" x14ac:dyDescent="0.25">
      <c r="J46" s="45">
        <v>59304</v>
      </c>
      <c r="K46" s="132" t="s">
        <v>987</v>
      </c>
      <c r="L46" s="133">
        <v>65670.350000000006</v>
      </c>
      <c r="M46" s="168"/>
      <c r="N46" s="160" t="s">
        <v>154</v>
      </c>
      <c r="O46" s="161">
        <v>1007.5</v>
      </c>
      <c r="P46" s="162">
        <v>42990</v>
      </c>
    </row>
    <row r="47" spans="1:16" ht="15.75" x14ac:dyDescent="0.25">
      <c r="J47" s="45"/>
      <c r="K47" s="132" t="s">
        <v>988</v>
      </c>
      <c r="L47" s="133">
        <v>12363.64</v>
      </c>
      <c r="M47" s="204" t="s">
        <v>368</v>
      </c>
      <c r="N47" s="160">
        <v>3534555</v>
      </c>
      <c r="O47" s="161">
        <v>55190</v>
      </c>
      <c r="P47" s="162">
        <v>42989</v>
      </c>
    </row>
    <row r="48" spans="1:16" ht="15.75" x14ac:dyDescent="0.25">
      <c r="J48" s="45"/>
      <c r="K48" s="365"/>
      <c r="L48" s="364"/>
      <c r="M48" s="168"/>
      <c r="N48" s="160">
        <v>3534556</v>
      </c>
      <c r="O48" s="161">
        <v>13072.5</v>
      </c>
      <c r="P48" s="162">
        <v>42989</v>
      </c>
    </row>
    <row r="49" spans="10:16" ht="15.75" x14ac:dyDescent="0.25">
      <c r="J49" s="45"/>
      <c r="K49" s="132"/>
      <c r="L49" s="133"/>
      <c r="M49" s="197"/>
      <c r="N49" s="160">
        <v>3534557</v>
      </c>
      <c r="O49" s="148">
        <v>24855.5</v>
      </c>
      <c r="P49" s="167">
        <v>42990</v>
      </c>
    </row>
    <row r="50" spans="10:16" ht="15.75" x14ac:dyDescent="0.25">
      <c r="J50" s="45"/>
      <c r="K50" s="132"/>
      <c r="L50" s="133"/>
      <c r="M50" s="344"/>
      <c r="N50" s="160">
        <v>3534558</v>
      </c>
      <c r="O50" s="148">
        <v>30000</v>
      </c>
      <c r="P50" s="167">
        <v>42991</v>
      </c>
    </row>
    <row r="51" spans="10:16" ht="15.75" x14ac:dyDescent="0.25">
      <c r="J51" s="45"/>
      <c r="K51" s="132"/>
      <c r="L51" s="133"/>
      <c r="M51" s="344"/>
      <c r="N51" s="160">
        <v>3534559</v>
      </c>
      <c r="O51" s="148">
        <v>6892.5</v>
      </c>
      <c r="P51" s="167">
        <v>42991</v>
      </c>
    </row>
    <row r="52" spans="10:16" ht="15.75" x14ac:dyDescent="0.25">
      <c r="J52" s="179"/>
      <c r="K52" s="132"/>
      <c r="L52" s="133"/>
      <c r="M52" s="172"/>
      <c r="N52" s="160">
        <v>3534560</v>
      </c>
      <c r="O52" s="148">
        <v>40000</v>
      </c>
      <c r="P52" s="167">
        <v>42992</v>
      </c>
    </row>
    <row r="53" spans="10:16" ht="15.75" x14ac:dyDescent="0.25">
      <c r="J53" s="179"/>
      <c r="K53" s="132"/>
      <c r="L53" s="133"/>
      <c r="M53" s="172"/>
      <c r="N53" s="160">
        <v>3534561</v>
      </c>
      <c r="O53" s="148">
        <v>23097</v>
      </c>
      <c r="P53" s="167">
        <v>42992</v>
      </c>
    </row>
    <row r="54" spans="10:16" ht="15.75" x14ac:dyDescent="0.25">
      <c r="J54" s="179"/>
      <c r="K54" s="132"/>
      <c r="L54" s="133"/>
      <c r="M54" s="198"/>
      <c r="N54" s="160">
        <v>3534563</v>
      </c>
      <c r="O54" s="148">
        <v>14005</v>
      </c>
      <c r="P54" s="167">
        <v>42993</v>
      </c>
    </row>
    <row r="55" spans="10:16" ht="15.75" x14ac:dyDescent="0.25">
      <c r="J55" s="179"/>
      <c r="K55" s="209"/>
      <c r="L55" s="196"/>
      <c r="M55" s="209"/>
      <c r="N55" s="160">
        <v>3534562</v>
      </c>
      <c r="O55" s="148">
        <v>50000</v>
      </c>
      <c r="P55" s="167">
        <v>42993</v>
      </c>
    </row>
    <row r="56" spans="10:16" ht="15.75" x14ac:dyDescent="0.25">
      <c r="J56" s="179"/>
      <c r="K56" s="209"/>
      <c r="L56" s="196"/>
      <c r="M56" s="209"/>
      <c r="N56" s="160" t="s">
        <v>154</v>
      </c>
      <c r="O56" s="148">
        <v>2985</v>
      </c>
      <c r="P56" s="167">
        <v>42985</v>
      </c>
    </row>
    <row r="57" spans="10:16" ht="15.75" x14ac:dyDescent="0.25">
      <c r="J57" s="179"/>
      <c r="K57" s="209"/>
      <c r="L57" s="196"/>
      <c r="M57" s="209"/>
      <c r="N57" s="160" t="s">
        <v>154</v>
      </c>
      <c r="O57" s="148">
        <v>7835</v>
      </c>
      <c r="P57" s="167">
        <v>42989</v>
      </c>
    </row>
    <row r="58" spans="10:16" ht="15.75" x14ac:dyDescent="0.25">
      <c r="J58" s="179"/>
      <c r="K58" s="209"/>
      <c r="L58" s="196"/>
      <c r="M58" s="209"/>
      <c r="N58" s="160" t="s">
        <v>154</v>
      </c>
      <c r="O58" s="148">
        <v>2357</v>
      </c>
      <c r="P58" s="167">
        <v>42992</v>
      </c>
    </row>
    <row r="59" spans="10:16" ht="15.75" x14ac:dyDescent="0.25">
      <c r="J59" s="179"/>
      <c r="K59" s="209"/>
      <c r="L59" s="196"/>
      <c r="M59" s="209"/>
      <c r="N59" s="160" t="s">
        <v>154</v>
      </c>
      <c r="O59" s="148">
        <v>1641</v>
      </c>
      <c r="P59" s="167">
        <v>42989</v>
      </c>
    </row>
    <row r="60" spans="10:16" ht="15.75" x14ac:dyDescent="0.25">
      <c r="J60" s="179"/>
      <c r="K60" s="209"/>
      <c r="L60" s="196"/>
      <c r="M60" s="209"/>
      <c r="N60" s="160">
        <v>3534564</v>
      </c>
      <c r="O60" s="148">
        <v>35000</v>
      </c>
      <c r="P60" s="167">
        <v>42994</v>
      </c>
    </row>
    <row r="61" spans="10:16" ht="15.75" x14ac:dyDescent="0.25">
      <c r="J61" s="179"/>
      <c r="K61" s="209"/>
      <c r="L61" s="196"/>
      <c r="M61" s="209"/>
      <c r="N61" s="160">
        <v>3534565</v>
      </c>
      <c r="O61" s="148">
        <v>24111.5</v>
      </c>
      <c r="P61" s="167">
        <v>42994</v>
      </c>
    </row>
    <row r="62" spans="10:16" ht="15.75" x14ac:dyDescent="0.25">
      <c r="J62" s="179"/>
      <c r="K62" s="209"/>
      <c r="L62" s="196"/>
      <c r="M62" s="209"/>
      <c r="N62" s="160">
        <v>3534566</v>
      </c>
      <c r="O62" s="148">
        <v>40000</v>
      </c>
      <c r="P62" s="167">
        <v>42995</v>
      </c>
    </row>
    <row r="63" spans="10:16" ht="16.5" thickBot="1" x14ac:dyDescent="0.3">
      <c r="J63" s="179"/>
      <c r="K63" s="209"/>
      <c r="L63" s="196"/>
      <c r="M63" s="209"/>
      <c r="N63" s="160">
        <v>3534567</v>
      </c>
      <c r="O63" s="148">
        <v>44618.5</v>
      </c>
      <c r="P63" s="167">
        <v>42995</v>
      </c>
    </row>
    <row r="64" spans="10:16" ht="16.5" thickBot="1" x14ac:dyDescent="0.3">
      <c r="J64" s="273">
        <f>SUM(J34:J63)</f>
        <v>638360</v>
      </c>
      <c r="K64" s="271"/>
      <c r="L64" s="275">
        <f>SUM(L35:L63)</f>
        <v>638360</v>
      </c>
      <c r="M64" s="276"/>
      <c r="N64" s="276"/>
      <c r="O64" s="275">
        <f>SUM(O35:O63)</f>
        <v>638360</v>
      </c>
      <c r="P64" s="272"/>
    </row>
  </sheetData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N68"/>
  <sheetViews>
    <sheetView topLeftCell="A28" workbookViewId="0">
      <selection activeCell="D51" sqref="D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5.8554687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" customWidth="1"/>
    <col min="14" max="14" width="8" customWidth="1"/>
  </cols>
  <sheetData>
    <row r="1" spans="1:13" ht="23.25" x14ac:dyDescent="0.35">
      <c r="A1" s="1"/>
      <c r="B1" s="594" t="s">
        <v>1140</v>
      </c>
      <c r="C1" s="594"/>
      <c r="D1" s="594"/>
      <c r="E1" s="594"/>
      <c r="F1" s="594"/>
      <c r="G1" s="594"/>
      <c r="H1" s="594"/>
      <c r="I1" s="594"/>
      <c r="J1" s="594"/>
      <c r="L1" s="529" t="s">
        <v>1</v>
      </c>
      <c r="M1" s="3"/>
    </row>
    <row r="2" spans="1:13" ht="15.75" thickBot="1" x14ac:dyDescent="0.3">
      <c r="A2" s="1"/>
      <c r="B2" s="5"/>
      <c r="D2" s="520"/>
      <c r="E2" s="8"/>
      <c r="L2" s="3"/>
      <c r="M2" s="3"/>
    </row>
    <row r="3" spans="1:13" ht="19.5" customHeight="1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3"/>
      <c r="M3" s="3"/>
    </row>
    <row r="4" spans="1:13" ht="20.25" thickTop="1" thickBot="1" x14ac:dyDescent="0.35">
      <c r="A4" s="582"/>
      <c r="B4" s="13">
        <v>175123.68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504" t="s">
        <v>11</v>
      </c>
    </row>
    <row r="5" spans="1:13" ht="17.25" thickTop="1" thickBot="1" x14ac:dyDescent="0.3">
      <c r="A5" s="412">
        <v>43009</v>
      </c>
      <c r="B5" s="413">
        <v>0</v>
      </c>
      <c r="C5" s="20"/>
      <c r="D5" s="433">
        <v>43009</v>
      </c>
      <c r="E5" s="434">
        <v>52832.800000000003</v>
      </c>
      <c r="F5" s="23"/>
      <c r="G5" s="24">
        <v>43009</v>
      </c>
      <c r="H5" s="439">
        <v>10</v>
      </c>
      <c r="I5" s="26"/>
      <c r="J5" s="451"/>
      <c r="K5" s="451"/>
      <c r="L5" s="542">
        <v>63529.5</v>
      </c>
    </row>
    <row r="6" spans="1:13" ht="17.25" thickTop="1" thickBot="1" x14ac:dyDescent="0.3">
      <c r="A6" s="414">
        <v>43010</v>
      </c>
      <c r="B6" s="415">
        <v>0</v>
      </c>
      <c r="C6" s="20"/>
      <c r="D6" s="435">
        <v>43010</v>
      </c>
      <c r="E6" s="436">
        <v>68216.75</v>
      </c>
      <c r="F6" s="36"/>
      <c r="G6" s="526">
        <v>43010</v>
      </c>
      <c r="H6" s="440">
        <v>0</v>
      </c>
      <c r="I6" s="38"/>
      <c r="J6" s="106" t="s">
        <v>15</v>
      </c>
      <c r="K6" s="452">
        <v>599</v>
      </c>
      <c r="L6" s="542">
        <v>57510.2</v>
      </c>
    </row>
    <row r="7" spans="1:13" ht="15.75" thickBot="1" x14ac:dyDescent="0.3">
      <c r="A7" s="414">
        <v>43011</v>
      </c>
      <c r="B7" s="415">
        <v>21943</v>
      </c>
      <c r="C7" s="20" t="s">
        <v>1083</v>
      </c>
      <c r="D7" s="435">
        <v>43011</v>
      </c>
      <c r="E7" s="436">
        <v>21942.85</v>
      </c>
      <c r="F7" s="23"/>
      <c r="G7" s="527">
        <v>43011</v>
      </c>
      <c r="H7" s="440">
        <v>0</v>
      </c>
      <c r="I7" s="38"/>
      <c r="J7" s="459" t="s">
        <v>18</v>
      </c>
      <c r="K7" s="453">
        <v>9765</v>
      </c>
      <c r="L7" s="530">
        <v>21943</v>
      </c>
      <c r="M7" s="29"/>
    </row>
    <row r="8" spans="1:13" ht="15.75" thickBot="1" x14ac:dyDescent="0.3">
      <c r="A8" s="414">
        <v>43012</v>
      </c>
      <c r="B8" s="415">
        <v>26708</v>
      </c>
      <c r="C8" s="48" t="s">
        <v>1084</v>
      </c>
      <c r="D8" s="435">
        <v>43012</v>
      </c>
      <c r="E8" s="436">
        <v>26707.77</v>
      </c>
      <c r="F8" s="23"/>
      <c r="G8" s="527">
        <v>43012</v>
      </c>
      <c r="H8" s="440">
        <v>188</v>
      </c>
      <c r="I8" s="38"/>
      <c r="J8" s="106" t="s">
        <v>22</v>
      </c>
      <c r="K8" s="489">
        <f>7187.5+7187.5+7187.5+7187.5</f>
        <v>28750</v>
      </c>
      <c r="L8" s="530">
        <v>26708</v>
      </c>
      <c r="M8" s="29"/>
    </row>
    <row r="9" spans="1:13" ht="15.75" thickBot="1" x14ac:dyDescent="0.3">
      <c r="A9" s="414">
        <v>43013</v>
      </c>
      <c r="B9" s="415">
        <v>43316</v>
      </c>
      <c r="C9" s="50" t="s">
        <v>1085</v>
      </c>
      <c r="D9" s="435">
        <v>43013</v>
      </c>
      <c r="E9" s="436">
        <v>30715.7</v>
      </c>
      <c r="F9" s="23"/>
      <c r="G9" s="527">
        <v>43013</v>
      </c>
      <c r="H9" s="440">
        <v>0</v>
      </c>
      <c r="I9" s="38" t="s">
        <v>1125</v>
      </c>
      <c r="J9" s="106" t="s">
        <v>1100</v>
      </c>
      <c r="K9" s="191">
        <v>8679.3529999999992</v>
      </c>
      <c r="L9" s="530">
        <v>43316</v>
      </c>
      <c r="M9" s="29"/>
    </row>
    <row r="10" spans="1:13" ht="15.75" thickBot="1" x14ac:dyDescent="0.3">
      <c r="A10" s="414">
        <v>43014</v>
      </c>
      <c r="B10" s="415">
        <v>64185.8</v>
      </c>
      <c r="C10" s="48" t="s">
        <v>1086</v>
      </c>
      <c r="D10" s="435">
        <v>43014</v>
      </c>
      <c r="E10" s="436">
        <v>64290.8</v>
      </c>
      <c r="F10" s="23"/>
      <c r="G10" s="527">
        <v>43014</v>
      </c>
      <c r="H10" s="440">
        <v>105</v>
      </c>
      <c r="I10" s="51" t="s">
        <v>1126</v>
      </c>
      <c r="J10" s="106" t="s">
        <v>1101</v>
      </c>
      <c r="K10" s="191">
        <v>7501.99</v>
      </c>
      <c r="L10" s="530">
        <v>64186</v>
      </c>
      <c r="M10" s="29"/>
    </row>
    <row r="11" spans="1:13" ht="15.75" thickBot="1" x14ac:dyDescent="0.3">
      <c r="A11" s="414">
        <v>43015</v>
      </c>
      <c r="B11" s="415">
        <v>90049</v>
      </c>
      <c r="C11" s="48" t="s">
        <v>1087</v>
      </c>
      <c r="D11" s="435">
        <v>43015</v>
      </c>
      <c r="E11" s="436">
        <v>9348.6</v>
      </c>
      <c r="F11" s="23"/>
      <c r="G11" s="527">
        <v>43015</v>
      </c>
      <c r="H11" s="440">
        <v>0</v>
      </c>
      <c r="I11" s="51" t="s">
        <v>1127</v>
      </c>
      <c r="J11" s="106" t="s">
        <v>1102</v>
      </c>
      <c r="K11" s="191">
        <v>7901.11</v>
      </c>
      <c r="L11" s="530">
        <v>90049</v>
      </c>
      <c r="M11" s="456"/>
    </row>
    <row r="12" spans="1:13" ht="15.75" thickBot="1" x14ac:dyDescent="0.3">
      <c r="A12" s="414">
        <v>43016</v>
      </c>
      <c r="B12" s="415">
        <v>52057.65</v>
      </c>
      <c r="C12" s="48" t="s">
        <v>1088</v>
      </c>
      <c r="D12" s="435">
        <v>43016</v>
      </c>
      <c r="E12" s="436">
        <v>52067.65</v>
      </c>
      <c r="F12" s="23"/>
      <c r="G12" s="527">
        <v>43016</v>
      </c>
      <c r="H12" s="440">
        <v>10</v>
      </c>
      <c r="I12" s="51" t="s">
        <v>1144</v>
      </c>
      <c r="J12" s="106" t="s">
        <v>1103</v>
      </c>
      <c r="K12" s="191">
        <v>8447.69</v>
      </c>
      <c r="L12" s="530">
        <v>52058</v>
      </c>
      <c r="M12" s="29"/>
    </row>
    <row r="13" spans="1:13" ht="15.75" thickBot="1" x14ac:dyDescent="0.3">
      <c r="A13" s="414">
        <v>43017</v>
      </c>
      <c r="B13" s="415">
        <v>59137.95</v>
      </c>
      <c r="C13" s="48" t="s">
        <v>1089</v>
      </c>
      <c r="D13" s="435">
        <v>43017</v>
      </c>
      <c r="E13" s="436">
        <v>59137.95</v>
      </c>
      <c r="F13" s="23"/>
      <c r="G13" s="527">
        <v>43017</v>
      </c>
      <c r="H13" s="440">
        <v>0</v>
      </c>
      <c r="I13" s="38"/>
      <c r="J13" s="368"/>
      <c r="K13" s="452">
        <v>0</v>
      </c>
      <c r="L13" s="530">
        <v>59138</v>
      </c>
      <c r="M13" s="29"/>
    </row>
    <row r="14" spans="1:13" ht="15.75" thickBot="1" x14ac:dyDescent="0.3">
      <c r="A14" s="414">
        <v>43018</v>
      </c>
      <c r="B14" s="415">
        <v>24595.8</v>
      </c>
      <c r="C14" s="50" t="s">
        <v>1090</v>
      </c>
      <c r="D14" s="435">
        <v>43018</v>
      </c>
      <c r="E14" s="436">
        <v>24595.8</v>
      </c>
      <c r="F14" s="23"/>
      <c r="G14" s="527">
        <v>43018</v>
      </c>
      <c r="H14" s="440">
        <v>0</v>
      </c>
      <c r="I14" s="38"/>
      <c r="J14" s="460"/>
      <c r="K14" s="452">
        <v>0</v>
      </c>
      <c r="L14" s="530">
        <v>24596</v>
      </c>
      <c r="M14" s="29"/>
    </row>
    <row r="15" spans="1:13" ht="15.75" thickBot="1" x14ac:dyDescent="0.3">
      <c r="A15" s="414">
        <v>43019</v>
      </c>
      <c r="B15" s="415">
        <v>31097.25</v>
      </c>
      <c r="C15" s="50" t="s">
        <v>1092</v>
      </c>
      <c r="D15" s="435">
        <v>43019</v>
      </c>
      <c r="E15" s="436">
        <v>31097.25</v>
      </c>
      <c r="F15" s="23"/>
      <c r="G15" s="527">
        <v>43019</v>
      </c>
      <c r="H15" s="440">
        <v>0</v>
      </c>
      <c r="I15" s="38"/>
      <c r="J15" s="481" t="s">
        <v>44</v>
      </c>
      <c r="K15" s="452">
        <v>0</v>
      </c>
      <c r="L15" s="530">
        <v>31097.25</v>
      </c>
      <c r="M15" s="456"/>
    </row>
    <row r="16" spans="1:13" ht="15.75" thickBot="1" x14ac:dyDescent="0.3">
      <c r="A16" s="414">
        <v>43020</v>
      </c>
      <c r="B16" s="415">
        <v>32942.858</v>
      </c>
      <c r="C16" s="50" t="s">
        <v>1093</v>
      </c>
      <c r="D16" s="435">
        <v>43020</v>
      </c>
      <c r="E16" s="436">
        <v>32942.85</v>
      </c>
      <c r="F16" s="23"/>
      <c r="G16" s="527">
        <v>43020</v>
      </c>
      <c r="H16" s="440">
        <v>0</v>
      </c>
      <c r="I16" s="38"/>
      <c r="J16" s="54"/>
      <c r="K16" s="455">
        <v>0</v>
      </c>
      <c r="L16" s="530">
        <v>32943</v>
      </c>
      <c r="M16" s="29"/>
    </row>
    <row r="17" spans="1:14" ht="15.75" customHeight="1" thickBot="1" x14ac:dyDescent="0.3">
      <c r="A17" s="414">
        <v>43021</v>
      </c>
      <c r="B17" s="415">
        <v>71240.5</v>
      </c>
      <c r="C17" s="50" t="s">
        <v>1094</v>
      </c>
      <c r="D17" s="435">
        <v>43021</v>
      </c>
      <c r="E17" s="436">
        <v>71240.5</v>
      </c>
      <c r="F17" s="23"/>
      <c r="G17" s="527">
        <v>43021</v>
      </c>
      <c r="H17" s="440">
        <v>0</v>
      </c>
      <c r="I17" s="38"/>
      <c r="J17" s="591" t="s">
        <v>49</v>
      </c>
      <c r="K17" s="455">
        <v>0</v>
      </c>
      <c r="L17" s="530">
        <v>71240.5</v>
      </c>
      <c r="M17" s="29"/>
    </row>
    <row r="18" spans="1:14" ht="15.75" thickBot="1" x14ac:dyDescent="0.3">
      <c r="A18" s="414">
        <v>43022</v>
      </c>
      <c r="B18" s="415">
        <v>89883</v>
      </c>
      <c r="C18" s="48" t="s">
        <v>1095</v>
      </c>
      <c r="D18" s="435">
        <v>43022</v>
      </c>
      <c r="E18" s="436">
        <v>89582.9</v>
      </c>
      <c r="F18" s="23"/>
      <c r="G18" s="527">
        <v>43022</v>
      </c>
      <c r="H18" s="440">
        <v>0</v>
      </c>
      <c r="I18" s="56"/>
      <c r="J18" s="591"/>
      <c r="K18" s="456">
        <v>0</v>
      </c>
      <c r="L18" s="530">
        <v>89883</v>
      </c>
      <c r="M18" s="29"/>
    </row>
    <row r="19" spans="1:14" ht="16.5" thickBot="1" x14ac:dyDescent="0.3">
      <c r="A19" s="414">
        <v>43023</v>
      </c>
      <c r="B19" s="415">
        <v>69306.509999999995</v>
      </c>
      <c r="C19" s="50" t="s">
        <v>1148</v>
      </c>
      <c r="D19" s="435">
        <v>43023</v>
      </c>
      <c r="E19" s="436">
        <v>69413.509999999995</v>
      </c>
      <c r="F19" s="23"/>
      <c r="G19" s="527">
        <v>43023</v>
      </c>
      <c r="H19" s="440">
        <v>107</v>
      </c>
      <c r="I19" s="38"/>
      <c r="J19" s="368" t="s">
        <v>54</v>
      </c>
      <c r="K19" s="456">
        <v>0</v>
      </c>
      <c r="L19" s="530">
        <v>68911</v>
      </c>
      <c r="M19" s="495"/>
    </row>
    <row r="20" spans="1:14" ht="16.5" thickBot="1" x14ac:dyDescent="0.3">
      <c r="A20" s="414">
        <v>43024</v>
      </c>
      <c r="B20" s="415">
        <v>36987.75</v>
      </c>
      <c r="C20" s="57" t="s">
        <v>1121</v>
      </c>
      <c r="D20" s="435">
        <v>43024</v>
      </c>
      <c r="E20" s="436">
        <v>36987.75</v>
      </c>
      <c r="F20" s="23"/>
      <c r="G20" s="527">
        <v>43024</v>
      </c>
      <c r="H20" s="440">
        <v>0</v>
      </c>
      <c r="I20" s="58"/>
      <c r="J20" s="59" t="s">
        <v>57</v>
      </c>
      <c r="K20" s="109">
        <v>0</v>
      </c>
      <c r="L20" s="530">
        <v>36988</v>
      </c>
      <c r="M20" s="495"/>
    </row>
    <row r="21" spans="1:14" ht="15.75" thickBot="1" x14ac:dyDescent="0.3">
      <c r="A21" s="414">
        <v>43025</v>
      </c>
      <c r="B21" s="415">
        <v>19726</v>
      </c>
      <c r="C21" s="57" t="s">
        <v>1122</v>
      </c>
      <c r="D21" s="435">
        <v>43025</v>
      </c>
      <c r="E21" s="436">
        <v>19796</v>
      </c>
      <c r="F21" s="23"/>
      <c r="G21" s="527">
        <v>43025</v>
      </c>
      <c r="H21" s="440">
        <v>70</v>
      </c>
      <c r="I21" s="450" t="s">
        <v>638</v>
      </c>
      <c r="J21" s="63"/>
      <c r="K21" s="109"/>
      <c r="L21" s="530">
        <v>19796</v>
      </c>
      <c r="M21" s="456">
        <v>70</v>
      </c>
      <c r="N21" s="580" t="s">
        <v>1175</v>
      </c>
    </row>
    <row r="22" spans="1:14" ht="16.5" thickBot="1" x14ac:dyDescent="0.3">
      <c r="A22" s="414">
        <v>43026</v>
      </c>
      <c r="B22" s="415">
        <v>39756</v>
      </c>
      <c r="C22" s="50" t="s">
        <v>1123</v>
      </c>
      <c r="D22" s="435">
        <v>43026</v>
      </c>
      <c r="E22" s="436">
        <v>52813.97</v>
      </c>
      <c r="F22" s="23"/>
      <c r="G22" s="527">
        <v>43026</v>
      </c>
      <c r="H22" s="440">
        <v>0</v>
      </c>
      <c r="I22" s="58"/>
      <c r="J22" s="449"/>
      <c r="K22" s="109">
        <v>0</v>
      </c>
      <c r="L22" s="530">
        <f>50954+600</f>
        <v>51554</v>
      </c>
      <c r="M22" s="554">
        <v>-1259.97</v>
      </c>
      <c r="N22" s="12" t="s">
        <v>1176</v>
      </c>
    </row>
    <row r="23" spans="1:14" ht="15.75" thickBot="1" x14ac:dyDescent="0.3">
      <c r="A23" s="414">
        <v>43027</v>
      </c>
      <c r="B23" s="415">
        <v>46122</v>
      </c>
      <c r="C23" s="50" t="s">
        <v>1124</v>
      </c>
      <c r="D23" s="435">
        <v>43027</v>
      </c>
      <c r="E23" s="436">
        <v>46122.2</v>
      </c>
      <c r="F23" s="23"/>
      <c r="G23" s="527">
        <v>43027</v>
      </c>
      <c r="H23" s="440">
        <v>0</v>
      </c>
      <c r="I23" s="38"/>
      <c r="J23" s="63"/>
      <c r="K23" s="109">
        <v>0</v>
      </c>
      <c r="L23" s="530">
        <v>46122</v>
      </c>
      <c r="M23" s="29"/>
    </row>
    <row r="24" spans="1:14" ht="15.75" thickBot="1" x14ac:dyDescent="0.3">
      <c r="A24" s="414">
        <v>43028</v>
      </c>
      <c r="B24" s="415">
        <v>43834.17</v>
      </c>
      <c r="C24" s="50" t="s">
        <v>1128</v>
      </c>
      <c r="D24" s="435">
        <v>43028</v>
      </c>
      <c r="E24" s="436">
        <v>43834.17</v>
      </c>
      <c r="F24" s="23"/>
      <c r="G24" s="527">
        <v>43028</v>
      </c>
      <c r="H24" s="440">
        <v>0</v>
      </c>
      <c r="I24" s="38"/>
      <c r="J24" s="359" t="s">
        <v>66</v>
      </c>
      <c r="K24" s="109">
        <v>870</v>
      </c>
      <c r="L24" s="530">
        <v>43834</v>
      </c>
      <c r="M24" s="29"/>
    </row>
    <row r="25" spans="1:14" ht="15.75" thickBot="1" x14ac:dyDescent="0.3">
      <c r="A25" s="414">
        <v>43029</v>
      </c>
      <c r="B25" s="415">
        <v>88209.79</v>
      </c>
      <c r="C25" s="57" t="s">
        <v>1129</v>
      </c>
      <c r="D25" s="435">
        <v>43029</v>
      </c>
      <c r="E25" s="436">
        <v>88209.79</v>
      </c>
      <c r="F25" s="23"/>
      <c r="G25" s="527">
        <v>43029</v>
      </c>
      <c r="H25" s="440">
        <v>0</v>
      </c>
      <c r="I25" s="38"/>
      <c r="J25" s="68">
        <v>43035</v>
      </c>
      <c r="K25" s="109">
        <v>0</v>
      </c>
      <c r="L25" s="530">
        <v>88210</v>
      </c>
      <c r="M25" s="29"/>
    </row>
    <row r="26" spans="1:14" ht="15.75" thickBot="1" x14ac:dyDescent="0.3">
      <c r="A26" s="414">
        <v>43030</v>
      </c>
      <c r="B26" s="415">
        <v>69289.75</v>
      </c>
      <c r="C26" s="50" t="s">
        <v>1130</v>
      </c>
      <c r="D26" s="435">
        <v>43030</v>
      </c>
      <c r="E26" s="436">
        <v>69392.75</v>
      </c>
      <c r="F26" s="23"/>
      <c r="G26" s="527">
        <v>43030</v>
      </c>
      <c r="H26" s="440">
        <v>103</v>
      </c>
      <c r="I26" s="38"/>
      <c r="J26" s="514" t="s">
        <v>73</v>
      </c>
      <c r="K26" s="515">
        <v>0</v>
      </c>
      <c r="L26" s="530">
        <v>67407</v>
      </c>
      <c r="M26" s="29"/>
    </row>
    <row r="27" spans="1:14" ht="15.75" thickBot="1" x14ac:dyDescent="0.3">
      <c r="A27" s="414">
        <v>43031</v>
      </c>
      <c r="B27" s="415">
        <v>33103.85</v>
      </c>
      <c r="C27" s="50" t="s">
        <v>1133</v>
      </c>
      <c r="D27" s="435">
        <v>43031</v>
      </c>
      <c r="E27" s="436">
        <v>33103.85</v>
      </c>
      <c r="F27" s="23"/>
      <c r="G27" s="527">
        <v>43031</v>
      </c>
      <c r="H27" s="440">
        <v>0</v>
      </c>
      <c r="I27" s="38"/>
      <c r="J27" s="516"/>
      <c r="K27" s="109">
        <v>0</v>
      </c>
      <c r="L27" s="530">
        <v>33105</v>
      </c>
      <c r="M27" s="29"/>
    </row>
    <row r="28" spans="1:14" ht="15.75" thickBot="1" x14ac:dyDescent="0.3">
      <c r="A28" s="414">
        <v>43032</v>
      </c>
      <c r="B28" s="415">
        <v>23031</v>
      </c>
      <c r="C28" s="50" t="s">
        <v>1134</v>
      </c>
      <c r="D28" s="435">
        <v>43032</v>
      </c>
      <c r="E28" s="436">
        <v>23061</v>
      </c>
      <c r="F28" s="23"/>
      <c r="G28" s="527">
        <v>43032</v>
      </c>
      <c r="H28" s="440">
        <v>30</v>
      </c>
      <c r="I28" s="38"/>
      <c r="J28" s="358"/>
      <c r="K28" s="109">
        <v>0</v>
      </c>
      <c r="L28" s="531">
        <v>23031</v>
      </c>
      <c r="M28" s="29"/>
    </row>
    <row r="29" spans="1:14" ht="15.75" thickBot="1" x14ac:dyDescent="0.3">
      <c r="A29" s="414">
        <v>43033</v>
      </c>
      <c r="B29" s="415">
        <v>28490</v>
      </c>
      <c r="C29" s="50" t="s">
        <v>1135</v>
      </c>
      <c r="D29" s="435">
        <v>43033</v>
      </c>
      <c r="E29" s="436">
        <v>28489.95</v>
      </c>
      <c r="F29" s="23"/>
      <c r="G29" s="527">
        <v>43033</v>
      </c>
      <c r="H29" s="440">
        <v>0</v>
      </c>
      <c r="I29" s="38"/>
      <c r="J29" s="68"/>
      <c r="K29" s="109">
        <v>0</v>
      </c>
      <c r="L29" s="530">
        <v>28490</v>
      </c>
      <c r="M29" s="29"/>
    </row>
    <row r="30" spans="1:14" ht="15.75" thickBot="1" x14ac:dyDescent="0.3">
      <c r="A30" s="414">
        <v>43034</v>
      </c>
      <c r="B30" s="415">
        <v>51465.2</v>
      </c>
      <c r="C30" s="57" t="s">
        <v>1136</v>
      </c>
      <c r="D30" s="435">
        <v>43034</v>
      </c>
      <c r="E30" s="436">
        <v>51465.2</v>
      </c>
      <c r="F30" s="23"/>
      <c r="G30" s="527">
        <v>43034</v>
      </c>
      <c r="H30" s="440">
        <v>0</v>
      </c>
      <c r="I30" s="38"/>
      <c r="J30" s="461" t="s">
        <v>82</v>
      </c>
      <c r="K30" s="109">
        <v>0</v>
      </c>
      <c r="L30" s="531">
        <v>51465</v>
      </c>
      <c r="M30" s="29"/>
    </row>
    <row r="31" spans="1:14" ht="15.75" thickBot="1" x14ac:dyDescent="0.3">
      <c r="A31" s="414">
        <v>43035</v>
      </c>
      <c r="B31" s="415">
        <v>88496.55</v>
      </c>
      <c r="C31" s="57" t="s">
        <v>1141</v>
      </c>
      <c r="D31" s="435">
        <v>43035</v>
      </c>
      <c r="E31" s="436">
        <v>89401.55</v>
      </c>
      <c r="F31" s="23"/>
      <c r="G31" s="527">
        <v>43035</v>
      </c>
      <c r="H31" s="440">
        <v>35</v>
      </c>
      <c r="I31" s="38"/>
      <c r="J31" s="68"/>
      <c r="K31" s="109">
        <v>0</v>
      </c>
      <c r="L31" s="531">
        <f>65000+7806+7085.5+8605</f>
        <v>88496.5</v>
      </c>
      <c r="M31" s="29"/>
    </row>
    <row r="32" spans="1:14" ht="15.75" thickBot="1" x14ac:dyDescent="0.3">
      <c r="A32" s="414">
        <v>43036</v>
      </c>
      <c r="B32" s="415">
        <v>86502.1</v>
      </c>
      <c r="C32" s="48" t="s">
        <v>1142</v>
      </c>
      <c r="D32" s="435">
        <v>43036</v>
      </c>
      <c r="E32" s="436">
        <v>86502.1</v>
      </c>
      <c r="F32" s="23"/>
      <c r="G32" s="527">
        <v>43036</v>
      </c>
      <c r="H32" s="440">
        <v>0</v>
      </c>
      <c r="I32" s="38"/>
      <c r="J32" s="461"/>
      <c r="K32" s="452"/>
      <c r="L32" s="559">
        <v>86502</v>
      </c>
      <c r="M32" s="623" t="s">
        <v>1146</v>
      </c>
    </row>
    <row r="33" spans="1:13" ht="15.75" thickBot="1" x14ac:dyDescent="0.3">
      <c r="A33" s="414">
        <v>43037</v>
      </c>
      <c r="B33" s="415">
        <v>57478.85</v>
      </c>
      <c r="C33" s="48" t="s">
        <v>1143</v>
      </c>
      <c r="D33" s="435">
        <v>43037</v>
      </c>
      <c r="E33" s="436">
        <v>57478.85</v>
      </c>
      <c r="F33" s="23"/>
      <c r="G33" s="527">
        <v>43037</v>
      </c>
      <c r="H33" s="440">
        <v>0</v>
      </c>
      <c r="I33" s="38"/>
      <c r="J33" s="190"/>
      <c r="K33" s="191"/>
      <c r="L33" s="559">
        <v>57479</v>
      </c>
      <c r="M33" s="624"/>
    </row>
    <row r="34" spans="1:13" ht="15.75" thickBot="1" x14ac:dyDescent="0.3">
      <c r="A34" s="414">
        <v>43038</v>
      </c>
      <c r="B34" s="415">
        <v>46922.12</v>
      </c>
      <c r="C34" s="57" t="s">
        <v>1143</v>
      </c>
      <c r="D34" s="435">
        <v>43038</v>
      </c>
      <c r="E34" s="436">
        <v>46972.12</v>
      </c>
      <c r="F34" s="23"/>
      <c r="G34" s="527">
        <v>43038</v>
      </c>
      <c r="H34" s="440">
        <v>50</v>
      </c>
      <c r="I34" s="38"/>
      <c r="J34" s="190"/>
      <c r="K34" s="191"/>
      <c r="L34" s="559">
        <v>46922.12</v>
      </c>
      <c r="M34" s="624"/>
    </row>
    <row r="35" spans="1:13" ht="15.75" thickBot="1" x14ac:dyDescent="0.3">
      <c r="A35" s="414">
        <v>43039</v>
      </c>
      <c r="B35" s="415">
        <v>46437.599999999999</v>
      </c>
      <c r="C35" s="20" t="s">
        <v>1145</v>
      </c>
      <c r="D35" s="435">
        <v>43039</v>
      </c>
      <c r="E35" s="436">
        <v>46437.599999999999</v>
      </c>
      <c r="F35" s="23"/>
      <c r="G35" s="528">
        <v>43039</v>
      </c>
      <c r="H35" s="440">
        <v>0</v>
      </c>
      <c r="I35" s="38"/>
      <c r="J35" s="461"/>
      <c r="K35" s="452" t="s">
        <v>176</v>
      </c>
      <c r="L35" s="560">
        <v>46437.599999999999</v>
      </c>
      <c r="M35" s="625"/>
    </row>
    <row r="36" spans="1:13" ht="15.75" thickBot="1" x14ac:dyDescent="0.3">
      <c r="A36" s="82"/>
      <c r="B36" s="83">
        <v>5</v>
      </c>
      <c r="C36" s="14"/>
      <c r="D36" s="437"/>
      <c r="E36" s="438">
        <v>0</v>
      </c>
      <c r="G36" s="86"/>
      <c r="H36" s="441"/>
      <c r="I36" s="60"/>
      <c r="J36" s="461"/>
      <c r="K36" s="457"/>
      <c r="L36" s="3">
        <v>0</v>
      </c>
      <c r="M36" s="29">
        <v>0</v>
      </c>
    </row>
    <row r="37" spans="1:13" ht="15.75" thickBot="1" x14ac:dyDescent="0.3">
      <c r="A37" s="89"/>
      <c r="B37" s="90">
        <v>2</v>
      </c>
      <c r="C37" s="14"/>
      <c r="D37" s="91"/>
      <c r="E37" s="92">
        <v>0</v>
      </c>
      <c r="G37" s="93"/>
      <c r="H37" s="94"/>
      <c r="I37" s="60"/>
      <c r="J37" s="462"/>
      <c r="K37" s="561"/>
      <c r="L37" s="562">
        <f>SUM(L5:L36)</f>
        <v>1612947.6700000002</v>
      </c>
      <c r="M37" s="97">
        <f>SUM(M5:M36)</f>
        <v>-1189.97</v>
      </c>
    </row>
    <row r="38" spans="1:13" x14ac:dyDescent="0.25">
      <c r="A38" s="98" t="s">
        <v>85</v>
      </c>
      <c r="B38" s="99">
        <f>SUM(B5:B37)</f>
        <v>1482323.0480000004</v>
      </c>
      <c r="D38" s="100" t="s">
        <v>85</v>
      </c>
      <c r="E38" s="101">
        <f>SUM(E5:E37)</f>
        <v>1524202.5300000005</v>
      </c>
      <c r="G38" s="520" t="s">
        <v>85</v>
      </c>
      <c r="H38" s="4">
        <f>SUM(H5:H37)</f>
        <v>708</v>
      </c>
      <c r="I38" s="4"/>
      <c r="J38" s="102" t="s">
        <v>85</v>
      </c>
      <c r="K38" s="103">
        <f t="shared" ref="K38" si="0">SUM(K5:K37)</f>
        <v>72514.142999999996</v>
      </c>
      <c r="L38" s="3"/>
      <c r="M38" s="3"/>
    </row>
    <row r="39" spans="1:13" x14ac:dyDescent="0.25">
      <c r="A39" s="1"/>
      <c r="B39" s="5"/>
      <c r="E39" s="5"/>
      <c r="I39" s="5"/>
      <c r="L39" s="3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519"/>
      <c r="J40" s="589">
        <f>H38+K38</f>
        <v>73222.142999999996</v>
      </c>
      <c r="K40" s="590"/>
      <c r="L40" s="108"/>
      <c r="M40" s="108"/>
    </row>
    <row r="41" spans="1:13" ht="15.75" customHeight="1" x14ac:dyDescent="0.25">
      <c r="A41" s="1"/>
      <c r="B41" s="5"/>
      <c r="C41" s="609" t="s">
        <v>87</v>
      </c>
      <c r="D41" s="609"/>
      <c r="E41" s="109">
        <f>E38-J40</f>
        <v>1450980.3870000006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-1467058.52</v>
      </c>
      <c r="H43" s="610" t="s">
        <v>91</v>
      </c>
      <c r="I43" s="610"/>
      <c r="J43" s="598">
        <f>E46</f>
        <v>90738.317000000548</v>
      </c>
      <c r="K43" s="598"/>
      <c r="L43" s="108"/>
      <c r="M43" s="108"/>
    </row>
    <row r="44" spans="1:13" ht="17.25" thickTop="1" thickBot="1" x14ac:dyDescent="0.3">
      <c r="A44" s="1"/>
      <c r="B44" s="5"/>
      <c r="D44" s="12" t="s">
        <v>90</v>
      </c>
      <c r="E44" s="4">
        <f>SUM(E41:E43)</f>
        <v>-16078.132999999449</v>
      </c>
      <c r="H44" s="608" t="s">
        <v>1147</v>
      </c>
      <c r="I44" s="608"/>
      <c r="J44" s="578"/>
      <c r="K44" s="579">
        <v>31807.4</v>
      </c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106816.45</v>
      </c>
      <c r="H45" s="613" t="s">
        <v>3</v>
      </c>
      <c r="I45" s="613"/>
      <c r="J45" s="598">
        <f>-B4</f>
        <v>-175123.68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90738.317000000548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270</v>
      </c>
      <c r="I47" s="605"/>
      <c r="J47" s="606">
        <f>SUM(J43:K46)</f>
        <v>-52577.962999999436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60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0">
    <mergeCell ref="B1:J1"/>
    <mergeCell ref="A3:A4"/>
    <mergeCell ref="D3:F3"/>
    <mergeCell ref="G3:H3"/>
    <mergeCell ref="D4:E4"/>
    <mergeCell ref="H4:K4"/>
    <mergeCell ref="M32:M35"/>
    <mergeCell ref="H44:I44"/>
    <mergeCell ref="C48:D48"/>
    <mergeCell ref="J17:J18"/>
    <mergeCell ref="G40:H40"/>
    <mergeCell ref="J40:K40"/>
    <mergeCell ref="C41:D41"/>
    <mergeCell ref="H43:I43"/>
    <mergeCell ref="J43:K43"/>
    <mergeCell ref="H45:I45"/>
    <mergeCell ref="J45:K45"/>
    <mergeCell ref="J46:K46"/>
    <mergeCell ref="H47:I47"/>
    <mergeCell ref="J47:K47"/>
  </mergeCells>
  <pageMargins left="0.31496062992125984" right="0.11811023622047245" top="0.19685039370078741" bottom="0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614" t="s">
        <v>95</v>
      </c>
      <c r="D1" s="615"/>
      <c r="E1" s="616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Z61"/>
  <sheetViews>
    <sheetView topLeftCell="A37" workbookViewId="0">
      <selection activeCell="B53" sqref="B5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4.5703125" style="23" customWidth="1"/>
    <col min="10" max="10" width="14" customWidth="1"/>
    <col min="12" max="12" width="15.140625" customWidth="1"/>
    <col min="14" max="14" width="13.85546875" customWidth="1"/>
    <col min="15" max="15" width="13.85546875" bestFit="1" customWidth="1"/>
    <col min="20" max="20" width="13.85546875" bestFit="1" customWidth="1"/>
    <col min="22" max="22" width="13.85546875" bestFit="1" customWidth="1"/>
    <col min="25" max="25" width="13.85546875" bestFit="1" customWidth="1"/>
  </cols>
  <sheetData>
    <row r="1" spans="1:26" ht="19.5" thickBot="1" x14ac:dyDescent="0.35">
      <c r="A1" s="1"/>
      <c r="B1" s="118"/>
      <c r="C1" s="614" t="s">
        <v>95</v>
      </c>
      <c r="D1" s="615"/>
      <c r="E1" s="616"/>
      <c r="F1" s="119"/>
      <c r="I1" t="s">
        <v>1069</v>
      </c>
      <c r="J1" s="45">
        <v>7419</v>
      </c>
      <c r="K1" s="154"/>
      <c r="L1" s="361">
        <v>43022</v>
      </c>
      <c r="M1" s="216"/>
      <c r="N1" s="217" t="s">
        <v>141</v>
      </c>
      <c r="O1" s="111"/>
      <c r="P1" s="158"/>
    </row>
    <row r="2" spans="1:26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6721.5+26132.5+4793</f>
        <v>37647</v>
      </c>
      <c r="K2" s="207" t="s">
        <v>1051</v>
      </c>
      <c r="L2" s="219">
        <v>37647.050000000003</v>
      </c>
      <c r="M2" s="214" t="s">
        <v>1068</v>
      </c>
      <c r="N2" s="160">
        <v>3534577</v>
      </c>
      <c r="O2" s="161">
        <v>45000</v>
      </c>
      <c r="P2" s="162">
        <v>43002</v>
      </c>
      <c r="S2" t="s">
        <v>1078</v>
      </c>
      <c r="T2" s="5">
        <v>45975.6</v>
      </c>
      <c r="U2" s="9"/>
    </row>
    <row r="3" spans="1:26" ht="16.5" thickBot="1" x14ac:dyDescent="0.3">
      <c r="A3" s="125">
        <v>43009</v>
      </c>
      <c r="B3" s="126" t="s">
        <v>1038</v>
      </c>
      <c r="C3" s="127">
        <v>5251.2</v>
      </c>
      <c r="D3" s="128">
        <v>43022</v>
      </c>
      <c r="E3" s="127">
        <v>5251.2</v>
      </c>
      <c r="F3" s="129">
        <f t="shared" ref="F3:F48" si="0">C3-E3</f>
        <v>0</v>
      </c>
      <c r="J3" s="45">
        <v>13435.5</v>
      </c>
      <c r="K3" s="132" t="s">
        <v>995</v>
      </c>
      <c r="L3" s="133">
        <v>2157.7399999999998</v>
      </c>
      <c r="M3" s="214" t="s">
        <v>143</v>
      </c>
      <c r="N3" s="160">
        <v>3534578</v>
      </c>
      <c r="O3" s="161">
        <v>18533</v>
      </c>
      <c r="P3" s="162">
        <v>43002</v>
      </c>
      <c r="S3" t="s">
        <v>1077</v>
      </c>
      <c r="T3" s="45">
        <v>19334.189999999999</v>
      </c>
      <c r="U3" s="154"/>
      <c r="V3" s="510">
        <v>43038</v>
      </c>
      <c r="W3" s="216"/>
      <c r="X3" s="217" t="s">
        <v>141</v>
      </c>
      <c r="Y3" s="111"/>
      <c r="Z3" s="158"/>
    </row>
    <row r="4" spans="1:26" ht="16.5" thickTop="1" x14ac:dyDescent="0.25">
      <c r="A4" s="131">
        <v>43011</v>
      </c>
      <c r="B4" s="132" t="s">
        <v>1039</v>
      </c>
      <c r="C4" s="133">
        <v>66333.399999999994</v>
      </c>
      <c r="D4" s="128">
        <v>43022</v>
      </c>
      <c r="E4" s="133">
        <v>66333.399999999994</v>
      </c>
      <c r="F4" s="134">
        <f t="shared" si="0"/>
        <v>0</v>
      </c>
      <c r="J4" s="45">
        <v>33157.5</v>
      </c>
      <c r="K4" s="132" t="s">
        <v>996</v>
      </c>
      <c r="L4" s="133">
        <v>33157.64</v>
      </c>
      <c r="M4" s="159"/>
      <c r="N4" s="160">
        <v>3534579</v>
      </c>
      <c r="O4" s="161">
        <v>36348.5</v>
      </c>
      <c r="P4" s="162">
        <v>43003</v>
      </c>
      <c r="T4" s="45">
        <f>10216.31+43834.17+42441.72</f>
        <v>96492.2</v>
      </c>
      <c r="U4" s="290" t="s">
        <v>1096</v>
      </c>
      <c r="V4" s="133">
        <v>95909.99</v>
      </c>
      <c r="W4" s="214" t="s">
        <v>143</v>
      </c>
      <c r="X4" s="160" t="s">
        <v>154</v>
      </c>
      <c r="Y4" s="161">
        <v>25000</v>
      </c>
      <c r="Z4" s="162">
        <v>43023</v>
      </c>
    </row>
    <row r="5" spans="1:26" ht="15.75" x14ac:dyDescent="0.25">
      <c r="A5" s="131">
        <v>43013</v>
      </c>
      <c r="B5" s="132" t="s">
        <v>1040</v>
      </c>
      <c r="C5" s="133">
        <v>131013.02</v>
      </c>
      <c r="D5" s="128">
        <v>43022</v>
      </c>
      <c r="E5" s="133">
        <f>37025.15+93987.87</f>
        <v>131013.01999999999</v>
      </c>
      <c r="F5" s="134">
        <f t="shared" si="0"/>
        <v>0</v>
      </c>
      <c r="J5" s="45">
        <f>9521+36348.5+7589+23485+18873.5</f>
        <v>95817</v>
      </c>
      <c r="K5" s="366" t="s">
        <v>1035</v>
      </c>
      <c r="L5" s="339">
        <v>95816.92</v>
      </c>
      <c r="M5" s="163"/>
      <c r="N5" s="160">
        <v>3534580</v>
      </c>
      <c r="O5" s="161">
        <v>23485</v>
      </c>
      <c r="P5" s="162">
        <v>43004</v>
      </c>
      <c r="T5" s="45">
        <v>38364.75</v>
      </c>
      <c r="U5" s="290" t="s">
        <v>1105</v>
      </c>
      <c r="V5" s="133">
        <v>38364.75</v>
      </c>
      <c r="W5" s="214"/>
      <c r="X5" s="160" t="s">
        <v>154</v>
      </c>
      <c r="Y5" s="161">
        <v>20000</v>
      </c>
      <c r="Z5" s="162">
        <v>43023</v>
      </c>
    </row>
    <row r="6" spans="1:26" ht="15.75" x14ac:dyDescent="0.25">
      <c r="A6" s="131">
        <v>43013</v>
      </c>
      <c r="B6" s="132" t="s">
        <v>1041</v>
      </c>
      <c r="C6" s="133">
        <v>1942.4</v>
      </c>
      <c r="D6" s="128">
        <v>43022</v>
      </c>
      <c r="E6" s="133">
        <v>1942.4</v>
      </c>
      <c r="F6" s="135">
        <f t="shared" si="0"/>
        <v>0</v>
      </c>
      <c r="J6" s="45">
        <f>6330.5+60792</f>
        <v>67122.5</v>
      </c>
      <c r="K6" s="132" t="s">
        <v>1036</v>
      </c>
      <c r="L6" s="133">
        <v>67122.399999999994</v>
      </c>
      <c r="M6" s="164"/>
      <c r="N6" s="160" t="s">
        <v>154</v>
      </c>
      <c r="O6" s="161">
        <v>7589</v>
      </c>
      <c r="P6" s="162">
        <v>43003</v>
      </c>
      <c r="T6" s="45">
        <v>5478.6</v>
      </c>
      <c r="U6" s="290" t="s">
        <v>1106</v>
      </c>
      <c r="V6" s="133">
        <v>5478.6</v>
      </c>
      <c r="W6" s="159"/>
      <c r="X6" s="160" t="s">
        <v>154</v>
      </c>
      <c r="Y6" s="161">
        <v>23911</v>
      </c>
      <c r="Z6" s="162">
        <v>43054</v>
      </c>
    </row>
    <row r="7" spans="1:26" ht="15.75" x14ac:dyDescent="0.25">
      <c r="A7" s="131">
        <v>43014</v>
      </c>
      <c r="B7" s="132" t="s">
        <v>1059</v>
      </c>
      <c r="C7" s="133">
        <v>96730.16</v>
      </c>
      <c r="D7" s="128">
        <v>43022</v>
      </c>
      <c r="E7" s="133">
        <v>96730.16</v>
      </c>
      <c r="F7" s="135">
        <f t="shared" si="0"/>
        <v>0</v>
      </c>
      <c r="J7" s="45">
        <v>90</v>
      </c>
      <c r="K7" s="393" t="s">
        <v>1037</v>
      </c>
      <c r="L7" s="133">
        <v>90</v>
      </c>
      <c r="M7" s="277"/>
      <c r="N7" s="160">
        <v>3534581</v>
      </c>
      <c r="O7" s="161">
        <v>25595</v>
      </c>
      <c r="P7" s="162">
        <v>43005</v>
      </c>
      <c r="T7" s="45">
        <f>1834.72+67406.63+5582.4</f>
        <v>74823.75</v>
      </c>
      <c r="U7" s="290" t="s">
        <v>1107</v>
      </c>
      <c r="V7" s="133">
        <v>74823.75</v>
      </c>
      <c r="W7" s="163"/>
      <c r="X7" s="160" t="s">
        <v>154</v>
      </c>
      <c r="Y7" s="161">
        <v>33850</v>
      </c>
      <c r="Z7" s="162">
        <v>43024</v>
      </c>
    </row>
    <row r="8" spans="1:26" ht="15.75" x14ac:dyDescent="0.25">
      <c r="A8" s="131">
        <v>43015</v>
      </c>
      <c r="B8" s="132" t="s">
        <v>1060</v>
      </c>
      <c r="C8" s="133">
        <v>7731.5</v>
      </c>
      <c r="D8" s="128">
        <v>43022</v>
      </c>
      <c r="E8" s="133">
        <v>7731.5</v>
      </c>
      <c r="F8" s="135">
        <f t="shared" si="0"/>
        <v>0</v>
      </c>
      <c r="J8" s="45">
        <f>1839.5+3328</f>
        <v>5167.5</v>
      </c>
      <c r="K8" s="126" t="s">
        <v>1038</v>
      </c>
      <c r="L8" s="127">
        <v>5251.2</v>
      </c>
      <c r="M8" s="163"/>
      <c r="N8" s="160">
        <v>3534582</v>
      </c>
      <c r="O8" s="166">
        <v>27000</v>
      </c>
      <c r="P8" s="167">
        <v>43006</v>
      </c>
      <c r="T8" s="45">
        <f>27521.45+11743.44</f>
        <v>39264.89</v>
      </c>
      <c r="U8" s="290" t="s">
        <v>1108</v>
      </c>
      <c r="V8" s="133">
        <v>39264.870000000003</v>
      </c>
      <c r="W8" s="164"/>
      <c r="X8" s="160" t="s">
        <v>154</v>
      </c>
      <c r="Y8" s="161">
        <v>3138</v>
      </c>
      <c r="Z8" s="162">
        <v>43024</v>
      </c>
    </row>
    <row r="9" spans="1:26" ht="15.75" x14ac:dyDescent="0.25">
      <c r="A9" s="131">
        <v>43015</v>
      </c>
      <c r="B9" s="132" t="s">
        <v>1061</v>
      </c>
      <c r="C9" s="133">
        <v>5630.6</v>
      </c>
      <c r="D9" s="128">
        <v>43022</v>
      </c>
      <c r="E9" s="133">
        <v>5630.6</v>
      </c>
      <c r="F9" s="135">
        <f t="shared" si="0"/>
        <v>0</v>
      </c>
      <c r="J9" s="45"/>
      <c r="K9" s="132" t="s">
        <v>1039</v>
      </c>
      <c r="L9" s="133">
        <v>66333.399999999994</v>
      </c>
      <c r="M9" s="165"/>
      <c r="N9" s="160">
        <v>3534583</v>
      </c>
      <c r="O9" s="148">
        <v>5463</v>
      </c>
      <c r="P9" s="167">
        <v>43006</v>
      </c>
      <c r="T9" s="45">
        <f>11287.56+20082.59</f>
        <v>31370.15</v>
      </c>
      <c r="U9" s="290" t="s">
        <v>1109</v>
      </c>
      <c r="V9" s="133">
        <v>31370.15</v>
      </c>
      <c r="W9" s="277"/>
      <c r="X9" s="160" t="s">
        <v>154</v>
      </c>
      <c r="Y9" s="161">
        <v>10000</v>
      </c>
      <c r="Z9" s="162">
        <v>43025</v>
      </c>
    </row>
    <row r="10" spans="1:26" ht="15.75" x14ac:dyDescent="0.25">
      <c r="A10" s="131">
        <v>43015</v>
      </c>
      <c r="B10" s="132" t="s">
        <v>1062</v>
      </c>
      <c r="C10" s="133">
        <v>1198.56</v>
      </c>
      <c r="D10" s="128">
        <v>43022</v>
      </c>
      <c r="E10" s="133">
        <v>1198.56</v>
      </c>
      <c r="F10" s="135">
        <f t="shared" si="0"/>
        <v>0</v>
      </c>
      <c r="J10" s="45"/>
      <c r="K10" s="132" t="s">
        <v>1040</v>
      </c>
      <c r="L10" s="133">
        <v>37025.15</v>
      </c>
      <c r="M10" s="163" t="s">
        <v>368</v>
      </c>
      <c r="N10" s="160" t="s">
        <v>154</v>
      </c>
      <c r="O10" s="161">
        <v>4793</v>
      </c>
      <c r="P10" s="162">
        <v>43006</v>
      </c>
      <c r="T10" s="45">
        <f>8407.36+32682.8</f>
        <v>41090.160000000003</v>
      </c>
      <c r="U10" s="290" t="s">
        <v>1110</v>
      </c>
      <c r="V10" s="133">
        <v>41090.160000000003</v>
      </c>
      <c r="W10" s="163"/>
      <c r="X10" s="160" t="s">
        <v>154</v>
      </c>
      <c r="Y10" s="166">
        <v>9796</v>
      </c>
      <c r="Z10" s="167">
        <v>43025</v>
      </c>
    </row>
    <row r="11" spans="1:26" ht="15.75" x14ac:dyDescent="0.25">
      <c r="A11" s="131">
        <v>43016</v>
      </c>
      <c r="B11" s="132" t="s">
        <v>1063</v>
      </c>
      <c r="C11" s="133">
        <v>402.5</v>
      </c>
      <c r="D11" s="128">
        <v>43022</v>
      </c>
      <c r="E11" s="133">
        <v>402.5</v>
      </c>
      <c r="F11" s="135">
        <f t="shared" si="0"/>
        <v>0</v>
      </c>
      <c r="J11" s="45"/>
      <c r="K11" s="132"/>
      <c r="L11" s="133"/>
      <c r="M11" s="168"/>
      <c r="N11" s="160">
        <v>3534587</v>
      </c>
      <c r="O11" s="161">
        <v>22721</v>
      </c>
      <c r="P11" s="162">
        <v>43007</v>
      </c>
      <c r="T11" s="45">
        <v>18782.400000000001</v>
      </c>
      <c r="U11" s="290" t="s">
        <v>1111</v>
      </c>
      <c r="V11" s="133">
        <v>40274.589999999997</v>
      </c>
      <c r="W11" s="165"/>
      <c r="X11" s="160" t="s">
        <v>154</v>
      </c>
      <c r="Y11" s="148">
        <v>10000</v>
      </c>
      <c r="Z11" s="167">
        <v>43026</v>
      </c>
    </row>
    <row r="12" spans="1:26" ht="15.75" x14ac:dyDescent="0.25">
      <c r="A12" s="131">
        <v>43016</v>
      </c>
      <c r="B12" s="132" t="s">
        <v>1064</v>
      </c>
      <c r="C12" s="133">
        <v>233.6</v>
      </c>
      <c r="D12" s="128">
        <v>43022</v>
      </c>
      <c r="E12" s="133">
        <v>233.6</v>
      </c>
      <c r="F12" s="135">
        <f t="shared" si="0"/>
        <v>0</v>
      </c>
      <c r="J12" s="45"/>
      <c r="K12" s="132"/>
      <c r="L12" s="133"/>
      <c r="M12" s="168"/>
      <c r="N12" s="160">
        <v>3534584</v>
      </c>
      <c r="O12" s="161">
        <v>40000</v>
      </c>
      <c r="P12" s="162">
        <v>43007</v>
      </c>
      <c r="S12" t="s">
        <v>88</v>
      </c>
      <c r="T12" s="45"/>
      <c r="U12" s="290" t="s">
        <v>1112</v>
      </c>
      <c r="V12" s="133">
        <v>37070.33</v>
      </c>
      <c r="W12" s="163"/>
      <c r="X12" s="160" t="s">
        <v>154</v>
      </c>
      <c r="Y12" s="161">
        <v>15000</v>
      </c>
      <c r="Z12" s="162">
        <v>43026</v>
      </c>
    </row>
    <row r="13" spans="1:26" ht="15.75" x14ac:dyDescent="0.25">
      <c r="A13" s="131">
        <v>43016</v>
      </c>
      <c r="B13" s="132" t="s">
        <v>1065</v>
      </c>
      <c r="C13" s="133">
        <v>29314.400000000001</v>
      </c>
      <c r="D13" s="128">
        <v>43022</v>
      </c>
      <c r="E13" s="133">
        <v>29314.400000000001</v>
      </c>
      <c r="F13" s="135">
        <f>C13-E13</f>
        <v>0</v>
      </c>
      <c r="J13" s="45"/>
      <c r="K13" s="132"/>
      <c r="L13" s="133"/>
      <c r="M13" s="168"/>
      <c r="N13" s="160">
        <v>3534589</v>
      </c>
      <c r="O13" s="161">
        <v>47168</v>
      </c>
      <c r="P13" s="162">
        <v>43008</v>
      </c>
      <c r="T13" s="45"/>
      <c r="U13" s="367" t="s">
        <v>1113</v>
      </c>
      <c r="V13" s="133">
        <v>35394.94</v>
      </c>
      <c r="W13" s="168"/>
      <c r="X13" s="160" t="s">
        <v>154</v>
      </c>
      <c r="Y13" s="161">
        <v>10000</v>
      </c>
      <c r="Z13" s="162">
        <v>43026</v>
      </c>
    </row>
    <row r="14" spans="1:26" ht="15.75" x14ac:dyDescent="0.25">
      <c r="A14" s="131">
        <v>43016</v>
      </c>
      <c r="B14" s="132" t="s">
        <v>1066</v>
      </c>
      <c r="C14" s="133">
        <v>27574.5</v>
      </c>
      <c r="D14" s="128">
        <v>43022</v>
      </c>
      <c r="E14" s="133">
        <v>27574.5</v>
      </c>
      <c r="F14" s="135">
        <f>C14-E14</f>
        <v>0</v>
      </c>
      <c r="I14" s="133"/>
      <c r="J14" s="45"/>
      <c r="K14" s="132"/>
      <c r="L14" s="133"/>
      <c r="M14" s="168"/>
      <c r="N14" s="160">
        <v>3534588</v>
      </c>
      <c r="O14" s="161">
        <v>35000</v>
      </c>
      <c r="P14" s="162">
        <v>43008</v>
      </c>
      <c r="T14" s="45"/>
      <c r="U14" s="367" t="s">
        <v>1114</v>
      </c>
      <c r="V14" s="133">
        <v>44779.27</v>
      </c>
      <c r="W14" s="171"/>
      <c r="X14" s="160" t="s">
        <v>154</v>
      </c>
      <c r="Y14" s="161">
        <v>4756</v>
      </c>
      <c r="Z14" s="162">
        <v>43026</v>
      </c>
    </row>
    <row r="15" spans="1:26" ht="15.75" x14ac:dyDescent="0.25">
      <c r="A15" s="131">
        <v>43017</v>
      </c>
      <c r="B15" s="132" t="s">
        <v>1067</v>
      </c>
      <c r="C15" s="133">
        <v>34294.6</v>
      </c>
      <c r="D15" s="211" t="s">
        <v>1099</v>
      </c>
      <c r="E15" s="133">
        <f>33513.91+780.69</f>
        <v>34294.600000000006</v>
      </c>
      <c r="F15" s="135">
        <f>C15-E15</f>
        <v>0</v>
      </c>
      <c r="I15" s="133"/>
      <c r="J15" s="45"/>
      <c r="K15" s="132"/>
      <c r="L15" s="133"/>
      <c r="M15" s="204"/>
      <c r="N15" s="160">
        <v>3932646</v>
      </c>
      <c r="O15" s="161">
        <v>5906</v>
      </c>
      <c r="P15" s="162">
        <v>43008</v>
      </c>
      <c r="T15" s="45"/>
      <c r="U15" s="367" t="s">
        <v>1115</v>
      </c>
      <c r="V15" s="133">
        <v>33761.39</v>
      </c>
      <c r="W15" s="168"/>
      <c r="X15" s="160" t="s">
        <v>154</v>
      </c>
      <c r="Y15" s="161">
        <v>15000</v>
      </c>
      <c r="Z15" s="162">
        <v>43027</v>
      </c>
    </row>
    <row r="16" spans="1:26" ht="16.5" thickBot="1" x14ac:dyDescent="0.3">
      <c r="A16" s="131">
        <v>43019</v>
      </c>
      <c r="B16" s="132" t="s">
        <v>1074</v>
      </c>
      <c r="C16" s="133">
        <v>31256.78</v>
      </c>
      <c r="D16" s="128">
        <v>43027</v>
      </c>
      <c r="E16" s="133">
        <v>31256.78</v>
      </c>
      <c r="F16" s="135">
        <f>C16-E16</f>
        <v>0</v>
      </c>
      <c r="I16" s="133"/>
      <c r="J16" s="45"/>
      <c r="K16" s="132"/>
      <c r="L16" s="133"/>
      <c r="M16" s="168"/>
      <c r="N16" s="160"/>
      <c r="O16" s="148"/>
      <c r="P16" s="167"/>
      <c r="S16" s="9" t="s">
        <v>1079</v>
      </c>
      <c r="T16" s="45">
        <f>3601.22+1880.38</f>
        <v>5481.6</v>
      </c>
      <c r="U16" s="551" t="s">
        <v>1116</v>
      </c>
      <c r="V16" s="219">
        <v>29532.21</v>
      </c>
      <c r="W16" s="523" t="s">
        <v>159</v>
      </c>
      <c r="X16" s="160" t="s">
        <v>154</v>
      </c>
      <c r="Y16" s="375">
        <v>15000</v>
      </c>
      <c r="Z16" s="543">
        <v>43027</v>
      </c>
    </row>
    <row r="17" spans="1:26" ht="16.5" thickBot="1" x14ac:dyDescent="0.3">
      <c r="A17" s="287">
        <v>43020</v>
      </c>
      <c r="B17" s="290" t="s">
        <v>1075</v>
      </c>
      <c r="C17" s="133">
        <v>70391.88</v>
      </c>
      <c r="D17" s="128">
        <v>43027</v>
      </c>
      <c r="E17" s="133">
        <v>70391.88</v>
      </c>
      <c r="F17" s="135">
        <f t="shared" si="0"/>
        <v>0</v>
      </c>
      <c r="J17" s="273">
        <f>SUM(J1:J16)</f>
        <v>259856</v>
      </c>
      <c r="K17" s="271"/>
      <c r="L17" s="275">
        <f>SUM(L2:L16)</f>
        <v>344601.5</v>
      </c>
      <c r="M17" s="276"/>
      <c r="N17" s="276"/>
      <c r="O17" s="275">
        <f>SUM(O2:O16)</f>
        <v>344601.5</v>
      </c>
      <c r="P17" s="272"/>
      <c r="S17" t="s">
        <v>1080</v>
      </c>
      <c r="T17" s="45">
        <v>1130</v>
      </c>
      <c r="U17" s="195"/>
      <c r="V17" s="544">
        <v>0</v>
      </c>
      <c r="W17" s="544"/>
      <c r="X17" s="160" t="s">
        <v>154</v>
      </c>
      <c r="Y17" s="148">
        <v>16122</v>
      </c>
      <c r="Z17" s="167">
        <v>43027</v>
      </c>
    </row>
    <row r="18" spans="1:26" ht="15.75" customHeight="1" x14ac:dyDescent="0.25">
      <c r="A18" s="287">
        <v>43021</v>
      </c>
      <c r="B18" s="290" t="s">
        <v>1076</v>
      </c>
      <c r="C18" s="133">
        <v>34168.120000000003</v>
      </c>
      <c r="D18" s="128">
        <v>43027</v>
      </c>
      <c r="E18" s="133">
        <v>34168.120000000003</v>
      </c>
      <c r="F18" s="135">
        <f t="shared" si="0"/>
        <v>0</v>
      </c>
      <c r="S18" t="s">
        <v>1081</v>
      </c>
      <c r="T18" s="45">
        <f>33977.37+14250.33</f>
        <v>48227.700000000004</v>
      </c>
      <c r="U18" s="195"/>
      <c r="V18" s="544">
        <v>0</v>
      </c>
      <c r="W18" s="544"/>
      <c r="X18" s="160" t="s">
        <v>154</v>
      </c>
      <c r="Y18" s="148">
        <v>15000</v>
      </c>
      <c r="Z18" s="167">
        <v>43028</v>
      </c>
    </row>
    <row r="19" spans="1:26" ht="15.75" x14ac:dyDescent="0.25">
      <c r="A19" s="287">
        <v>43021</v>
      </c>
      <c r="B19" s="290" t="s">
        <v>1077</v>
      </c>
      <c r="C19" s="133">
        <v>29431.360000000001</v>
      </c>
      <c r="D19" s="128">
        <v>43027</v>
      </c>
      <c r="E19" s="133">
        <v>29431.360000000001</v>
      </c>
      <c r="F19" s="135">
        <f t="shared" si="0"/>
        <v>0</v>
      </c>
      <c r="S19" t="s">
        <v>1082</v>
      </c>
      <c r="T19" s="284">
        <f>5475.67+35905.89</f>
        <v>41381.56</v>
      </c>
      <c r="U19" s="209"/>
      <c r="V19" s="546">
        <v>0</v>
      </c>
      <c r="W19" s="545"/>
      <c r="X19" s="160" t="s">
        <v>154</v>
      </c>
      <c r="Y19" s="139">
        <v>15000</v>
      </c>
      <c r="Z19" s="167">
        <v>43028</v>
      </c>
    </row>
    <row r="20" spans="1:26" ht="15.75" x14ac:dyDescent="0.25">
      <c r="A20" s="287">
        <v>43021</v>
      </c>
      <c r="B20" s="290" t="s">
        <v>1078</v>
      </c>
      <c r="C20" s="133">
        <v>45975.6</v>
      </c>
      <c r="D20" s="128">
        <v>43027</v>
      </c>
      <c r="E20" s="133">
        <v>45975.6</v>
      </c>
      <c r="F20" s="135">
        <f t="shared" si="0"/>
        <v>0</v>
      </c>
      <c r="S20" t="s">
        <v>1097</v>
      </c>
      <c r="T20" s="4">
        <v>90</v>
      </c>
      <c r="U20" s="209"/>
      <c r="V20" s="41">
        <v>0</v>
      </c>
      <c r="W20" s="209"/>
      <c r="X20" s="160" t="s">
        <v>154</v>
      </c>
      <c r="Y20" s="139">
        <v>13834</v>
      </c>
      <c r="Z20" s="167">
        <v>43028</v>
      </c>
    </row>
    <row r="21" spans="1:26" ht="15.75" x14ac:dyDescent="0.25">
      <c r="A21" s="287">
        <v>43021</v>
      </c>
      <c r="B21" s="290" t="s">
        <v>1079</v>
      </c>
      <c r="C21" s="133">
        <v>5481.6</v>
      </c>
      <c r="D21" s="128">
        <v>43027</v>
      </c>
      <c r="E21" s="133">
        <v>5481.6</v>
      </c>
      <c r="F21" s="135">
        <f t="shared" si="0"/>
        <v>0</v>
      </c>
      <c r="T21" s="4"/>
      <c r="U21" s="209"/>
      <c r="V21" s="41">
        <v>0</v>
      </c>
      <c r="W21" s="209"/>
      <c r="X21" s="160" t="s">
        <v>154</v>
      </c>
      <c r="Y21" s="139">
        <v>15000</v>
      </c>
      <c r="Z21" s="167">
        <v>43029</v>
      </c>
    </row>
    <row r="22" spans="1:26" ht="15.75" x14ac:dyDescent="0.25">
      <c r="A22" s="287">
        <v>43021</v>
      </c>
      <c r="B22" s="290" t="s">
        <v>1080</v>
      </c>
      <c r="C22" s="133">
        <v>1130</v>
      </c>
      <c r="D22" s="128">
        <v>43027</v>
      </c>
      <c r="E22" s="133">
        <v>1130</v>
      </c>
      <c r="F22" s="135">
        <f t="shared" si="0"/>
        <v>0</v>
      </c>
      <c r="T22" s="4"/>
      <c r="U22" s="209"/>
      <c r="V22" s="41">
        <v>0</v>
      </c>
      <c r="W22" s="209"/>
      <c r="X22" s="160" t="s">
        <v>154</v>
      </c>
      <c r="Y22" s="139">
        <v>20000</v>
      </c>
      <c r="Z22" s="167">
        <v>43029</v>
      </c>
    </row>
    <row r="23" spans="1:26" ht="16.5" thickBot="1" x14ac:dyDescent="0.3">
      <c r="A23" s="287">
        <v>43022</v>
      </c>
      <c r="B23" s="290" t="s">
        <v>1081</v>
      </c>
      <c r="C23" s="133">
        <v>48227.7</v>
      </c>
      <c r="D23" s="128">
        <v>43027</v>
      </c>
      <c r="E23" s="133">
        <v>48227.7</v>
      </c>
      <c r="F23" s="135">
        <f t="shared" si="0"/>
        <v>0</v>
      </c>
      <c r="I23">
        <v>4816</v>
      </c>
      <c r="J23" s="45">
        <f>21943+26708+17682.5</f>
        <v>66333.5</v>
      </c>
      <c r="K23" s="154"/>
      <c r="L23" s="361">
        <v>43022</v>
      </c>
      <c r="M23" s="216"/>
      <c r="N23" s="217" t="s">
        <v>141</v>
      </c>
      <c r="O23" s="111"/>
      <c r="P23" s="158"/>
      <c r="T23" s="4"/>
      <c r="U23" s="209"/>
      <c r="V23" s="41">
        <v>0</v>
      </c>
      <c r="W23" s="209"/>
      <c r="X23" s="160" t="s">
        <v>154</v>
      </c>
      <c r="Y23" s="139">
        <v>20000</v>
      </c>
      <c r="Z23" s="167">
        <v>43029</v>
      </c>
    </row>
    <row r="24" spans="1:26" ht="16.5" thickTop="1" x14ac:dyDescent="0.25">
      <c r="A24" s="287">
        <v>43023</v>
      </c>
      <c r="B24" s="290">
        <v>603</v>
      </c>
      <c r="C24" s="133">
        <v>392.5</v>
      </c>
      <c r="D24" s="128" t="s">
        <v>1120</v>
      </c>
      <c r="E24" s="133">
        <v>392.5</v>
      </c>
      <c r="F24" s="135">
        <f t="shared" si="0"/>
        <v>0</v>
      </c>
      <c r="J24" s="45">
        <f>25633.2+64185.8+41194.2</f>
        <v>131013.2</v>
      </c>
      <c r="K24" s="132" t="s">
        <v>1040</v>
      </c>
      <c r="L24" s="133">
        <v>93987.87</v>
      </c>
      <c r="M24" s="214" t="s">
        <v>143</v>
      </c>
      <c r="N24" s="160">
        <v>3534594</v>
      </c>
      <c r="O24" s="161">
        <v>20000</v>
      </c>
      <c r="P24" s="162">
        <v>43011</v>
      </c>
      <c r="T24" s="4"/>
      <c r="U24" s="209"/>
      <c r="V24" s="41">
        <v>0</v>
      </c>
      <c r="W24" s="209"/>
      <c r="X24" s="160" t="s">
        <v>154</v>
      </c>
      <c r="Y24" s="139">
        <v>10000</v>
      </c>
      <c r="Z24" s="167">
        <v>43029</v>
      </c>
    </row>
    <row r="25" spans="1:26" ht="15.75" x14ac:dyDescent="0.25">
      <c r="A25" s="287">
        <v>43024</v>
      </c>
      <c r="B25" s="290" t="s">
        <v>1082</v>
      </c>
      <c r="C25" s="133">
        <v>41381.56</v>
      </c>
      <c r="D25" s="128">
        <v>43027</v>
      </c>
      <c r="E25" s="133">
        <v>41381.56</v>
      </c>
      <c r="F25" s="135">
        <f t="shared" ref="F25:F35" si="1">C25-E25</f>
        <v>0</v>
      </c>
      <c r="J25" s="45">
        <v>1642.5</v>
      </c>
      <c r="K25" s="132" t="s">
        <v>1041</v>
      </c>
      <c r="L25" s="133">
        <v>1942.4</v>
      </c>
      <c r="M25" s="214"/>
      <c r="N25" s="160" t="s">
        <v>154</v>
      </c>
      <c r="O25" s="161">
        <v>1943</v>
      </c>
      <c r="P25" s="162">
        <v>43011</v>
      </c>
      <c r="T25" s="4"/>
      <c r="U25" s="209"/>
      <c r="V25" s="41">
        <v>0</v>
      </c>
      <c r="W25" s="209"/>
      <c r="X25" s="160" t="s">
        <v>154</v>
      </c>
      <c r="Y25" s="139">
        <v>23210</v>
      </c>
      <c r="Z25" s="167">
        <v>43029</v>
      </c>
    </row>
    <row r="26" spans="1:26" ht="15.75" x14ac:dyDescent="0.25">
      <c r="A26" s="287">
        <v>43025</v>
      </c>
      <c r="B26" s="290" t="s">
        <v>1096</v>
      </c>
      <c r="C26" s="133">
        <v>96492.2</v>
      </c>
      <c r="D26" s="128" t="s">
        <v>1118</v>
      </c>
      <c r="E26" s="133">
        <f>582.21+95909.99</f>
        <v>96492.200000000012</v>
      </c>
      <c r="F26" s="135">
        <f t="shared" si="1"/>
        <v>0</v>
      </c>
      <c r="J26" s="45">
        <f>15163.3+32048.6+35000+14518</f>
        <v>96729.9</v>
      </c>
      <c r="K26" s="132" t="s">
        <v>1059</v>
      </c>
      <c r="L26" s="133">
        <v>96730.16</v>
      </c>
      <c r="M26" s="159"/>
      <c r="N26" s="160">
        <v>3534595</v>
      </c>
      <c r="O26" s="161">
        <v>24000</v>
      </c>
      <c r="P26" s="162">
        <v>43012</v>
      </c>
      <c r="T26" s="4"/>
      <c r="U26" s="638" t="s">
        <v>1117</v>
      </c>
      <c r="V26" s="638"/>
      <c r="W26" s="639"/>
      <c r="X26" s="160" t="s">
        <v>154</v>
      </c>
      <c r="Y26" s="139">
        <v>30000</v>
      </c>
      <c r="Z26" s="167">
        <v>43030</v>
      </c>
    </row>
    <row r="27" spans="1:26" ht="15.75" x14ac:dyDescent="0.25">
      <c r="A27" s="287">
        <v>43025</v>
      </c>
      <c r="B27" s="290" t="s">
        <v>1097</v>
      </c>
      <c r="C27" s="133">
        <v>90</v>
      </c>
      <c r="D27" s="128">
        <v>43027</v>
      </c>
      <c r="E27" s="133">
        <v>90</v>
      </c>
      <c r="F27" s="135">
        <f t="shared" si="1"/>
        <v>0</v>
      </c>
      <c r="J27" s="45">
        <v>2539.65</v>
      </c>
      <c r="K27" s="132" t="s">
        <v>1060</v>
      </c>
      <c r="L27" s="133">
        <v>7731.5</v>
      </c>
      <c r="M27" s="163"/>
      <c r="N27" s="160" t="s">
        <v>154</v>
      </c>
      <c r="O27" s="161">
        <v>2708</v>
      </c>
      <c r="P27" s="162">
        <v>43012</v>
      </c>
      <c r="T27" s="4"/>
      <c r="U27" s="640"/>
      <c r="V27" s="640"/>
      <c r="W27" s="641"/>
      <c r="X27" s="160" t="s">
        <v>154</v>
      </c>
      <c r="Y27" s="139">
        <v>25000</v>
      </c>
      <c r="Z27" s="167">
        <v>43030</v>
      </c>
    </row>
    <row r="28" spans="1:26" ht="15.75" x14ac:dyDescent="0.25">
      <c r="A28" s="287">
        <v>43026</v>
      </c>
      <c r="B28" s="290" t="s">
        <v>1105</v>
      </c>
      <c r="C28" s="133">
        <v>38364.75</v>
      </c>
      <c r="D28" s="128">
        <v>43038</v>
      </c>
      <c r="E28" s="133">
        <v>38364.75</v>
      </c>
      <c r="F28" s="135">
        <f t="shared" si="1"/>
        <v>0</v>
      </c>
      <c r="J28" s="45"/>
      <c r="K28" s="132" t="s">
        <v>1061</v>
      </c>
      <c r="L28" s="133">
        <v>5630.6</v>
      </c>
      <c r="M28" s="164"/>
      <c r="N28" s="160">
        <v>3534596</v>
      </c>
      <c r="O28" s="161">
        <v>25000</v>
      </c>
      <c r="P28" s="162">
        <v>43013</v>
      </c>
      <c r="T28" s="4"/>
      <c r="U28" s="640"/>
      <c r="V28" s="640"/>
      <c r="W28" s="641"/>
      <c r="X28" s="160" t="s">
        <v>154</v>
      </c>
      <c r="Y28" s="139">
        <v>12407</v>
      </c>
      <c r="Z28" s="167">
        <v>43030</v>
      </c>
    </row>
    <row r="29" spans="1:26" ht="15.75" x14ac:dyDescent="0.25">
      <c r="A29" s="287">
        <v>43026</v>
      </c>
      <c r="B29" s="290" t="s">
        <v>1106</v>
      </c>
      <c r="C29" s="133">
        <v>5478.6</v>
      </c>
      <c r="D29" s="128">
        <v>43038</v>
      </c>
      <c r="E29" s="133">
        <v>5478.6</v>
      </c>
      <c r="F29" s="135">
        <f t="shared" si="1"/>
        <v>0</v>
      </c>
      <c r="J29" s="45"/>
      <c r="K29" s="132" t="s">
        <v>1062</v>
      </c>
      <c r="L29" s="133">
        <v>1198.56</v>
      </c>
      <c r="M29" s="277"/>
      <c r="N29" s="160">
        <v>3534597</v>
      </c>
      <c r="O29" s="161">
        <v>18316</v>
      </c>
      <c r="P29" s="162">
        <v>43013</v>
      </c>
      <c r="T29" s="266"/>
      <c r="U29" s="640"/>
      <c r="V29" s="640"/>
      <c r="W29" s="641"/>
      <c r="X29" s="160" t="s">
        <v>154</v>
      </c>
      <c r="Y29" s="139">
        <v>24000</v>
      </c>
      <c r="Z29" s="167">
        <v>43031</v>
      </c>
    </row>
    <row r="30" spans="1:26" ht="15.75" x14ac:dyDescent="0.25">
      <c r="A30" s="287">
        <v>43027</v>
      </c>
      <c r="B30" s="290" t="s">
        <v>1107</v>
      </c>
      <c r="C30" s="133">
        <v>74823.75</v>
      </c>
      <c r="D30" s="128">
        <v>43038</v>
      </c>
      <c r="E30" s="133">
        <v>74823.75</v>
      </c>
      <c r="F30" s="135">
        <f t="shared" si="1"/>
        <v>0</v>
      </c>
      <c r="J30" s="45"/>
      <c r="K30" s="132" t="s">
        <v>1063</v>
      </c>
      <c r="L30" s="133">
        <v>402.5</v>
      </c>
      <c r="M30" s="163"/>
      <c r="N30" s="160">
        <v>3534599</v>
      </c>
      <c r="O30" s="166">
        <v>24186</v>
      </c>
      <c r="P30" s="167">
        <v>43014</v>
      </c>
      <c r="U30" s="642"/>
      <c r="V30" s="642"/>
      <c r="W30" s="643"/>
      <c r="X30" s="160" t="s">
        <v>154</v>
      </c>
      <c r="Y30" s="139">
        <v>9105</v>
      </c>
      <c r="Z30" s="167">
        <v>43031</v>
      </c>
    </row>
    <row r="31" spans="1:26" ht="15.75" x14ac:dyDescent="0.25">
      <c r="A31" s="287">
        <v>43028</v>
      </c>
      <c r="B31" s="290" t="s">
        <v>1108</v>
      </c>
      <c r="C31" s="133">
        <v>39264.870000000003</v>
      </c>
      <c r="D31" s="128">
        <v>43038</v>
      </c>
      <c r="E31" s="133">
        <v>39264.870000000003</v>
      </c>
      <c r="F31" s="135">
        <f t="shared" si="1"/>
        <v>0</v>
      </c>
      <c r="J31" s="45"/>
      <c r="K31" s="132" t="s">
        <v>1064</v>
      </c>
      <c r="L31" s="133">
        <v>233.6</v>
      </c>
      <c r="M31" s="165"/>
      <c r="N31" s="160">
        <v>3534598</v>
      </c>
      <c r="O31" s="148">
        <v>40000</v>
      </c>
      <c r="P31" s="167">
        <v>43014</v>
      </c>
      <c r="U31" s="209"/>
      <c r="V31" s="41">
        <v>0</v>
      </c>
      <c r="W31" s="209"/>
      <c r="X31" s="160" t="s">
        <v>154</v>
      </c>
      <c r="Y31" s="139">
        <v>10000</v>
      </c>
      <c r="Z31" s="167">
        <v>43032</v>
      </c>
    </row>
    <row r="32" spans="1:26" ht="15.75" x14ac:dyDescent="0.25">
      <c r="A32" s="287">
        <v>43028</v>
      </c>
      <c r="B32" s="290" t="s">
        <v>1109</v>
      </c>
      <c r="C32" s="133">
        <v>31370.15</v>
      </c>
      <c r="D32" s="128">
        <v>43038</v>
      </c>
      <c r="E32" s="133">
        <v>31370.15</v>
      </c>
      <c r="F32" s="135">
        <f t="shared" si="1"/>
        <v>0</v>
      </c>
      <c r="J32" s="45"/>
      <c r="K32" s="132" t="s">
        <v>1065</v>
      </c>
      <c r="L32" s="133">
        <v>29314.400000000001</v>
      </c>
      <c r="M32" s="163"/>
      <c r="N32" s="160">
        <v>3534851</v>
      </c>
      <c r="O32" s="161">
        <v>23000</v>
      </c>
      <c r="P32" s="162">
        <v>43015</v>
      </c>
      <c r="U32" s="209"/>
      <c r="V32" s="41">
        <v>0</v>
      </c>
      <c r="W32" s="209"/>
      <c r="X32" s="160" t="s">
        <v>154</v>
      </c>
      <c r="Y32" s="139">
        <v>13031</v>
      </c>
      <c r="Z32" s="167">
        <v>43032</v>
      </c>
    </row>
    <row r="33" spans="1:26" ht="15.75" x14ac:dyDescent="0.25">
      <c r="A33" s="287">
        <v>43029</v>
      </c>
      <c r="B33" s="290" t="s">
        <v>1110</v>
      </c>
      <c r="C33" s="133">
        <v>41090.160000000003</v>
      </c>
      <c r="D33" s="128">
        <v>43038</v>
      </c>
      <c r="E33" s="133">
        <v>41090.160000000003</v>
      </c>
      <c r="F33" s="135">
        <f t="shared" si="1"/>
        <v>0</v>
      </c>
      <c r="J33" s="45"/>
      <c r="K33" s="132" t="s">
        <v>1066</v>
      </c>
      <c r="L33" s="133">
        <v>27574.5</v>
      </c>
      <c r="M33" s="168"/>
      <c r="N33" s="160">
        <v>3534600</v>
      </c>
      <c r="O33" s="161">
        <v>35000</v>
      </c>
      <c r="P33" s="162">
        <v>43015</v>
      </c>
      <c r="U33" s="209"/>
      <c r="V33" s="41">
        <v>0</v>
      </c>
      <c r="W33" s="209"/>
      <c r="X33" s="160" t="s">
        <v>154</v>
      </c>
      <c r="Y33" s="139">
        <v>15000</v>
      </c>
      <c r="Z33" s="167">
        <v>43033</v>
      </c>
    </row>
    <row r="34" spans="1:26" ht="15.75" x14ac:dyDescent="0.25">
      <c r="A34" s="287">
        <v>43012</v>
      </c>
      <c r="B34" s="290">
        <v>542</v>
      </c>
      <c r="C34" s="133">
        <v>1197.68</v>
      </c>
      <c r="D34" s="128" t="s">
        <v>1131</v>
      </c>
      <c r="E34" s="133">
        <v>1197.68</v>
      </c>
      <c r="F34" s="135">
        <f t="shared" si="1"/>
        <v>0</v>
      </c>
      <c r="J34" s="45"/>
      <c r="K34" s="132" t="s">
        <v>1067</v>
      </c>
      <c r="L34" s="133">
        <v>33513.910000000003</v>
      </c>
      <c r="M34" s="171" t="s">
        <v>159</v>
      </c>
      <c r="N34" s="160">
        <v>3534852</v>
      </c>
      <c r="O34" s="161">
        <v>32049</v>
      </c>
      <c r="P34" s="162">
        <v>43015</v>
      </c>
      <c r="U34" s="209"/>
      <c r="V34" s="41">
        <v>0</v>
      </c>
      <c r="W34" s="209"/>
      <c r="X34" s="160" t="s">
        <v>154</v>
      </c>
      <c r="Y34" s="139">
        <v>13490</v>
      </c>
      <c r="Z34" s="167">
        <v>43033</v>
      </c>
    </row>
    <row r="35" spans="1:26" ht="15.75" x14ac:dyDescent="0.25">
      <c r="A35" s="287">
        <v>43030</v>
      </c>
      <c r="B35" s="290">
        <v>647</v>
      </c>
      <c r="C35" s="133">
        <v>685.44</v>
      </c>
      <c r="D35" s="128" t="s">
        <v>1132</v>
      </c>
      <c r="E35" s="133">
        <v>685.44</v>
      </c>
      <c r="F35" s="135">
        <f t="shared" si="1"/>
        <v>0</v>
      </c>
      <c r="J35" s="45"/>
      <c r="K35" s="132"/>
      <c r="L35" s="133"/>
      <c r="M35" s="168"/>
      <c r="N35" s="160">
        <v>3534853</v>
      </c>
      <c r="O35" s="161">
        <v>35000</v>
      </c>
      <c r="P35" s="162">
        <v>43016</v>
      </c>
      <c r="U35" s="209"/>
      <c r="V35" s="41">
        <v>0</v>
      </c>
      <c r="W35" s="209"/>
      <c r="X35" s="160" t="s">
        <v>154</v>
      </c>
      <c r="Y35" s="139">
        <v>51465</v>
      </c>
      <c r="Z35" s="167">
        <v>43034</v>
      </c>
    </row>
    <row r="36" spans="1:26" ht="16.5" thickBot="1" x14ac:dyDescent="0.3">
      <c r="A36" s="287">
        <v>43031</v>
      </c>
      <c r="B36" s="290" t="s">
        <v>1111</v>
      </c>
      <c r="C36" s="133">
        <v>40274.589999999997</v>
      </c>
      <c r="D36" s="128">
        <v>43038</v>
      </c>
      <c r="E36" s="133">
        <v>40274.589999999997</v>
      </c>
      <c r="F36" s="135">
        <f t="shared" si="0"/>
        <v>0</v>
      </c>
      <c r="J36" s="45"/>
      <c r="K36" s="132"/>
      <c r="L36" s="288"/>
      <c r="M36" s="523"/>
      <c r="N36" s="378">
        <v>3534854</v>
      </c>
      <c r="O36" s="161">
        <v>17058</v>
      </c>
      <c r="P36" s="162">
        <v>43016</v>
      </c>
      <c r="U36" s="299"/>
      <c r="V36" s="547">
        <v>0</v>
      </c>
      <c r="W36" s="299"/>
      <c r="X36" s="299"/>
      <c r="Y36" s="299">
        <v>0</v>
      </c>
      <c r="Z36" s="299"/>
    </row>
    <row r="37" spans="1:26" ht="17.25" thickTop="1" thickBot="1" x14ac:dyDescent="0.3">
      <c r="A37" s="287">
        <v>43033</v>
      </c>
      <c r="B37" s="290" t="s">
        <v>1112</v>
      </c>
      <c r="C37" s="133">
        <v>37070.33</v>
      </c>
      <c r="D37" s="128">
        <v>43038</v>
      </c>
      <c r="E37" s="133">
        <v>37070.33</v>
      </c>
      <c r="F37" s="135">
        <f t="shared" si="0"/>
        <v>0</v>
      </c>
      <c r="J37" s="45"/>
      <c r="K37" s="132"/>
      <c r="L37" s="626" t="s">
        <v>1073</v>
      </c>
      <c r="M37" s="627"/>
      <c r="N37" s="628"/>
      <c r="O37" s="522"/>
      <c r="P37" s="162"/>
      <c r="T37" s="548">
        <f>SUM(T2:T36)</f>
        <v>507287.55000000005</v>
      </c>
      <c r="U37" s="549"/>
      <c r="V37" s="549">
        <f>SUM(V4:V36)</f>
        <v>547115</v>
      </c>
      <c r="W37" s="549"/>
      <c r="X37" s="549"/>
      <c r="Y37" s="549">
        <f>SUM(Y4:Y36)</f>
        <v>547115</v>
      </c>
      <c r="Z37" s="550"/>
    </row>
    <row r="38" spans="1:26" ht="16.5" thickTop="1" thickBot="1" x14ac:dyDescent="0.3">
      <c r="A38" s="287">
        <v>43033</v>
      </c>
      <c r="B38" s="367" t="s">
        <v>1113</v>
      </c>
      <c r="C38" s="133">
        <v>35394.94</v>
      </c>
      <c r="D38" s="128">
        <v>43038</v>
      </c>
      <c r="E38" s="133">
        <v>35394.94</v>
      </c>
      <c r="F38" s="135">
        <f t="shared" si="0"/>
        <v>0</v>
      </c>
      <c r="J38" s="45"/>
      <c r="K38" s="132"/>
      <c r="L38" s="629"/>
      <c r="M38" s="630"/>
      <c r="N38" s="631"/>
      <c r="O38" s="134"/>
      <c r="P38" s="167"/>
    </row>
    <row r="39" spans="1:26" ht="16.5" thickBot="1" x14ac:dyDescent="0.3">
      <c r="A39" s="287">
        <v>43034</v>
      </c>
      <c r="B39" s="367" t="s">
        <v>1114</v>
      </c>
      <c r="C39" s="133">
        <v>44779.27</v>
      </c>
      <c r="D39" s="128">
        <v>43038</v>
      </c>
      <c r="E39" s="133">
        <v>44779.27</v>
      </c>
      <c r="F39" s="135">
        <f t="shared" si="0"/>
        <v>0</v>
      </c>
      <c r="J39" s="273">
        <f>SUM(J23:J38)</f>
        <v>298258.75</v>
      </c>
      <c r="K39" s="271"/>
      <c r="L39" s="524">
        <f>SUM(L24:L38)</f>
        <v>298260</v>
      </c>
      <c r="M39" s="525"/>
      <c r="N39" s="525"/>
      <c r="O39" s="275">
        <f>SUM(O24:O38)</f>
        <v>298260</v>
      </c>
      <c r="P39" s="272"/>
    </row>
    <row r="40" spans="1:26" x14ac:dyDescent="0.25">
      <c r="A40" s="287">
        <v>43034</v>
      </c>
      <c r="B40" s="367" t="s">
        <v>1115</v>
      </c>
      <c r="C40" s="133">
        <v>33761.39</v>
      </c>
      <c r="D40" s="128">
        <v>43038</v>
      </c>
      <c r="E40" s="133">
        <v>33761.39</v>
      </c>
      <c r="F40" s="135">
        <f t="shared" si="0"/>
        <v>0</v>
      </c>
    </row>
    <row r="41" spans="1:26" x14ac:dyDescent="0.25">
      <c r="A41" s="287">
        <v>43035</v>
      </c>
      <c r="B41" s="290" t="s">
        <v>1116</v>
      </c>
      <c r="C41" s="133">
        <v>107214.5</v>
      </c>
      <c r="D41" s="128" t="s">
        <v>1156</v>
      </c>
      <c r="E41" s="133">
        <f>29532.21+77682.29</f>
        <v>107214.5</v>
      </c>
      <c r="F41" s="289">
        <f t="shared" si="0"/>
        <v>0</v>
      </c>
    </row>
    <row r="42" spans="1:26" x14ac:dyDescent="0.25">
      <c r="A42" s="287">
        <v>43035</v>
      </c>
      <c r="B42" s="290" t="s">
        <v>1119</v>
      </c>
      <c r="C42" s="133">
        <v>16010</v>
      </c>
      <c r="D42" s="128">
        <v>43048</v>
      </c>
      <c r="E42" s="133">
        <v>16010</v>
      </c>
      <c r="F42" s="289">
        <f t="shared" si="0"/>
        <v>0</v>
      </c>
      <c r="I42">
        <v>5536</v>
      </c>
      <c r="J42" s="45">
        <v>402.5</v>
      </c>
    </row>
    <row r="43" spans="1:26" x14ac:dyDescent="0.25">
      <c r="A43" s="287">
        <v>43036</v>
      </c>
      <c r="B43" s="557" t="s">
        <v>1137</v>
      </c>
      <c r="C43" s="139">
        <v>97862.44</v>
      </c>
      <c r="D43" s="128">
        <v>43048</v>
      </c>
      <c r="E43" s="148">
        <v>97862.44</v>
      </c>
      <c r="F43" s="166">
        <f t="shared" si="0"/>
        <v>0</v>
      </c>
      <c r="I43">
        <v>5468</v>
      </c>
      <c r="J43" s="45">
        <v>1198.5</v>
      </c>
    </row>
    <row r="44" spans="1:26" ht="15.75" x14ac:dyDescent="0.25">
      <c r="A44" s="287">
        <v>43037</v>
      </c>
      <c r="B44" s="291" t="s">
        <v>1138</v>
      </c>
      <c r="C44" s="139">
        <v>10345.92</v>
      </c>
      <c r="D44" s="128">
        <v>43048</v>
      </c>
      <c r="E44" s="139">
        <v>10345.92</v>
      </c>
      <c r="F44" s="552">
        <f t="shared" si="0"/>
        <v>0</v>
      </c>
      <c r="I44">
        <v>5343</v>
      </c>
      <c r="J44" s="45">
        <v>5191.8500000000004</v>
      </c>
    </row>
    <row r="45" spans="1:26" ht="15.75" x14ac:dyDescent="0.25">
      <c r="A45" s="209"/>
      <c r="B45" s="209"/>
      <c r="C45" s="41">
        <v>0</v>
      </c>
      <c r="D45" s="209"/>
      <c r="E45" s="209"/>
      <c r="F45" s="552">
        <f t="shared" si="0"/>
        <v>0</v>
      </c>
      <c r="I45">
        <v>5452</v>
      </c>
      <c r="J45" s="45">
        <v>5630.5</v>
      </c>
      <c r="K45" s="534"/>
      <c r="L45" s="150">
        <v>43027</v>
      </c>
      <c r="M45" s="151"/>
      <c r="N45" s="152" t="s">
        <v>141</v>
      </c>
      <c r="O45" s="38"/>
      <c r="P45" s="368"/>
    </row>
    <row r="46" spans="1:26" ht="15.75" x14ac:dyDescent="0.25">
      <c r="A46" s="209"/>
      <c r="B46" s="209"/>
      <c r="C46" s="41">
        <v>0</v>
      </c>
      <c r="D46" s="209"/>
      <c r="E46" s="209"/>
      <c r="F46" s="552">
        <f t="shared" si="0"/>
        <v>0</v>
      </c>
      <c r="J46" s="45">
        <f>19090.05+15204.45</f>
        <v>34294.5</v>
      </c>
      <c r="K46" s="132">
        <v>0</v>
      </c>
      <c r="L46" s="196">
        <v>780.69</v>
      </c>
      <c r="M46" s="159" t="s">
        <v>143</v>
      </c>
      <c r="N46" s="198">
        <v>35345855</v>
      </c>
      <c r="O46" s="148">
        <v>49510</v>
      </c>
      <c r="P46" s="167">
        <v>43017</v>
      </c>
    </row>
    <row r="47" spans="1:26" ht="15.75" x14ac:dyDescent="0.25">
      <c r="A47" s="209"/>
      <c r="B47" s="209"/>
      <c r="C47" s="41">
        <v>0</v>
      </c>
      <c r="D47" s="209"/>
      <c r="E47" s="209"/>
      <c r="F47" s="552">
        <f t="shared" si="0"/>
        <v>0</v>
      </c>
      <c r="J47" s="45">
        <v>31256.78</v>
      </c>
      <c r="K47" s="132" t="s">
        <v>1074</v>
      </c>
      <c r="L47" s="133">
        <v>31256.78</v>
      </c>
      <c r="M47" s="159"/>
      <c r="N47" s="198">
        <v>3534857</v>
      </c>
      <c r="O47" s="148">
        <v>9628</v>
      </c>
      <c r="P47" s="167">
        <v>43017</v>
      </c>
    </row>
    <row r="48" spans="1:26" ht="16.5" thickBot="1" x14ac:dyDescent="0.3">
      <c r="A48" s="299"/>
      <c r="B48" s="299"/>
      <c r="C48" s="547">
        <v>0</v>
      </c>
      <c r="D48" s="299"/>
      <c r="E48" s="299"/>
      <c r="F48" s="553">
        <f t="shared" si="0"/>
        <v>0</v>
      </c>
      <c r="J48" s="45">
        <f>24779.27+45612.61</f>
        <v>70391.88</v>
      </c>
      <c r="K48" s="290" t="s">
        <v>1075</v>
      </c>
      <c r="L48" s="133">
        <v>70391.88</v>
      </c>
      <c r="M48" s="159"/>
      <c r="N48" s="198">
        <v>3534858</v>
      </c>
      <c r="O48" s="148">
        <v>20000</v>
      </c>
      <c r="P48" s="167">
        <v>43018</v>
      </c>
    </row>
    <row r="49" spans="1:16" ht="16.5" thickBot="1" x14ac:dyDescent="0.3">
      <c r="A49" s="271"/>
      <c r="B49" s="335"/>
      <c r="C49" s="275">
        <f>SUM(C3:C48)</f>
        <v>1467058.5199999996</v>
      </c>
      <c r="D49" s="275"/>
      <c r="E49" s="275">
        <f t="shared" ref="E49" si="2">SUM(E3:E48)</f>
        <v>1467058.5199999996</v>
      </c>
      <c r="F49" s="275">
        <f>SUM(F3:F48)</f>
        <v>0</v>
      </c>
      <c r="J49" s="45">
        <v>34168.120000000003</v>
      </c>
      <c r="K49" s="290" t="s">
        <v>1076</v>
      </c>
      <c r="L49" s="133">
        <v>34168.120000000003</v>
      </c>
      <c r="M49" s="172"/>
      <c r="N49" s="198">
        <v>3534859</v>
      </c>
      <c r="O49" s="148">
        <v>4596</v>
      </c>
      <c r="P49" s="167">
        <v>43018</v>
      </c>
    </row>
    <row r="50" spans="1:16" ht="15.75" x14ac:dyDescent="0.25">
      <c r="J50" s="45">
        <f>9797.17+300+5</f>
        <v>10102.17</v>
      </c>
      <c r="K50" s="290" t="s">
        <v>1077</v>
      </c>
      <c r="L50" s="133">
        <v>29431.360000000001</v>
      </c>
      <c r="M50" s="537"/>
      <c r="N50" s="198">
        <v>3534860</v>
      </c>
      <c r="O50" s="148">
        <v>25000</v>
      </c>
      <c r="P50" s="167">
        <v>43019</v>
      </c>
    </row>
    <row r="51" spans="1:16" ht="15.75" x14ac:dyDescent="0.25">
      <c r="J51" s="45"/>
      <c r="K51" s="290" t="s">
        <v>1078</v>
      </c>
      <c r="L51" s="133">
        <v>45975.6</v>
      </c>
      <c r="M51" s="538"/>
      <c r="N51" s="198">
        <v>3534861</v>
      </c>
      <c r="O51" s="148">
        <v>6097</v>
      </c>
      <c r="P51" s="167">
        <v>42746</v>
      </c>
    </row>
    <row r="52" spans="1:16" ht="15.75" x14ac:dyDescent="0.25">
      <c r="J52" s="45"/>
      <c r="K52" s="290" t="s">
        <v>1079</v>
      </c>
      <c r="L52" s="133">
        <v>5481.6</v>
      </c>
      <c r="M52" s="172"/>
      <c r="N52" s="198">
        <v>3534863</v>
      </c>
      <c r="O52" s="166">
        <v>7943</v>
      </c>
      <c r="P52" s="167">
        <v>43020</v>
      </c>
    </row>
    <row r="53" spans="1:16" ht="15.75" x14ac:dyDescent="0.25">
      <c r="J53" s="45"/>
      <c r="K53" s="290" t="s">
        <v>1080</v>
      </c>
      <c r="L53" s="133">
        <v>1130</v>
      </c>
      <c r="M53" s="292"/>
      <c r="N53" s="198">
        <v>3534862</v>
      </c>
      <c r="O53" s="148">
        <v>25000</v>
      </c>
      <c r="P53" s="167">
        <v>43020</v>
      </c>
    </row>
    <row r="54" spans="1:16" ht="15.75" x14ac:dyDescent="0.25">
      <c r="J54" s="45"/>
      <c r="K54" s="290" t="s">
        <v>1081</v>
      </c>
      <c r="L54" s="133">
        <v>48227.7</v>
      </c>
      <c r="M54" s="172"/>
      <c r="N54" s="198" t="s">
        <v>154</v>
      </c>
      <c r="O54" s="148">
        <v>11963.5</v>
      </c>
      <c r="P54" s="167">
        <v>43021</v>
      </c>
    </row>
    <row r="55" spans="1:16" ht="15.75" x14ac:dyDescent="0.25">
      <c r="I55" s="23"/>
      <c r="J55" s="45"/>
      <c r="K55" s="290" t="s">
        <v>1082</v>
      </c>
      <c r="L55" s="133">
        <v>41381.56</v>
      </c>
      <c r="M55" s="293"/>
      <c r="N55" s="198">
        <v>3534865</v>
      </c>
      <c r="O55" s="148">
        <v>14277</v>
      </c>
      <c r="P55" s="167">
        <v>43021</v>
      </c>
    </row>
    <row r="56" spans="1:16" ht="15.75" x14ac:dyDescent="0.25">
      <c r="I56" s="23">
        <v>5538</v>
      </c>
      <c r="J56" s="45">
        <v>233.5</v>
      </c>
      <c r="K56" s="290" t="s">
        <v>1096</v>
      </c>
      <c r="L56" s="133">
        <v>582.21</v>
      </c>
      <c r="M56" s="197" t="s">
        <v>159</v>
      </c>
      <c r="N56" s="198">
        <v>3534864</v>
      </c>
      <c r="O56" s="148">
        <v>45000</v>
      </c>
      <c r="P56" s="167">
        <v>43021</v>
      </c>
    </row>
    <row r="57" spans="1:16" ht="15.75" x14ac:dyDescent="0.25">
      <c r="I57" s="23">
        <v>5540</v>
      </c>
      <c r="J57" s="45">
        <f>11938.95+17375.55</f>
        <v>29314.5</v>
      </c>
      <c r="K57" s="290" t="s">
        <v>1097</v>
      </c>
      <c r="L57" s="133">
        <v>90</v>
      </c>
      <c r="M57" s="293"/>
      <c r="N57" s="198" t="s">
        <v>154</v>
      </c>
      <c r="O57" s="148">
        <v>14883</v>
      </c>
      <c r="P57" s="167">
        <v>43022</v>
      </c>
    </row>
    <row r="58" spans="1:16" ht="16.5" thickBot="1" x14ac:dyDescent="0.3">
      <c r="I58" s="23" t="s">
        <v>1091</v>
      </c>
      <c r="J58" s="45">
        <v>59138</v>
      </c>
      <c r="K58" s="317"/>
      <c r="L58" s="294"/>
      <c r="M58" s="541"/>
      <c r="N58" s="198">
        <v>3534866</v>
      </c>
      <c r="O58" s="148">
        <v>50000</v>
      </c>
      <c r="P58" s="167">
        <v>43022</v>
      </c>
    </row>
    <row r="59" spans="1:16" ht="15" customHeight="1" thickTop="1" x14ac:dyDescent="0.25">
      <c r="I59" s="23">
        <v>5541</v>
      </c>
      <c r="J59" s="45">
        <f>13721.7+13852.8</f>
        <v>27574.5</v>
      </c>
      <c r="K59" s="632" t="s">
        <v>1098</v>
      </c>
      <c r="L59" s="633"/>
      <c r="M59" s="634"/>
      <c r="N59" s="539">
        <v>3534867</v>
      </c>
      <c r="O59" s="148">
        <v>25000</v>
      </c>
      <c r="P59" s="167">
        <v>43022</v>
      </c>
    </row>
    <row r="60" spans="1:16" ht="15.75" customHeight="1" thickBot="1" x14ac:dyDescent="0.3">
      <c r="J60" s="45"/>
      <c r="K60" s="635"/>
      <c r="L60" s="636"/>
      <c r="M60" s="637"/>
      <c r="N60" s="540"/>
      <c r="O60" s="148"/>
      <c r="P60" s="167"/>
    </row>
    <row r="61" spans="1:16" ht="16.5" thickBot="1" x14ac:dyDescent="0.3">
      <c r="J61" s="273">
        <f>SUM(J42:J60)</f>
        <v>308897.30000000005</v>
      </c>
      <c r="K61" s="535"/>
      <c r="L61" s="524">
        <f>SUM(L46:L60)</f>
        <v>308897.50000000006</v>
      </c>
      <c r="M61" s="525"/>
      <c r="N61" s="525"/>
      <c r="O61" s="524">
        <f>SUM(O46:O60)</f>
        <v>308897.5</v>
      </c>
      <c r="P61" s="536"/>
    </row>
  </sheetData>
  <sortState ref="A43:C44">
    <sortCondition ref="B43:B44"/>
  </sortState>
  <mergeCells count="4">
    <mergeCell ref="C1:E1"/>
    <mergeCell ref="L37:N38"/>
    <mergeCell ref="K59:M60"/>
    <mergeCell ref="U26:W30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8"/>
  <sheetViews>
    <sheetView tabSelected="1" topLeftCell="A25" workbookViewId="0">
      <selection activeCell="L38" sqref="L38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.140625" bestFit="1" customWidth="1"/>
  </cols>
  <sheetData>
    <row r="1" spans="1:13" ht="23.25" x14ac:dyDescent="0.35">
      <c r="A1" s="1"/>
      <c r="B1" s="594" t="s">
        <v>1139</v>
      </c>
      <c r="C1" s="594"/>
      <c r="D1" s="594"/>
      <c r="E1" s="594"/>
      <c r="F1" s="594"/>
      <c r="G1" s="594"/>
      <c r="H1" s="594"/>
      <c r="I1" s="594"/>
      <c r="J1" s="594"/>
      <c r="L1" s="529" t="s">
        <v>1</v>
      </c>
      <c r="M1" s="3"/>
    </row>
    <row r="2" spans="1:13" ht="15.75" thickBot="1" x14ac:dyDescent="0.3">
      <c r="A2" s="1"/>
      <c r="B2" s="5"/>
      <c r="D2" s="555"/>
      <c r="E2" s="8"/>
      <c r="L2" s="3"/>
      <c r="M2" s="3"/>
    </row>
    <row r="3" spans="1:13" ht="19.5" customHeight="1" thickBot="1" x14ac:dyDescent="0.35">
      <c r="A3" s="581" t="s">
        <v>3</v>
      </c>
      <c r="B3" s="10" t="s">
        <v>4</v>
      </c>
      <c r="C3" s="11"/>
      <c r="D3" s="595" t="s">
        <v>2</v>
      </c>
      <c r="E3" s="595"/>
      <c r="F3" s="595"/>
      <c r="G3" s="596">
        <v>2000</v>
      </c>
      <c r="H3" s="596"/>
      <c r="I3" s="5"/>
      <c r="L3" s="3"/>
      <c r="M3" s="3"/>
    </row>
    <row r="4" spans="1:13" ht="20.25" thickTop="1" thickBot="1" x14ac:dyDescent="0.35">
      <c r="A4" s="582"/>
      <c r="B4" s="13">
        <v>106816.45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504" t="s">
        <v>11</v>
      </c>
    </row>
    <row r="5" spans="1:13" ht="17.25" thickTop="1" thickBot="1" x14ac:dyDescent="0.3">
      <c r="A5" s="412">
        <v>43040</v>
      </c>
      <c r="B5" s="413">
        <v>34193.699999999997</v>
      </c>
      <c r="C5" s="20" t="s">
        <v>1153</v>
      </c>
      <c r="D5" s="433">
        <v>43040</v>
      </c>
      <c r="E5" s="434">
        <v>34193.699999999997</v>
      </c>
      <c r="F5" s="23"/>
      <c r="G5" s="24">
        <v>43040</v>
      </c>
      <c r="H5" s="439">
        <v>0</v>
      </c>
      <c r="I5" s="26"/>
      <c r="J5" s="451"/>
      <c r="K5" s="451"/>
      <c r="L5" s="542">
        <v>34194</v>
      </c>
    </row>
    <row r="6" spans="1:13" ht="17.25" thickTop="1" thickBot="1" x14ac:dyDescent="0.3">
      <c r="A6" s="414">
        <v>43041</v>
      </c>
      <c r="B6" s="415">
        <v>39482.1</v>
      </c>
      <c r="C6" s="20" t="s">
        <v>1154</v>
      </c>
      <c r="D6" s="435">
        <v>43041</v>
      </c>
      <c r="E6" s="436">
        <v>39482.1</v>
      </c>
      <c r="F6" s="36"/>
      <c r="G6" s="526">
        <v>43041</v>
      </c>
      <c r="H6" s="440">
        <v>0</v>
      </c>
      <c r="I6" s="38"/>
      <c r="J6" s="106" t="s">
        <v>15</v>
      </c>
      <c r="K6" s="452">
        <v>0</v>
      </c>
      <c r="L6" s="542">
        <f>20000+19482</f>
        <v>39482</v>
      </c>
    </row>
    <row r="7" spans="1:13" ht="16.5" thickTop="1" thickBot="1" x14ac:dyDescent="0.3">
      <c r="A7" s="414">
        <v>43042</v>
      </c>
      <c r="B7" s="415">
        <v>4418.08</v>
      </c>
      <c r="C7" s="20" t="s">
        <v>1154</v>
      </c>
      <c r="D7" s="435">
        <v>43042</v>
      </c>
      <c r="E7" s="436">
        <v>57445.48</v>
      </c>
      <c r="F7" s="23"/>
      <c r="G7" s="526">
        <v>43042</v>
      </c>
      <c r="H7" s="440">
        <v>33</v>
      </c>
      <c r="I7" s="38"/>
      <c r="J7" s="459" t="s">
        <v>18</v>
      </c>
      <c r="K7" s="453">
        <v>9765</v>
      </c>
      <c r="L7" s="530">
        <v>89252.5</v>
      </c>
      <c r="M7" s="29"/>
    </row>
    <row r="8" spans="1:13" ht="16.5" thickTop="1" thickBot="1" x14ac:dyDescent="0.3">
      <c r="A8" s="414">
        <v>43043</v>
      </c>
      <c r="B8" s="415">
        <v>0</v>
      </c>
      <c r="C8" s="48"/>
      <c r="D8" s="435">
        <v>43043</v>
      </c>
      <c r="E8" s="436">
        <v>50098.85</v>
      </c>
      <c r="F8" s="23"/>
      <c r="G8" s="526">
        <v>43043</v>
      </c>
      <c r="H8" s="440">
        <v>0</v>
      </c>
      <c r="I8" s="38"/>
      <c r="J8" s="106" t="s">
        <v>22</v>
      </c>
      <c r="K8" s="489">
        <f>7187.5+7187.5+7187.5+7187.5</f>
        <v>28750</v>
      </c>
      <c r="L8" s="530">
        <v>50099</v>
      </c>
      <c r="M8" s="29"/>
    </row>
    <row r="9" spans="1:13" ht="16.5" thickTop="1" thickBot="1" x14ac:dyDescent="0.3">
      <c r="A9" s="414">
        <v>43044</v>
      </c>
      <c r="B9" s="415">
        <v>0</v>
      </c>
      <c r="C9" s="50"/>
      <c r="D9" s="435">
        <v>43044</v>
      </c>
      <c r="E9" s="436">
        <v>80527.399999999994</v>
      </c>
      <c r="F9" s="23"/>
      <c r="G9" s="526">
        <v>43044</v>
      </c>
      <c r="H9" s="440">
        <v>0</v>
      </c>
      <c r="I9" s="51" t="s">
        <v>1173</v>
      </c>
      <c r="J9" s="106" t="s">
        <v>1149</v>
      </c>
      <c r="K9" s="191">
        <v>8847.69</v>
      </c>
      <c r="L9" s="530">
        <v>80527.5</v>
      </c>
      <c r="M9" s="29"/>
    </row>
    <row r="10" spans="1:13" ht="16.5" thickTop="1" thickBot="1" x14ac:dyDescent="0.3">
      <c r="A10" s="414">
        <v>43045</v>
      </c>
      <c r="B10" s="415">
        <v>0</v>
      </c>
      <c r="C10" s="48"/>
      <c r="D10" s="435">
        <v>43045</v>
      </c>
      <c r="E10" s="436">
        <v>52303.25</v>
      </c>
      <c r="F10" s="23"/>
      <c r="G10" s="526">
        <v>43045</v>
      </c>
      <c r="H10" s="440">
        <v>0</v>
      </c>
      <c r="I10" s="51" t="s">
        <v>1174</v>
      </c>
      <c r="J10" s="106" t="s">
        <v>1150</v>
      </c>
      <c r="K10" s="191">
        <v>8233.4</v>
      </c>
      <c r="L10" s="530">
        <v>52303</v>
      </c>
      <c r="M10" s="29"/>
    </row>
    <row r="11" spans="1:13" ht="16.5" thickTop="1" thickBot="1" x14ac:dyDescent="0.3">
      <c r="A11" s="414">
        <v>43046</v>
      </c>
      <c r="B11" s="415">
        <v>0</v>
      </c>
      <c r="C11" s="48"/>
      <c r="D11" s="435">
        <v>43046</v>
      </c>
      <c r="E11" s="436">
        <v>20339.2</v>
      </c>
      <c r="F11" s="23"/>
      <c r="G11" s="526">
        <v>43046</v>
      </c>
      <c r="H11" s="440">
        <v>0</v>
      </c>
      <c r="I11" s="51" t="s">
        <v>1184</v>
      </c>
      <c r="J11" s="106" t="s">
        <v>1151</v>
      </c>
      <c r="K11" s="191">
        <v>8233.4</v>
      </c>
      <c r="L11" s="530">
        <f>10000+10339</f>
        <v>20339</v>
      </c>
      <c r="M11" s="456"/>
    </row>
    <row r="12" spans="1:13" ht="16.5" thickTop="1" thickBot="1" x14ac:dyDescent="0.3">
      <c r="A12" s="414">
        <v>43047</v>
      </c>
      <c r="B12" s="415">
        <v>0</v>
      </c>
      <c r="C12" s="48"/>
      <c r="D12" s="435">
        <v>43047</v>
      </c>
      <c r="E12" s="436">
        <v>60545.45</v>
      </c>
      <c r="F12" s="23"/>
      <c r="G12" s="526">
        <v>43047</v>
      </c>
      <c r="H12" s="440">
        <v>0</v>
      </c>
      <c r="I12" s="38" t="s">
        <v>1185</v>
      </c>
      <c r="J12" s="106" t="s">
        <v>1152</v>
      </c>
      <c r="K12" s="191">
        <v>9019.11</v>
      </c>
      <c r="L12" s="530">
        <v>60545.5</v>
      </c>
      <c r="M12" s="29"/>
    </row>
    <row r="13" spans="1:13" ht="16.5" thickTop="1" thickBot="1" x14ac:dyDescent="0.3">
      <c r="A13" s="414">
        <v>43048</v>
      </c>
      <c r="B13" s="415">
        <v>0</v>
      </c>
      <c r="C13" s="48"/>
      <c r="D13" s="435">
        <v>43048</v>
      </c>
      <c r="E13" s="436">
        <v>29976.63</v>
      </c>
      <c r="F13" s="23"/>
      <c r="G13" s="526">
        <v>43048</v>
      </c>
      <c r="H13" s="440">
        <v>20</v>
      </c>
      <c r="I13" s="38"/>
      <c r="J13" s="368"/>
      <c r="K13" s="452">
        <v>0</v>
      </c>
      <c r="L13" s="530">
        <v>28186.63</v>
      </c>
      <c r="M13" s="29"/>
    </row>
    <row r="14" spans="1:13" ht="16.5" thickTop="1" thickBot="1" x14ac:dyDescent="0.3">
      <c r="A14" s="414">
        <v>43049</v>
      </c>
      <c r="B14" s="415">
        <v>0</v>
      </c>
      <c r="C14" s="50"/>
      <c r="D14" s="435">
        <v>43049</v>
      </c>
      <c r="E14" s="436">
        <v>41476.28</v>
      </c>
      <c r="F14" s="23"/>
      <c r="G14" s="526">
        <v>43049</v>
      </c>
      <c r="H14" s="440">
        <v>0</v>
      </c>
      <c r="I14" s="38"/>
      <c r="J14" s="460"/>
      <c r="K14" s="452">
        <v>0</v>
      </c>
      <c r="L14" s="530">
        <v>41476</v>
      </c>
      <c r="M14" s="29"/>
    </row>
    <row r="15" spans="1:13" ht="16.5" thickTop="1" thickBot="1" x14ac:dyDescent="0.3">
      <c r="A15" s="414">
        <v>43050</v>
      </c>
      <c r="B15" s="415">
        <v>0</v>
      </c>
      <c r="C15" s="50"/>
      <c r="D15" s="435">
        <v>43050</v>
      </c>
      <c r="E15" s="436">
        <v>72377.149999999994</v>
      </c>
      <c r="F15" s="23"/>
      <c r="G15" s="526">
        <v>43050</v>
      </c>
      <c r="H15" s="440">
        <v>35</v>
      </c>
      <c r="I15" s="38"/>
      <c r="J15" s="481" t="s">
        <v>44</v>
      </c>
      <c r="K15" s="452">
        <v>0</v>
      </c>
      <c r="L15" s="530">
        <f>12000+60342</f>
        <v>72342</v>
      </c>
      <c r="M15" s="456"/>
    </row>
    <row r="16" spans="1:13" ht="16.5" thickTop="1" thickBot="1" x14ac:dyDescent="0.3">
      <c r="A16" s="414">
        <v>43051</v>
      </c>
      <c r="B16" s="415">
        <v>0</v>
      </c>
      <c r="C16" s="50"/>
      <c r="D16" s="435">
        <v>43051</v>
      </c>
      <c r="E16" s="436">
        <v>61739.519999999997</v>
      </c>
      <c r="F16" s="23"/>
      <c r="G16" s="526">
        <v>43051</v>
      </c>
      <c r="H16" s="440">
        <v>10</v>
      </c>
      <c r="I16" s="38"/>
      <c r="J16" s="54"/>
      <c r="K16" s="455">
        <v>0</v>
      </c>
      <c r="L16" s="530">
        <v>61729.52</v>
      </c>
      <c r="M16" s="29"/>
    </row>
    <row r="17" spans="1:13" ht="15.75" customHeight="1" thickTop="1" thickBot="1" x14ac:dyDescent="0.3">
      <c r="A17" s="414">
        <v>43052</v>
      </c>
      <c r="B17" s="415">
        <v>0</v>
      </c>
      <c r="C17" s="50"/>
      <c r="D17" s="435">
        <v>43052</v>
      </c>
      <c r="E17" s="436">
        <v>23467.45</v>
      </c>
      <c r="F17" s="23"/>
      <c r="G17" s="526">
        <v>43052</v>
      </c>
      <c r="H17" s="440">
        <v>0</v>
      </c>
      <c r="I17" s="38"/>
      <c r="J17" s="591" t="s">
        <v>49</v>
      </c>
      <c r="K17" s="455">
        <v>0</v>
      </c>
      <c r="L17" s="530">
        <v>23467.5</v>
      </c>
      <c r="M17" s="29"/>
    </row>
    <row r="18" spans="1:13" ht="16.5" thickTop="1" thickBot="1" x14ac:dyDescent="0.3">
      <c r="A18" s="414">
        <v>43053</v>
      </c>
      <c r="B18" s="415">
        <v>0</v>
      </c>
      <c r="C18" s="48"/>
      <c r="D18" s="435">
        <v>43053</v>
      </c>
      <c r="E18" s="436">
        <v>53881.2</v>
      </c>
      <c r="F18" s="23"/>
      <c r="G18" s="526">
        <v>43053</v>
      </c>
      <c r="H18" s="440">
        <v>0</v>
      </c>
      <c r="I18" s="56"/>
      <c r="J18" s="591"/>
      <c r="K18" s="456">
        <v>0</v>
      </c>
      <c r="L18" s="530">
        <v>53881</v>
      </c>
      <c r="M18" s="29"/>
    </row>
    <row r="19" spans="1:13" ht="17.25" thickTop="1" thickBot="1" x14ac:dyDescent="0.3">
      <c r="A19" s="414">
        <v>43054</v>
      </c>
      <c r="B19" s="415">
        <v>0</v>
      </c>
      <c r="C19" s="50"/>
      <c r="D19" s="435">
        <v>43054</v>
      </c>
      <c r="E19" s="436">
        <v>32930.300000000003</v>
      </c>
      <c r="F19" s="23"/>
      <c r="G19" s="526">
        <v>43054</v>
      </c>
      <c r="H19" s="440">
        <v>0</v>
      </c>
      <c r="I19" s="38"/>
      <c r="J19" s="368" t="s">
        <v>1186</v>
      </c>
      <c r="K19" s="456">
        <v>777.2</v>
      </c>
      <c r="L19" s="530">
        <v>32930</v>
      </c>
      <c r="M19" s="495"/>
    </row>
    <row r="20" spans="1:13" ht="17.25" thickTop="1" thickBot="1" x14ac:dyDescent="0.3">
      <c r="A20" s="414">
        <v>43055</v>
      </c>
      <c r="B20" s="415">
        <v>0</v>
      </c>
      <c r="C20" s="57"/>
      <c r="D20" s="435">
        <v>43055</v>
      </c>
      <c r="E20" s="436">
        <v>27296.2</v>
      </c>
      <c r="F20" s="23"/>
      <c r="G20" s="526">
        <v>43055</v>
      </c>
      <c r="H20" s="440">
        <v>0</v>
      </c>
      <c r="I20" s="58"/>
      <c r="J20" s="59" t="s">
        <v>57</v>
      </c>
      <c r="K20" s="109">
        <v>0</v>
      </c>
      <c r="L20" s="530">
        <v>27296</v>
      </c>
      <c r="M20" s="495"/>
    </row>
    <row r="21" spans="1:13" ht="16.5" thickTop="1" thickBot="1" x14ac:dyDescent="0.3">
      <c r="A21" s="414">
        <v>43056</v>
      </c>
      <c r="B21" s="415">
        <v>0</v>
      </c>
      <c r="C21" s="57"/>
      <c r="D21" s="435">
        <v>43056</v>
      </c>
      <c r="E21" s="436">
        <v>53104</v>
      </c>
      <c r="F21" s="23"/>
      <c r="G21" s="526">
        <v>43056</v>
      </c>
      <c r="H21" s="440">
        <v>0</v>
      </c>
      <c r="I21" s="450" t="s">
        <v>638</v>
      </c>
      <c r="J21" s="63"/>
      <c r="K21" s="109"/>
      <c r="L21" s="530">
        <v>53191.5</v>
      </c>
      <c r="M21" s="456"/>
    </row>
    <row r="22" spans="1:13" ht="17.25" thickTop="1" thickBot="1" x14ac:dyDescent="0.3">
      <c r="A22" s="414">
        <v>43057</v>
      </c>
      <c r="B22" s="415">
        <v>0</v>
      </c>
      <c r="C22" s="50"/>
      <c r="D22" s="435">
        <v>43057</v>
      </c>
      <c r="E22" s="436">
        <v>57305.15</v>
      </c>
      <c r="F22" s="23"/>
      <c r="G22" s="526">
        <v>43057</v>
      </c>
      <c r="H22" s="440">
        <v>0</v>
      </c>
      <c r="I22" s="58"/>
      <c r="J22" s="449"/>
      <c r="K22" s="109">
        <v>0</v>
      </c>
      <c r="L22" s="530">
        <v>57305.5</v>
      </c>
      <c r="M22" s="554"/>
    </row>
    <row r="23" spans="1:13" ht="16.5" thickTop="1" thickBot="1" x14ac:dyDescent="0.3">
      <c r="A23" s="414">
        <v>43058</v>
      </c>
      <c r="B23" s="415">
        <v>0</v>
      </c>
      <c r="C23" s="50"/>
      <c r="D23" s="435">
        <v>43058</v>
      </c>
      <c r="E23" s="436">
        <v>76941.850000000006</v>
      </c>
      <c r="F23" s="23"/>
      <c r="G23" s="526">
        <v>43058</v>
      </c>
      <c r="H23" s="440">
        <v>50</v>
      </c>
      <c r="I23" s="38"/>
      <c r="J23" s="63"/>
      <c r="K23" s="109">
        <v>0</v>
      </c>
      <c r="L23" s="530">
        <v>76892</v>
      </c>
      <c r="M23" s="29"/>
    </row>
    <row r="24" spans="1:13" ht="16.5" thickTop="1" thickBot="1" x14ac:dyDescent="0.3">
      <c r="A24" s="414">
        <v>43059</v>
      </c>
      <c r="B24" s="415">
        <v>0</v>
      </c>
      <c r="C24" s="50"/>
      <c r="D24" s="435">
        <v>43059</v>
      </c>
      <c r="E24" s="663">
        <v>34814.449999999997</v>
      </c>
      <c r="F24" s="243"/>
      <c r="G24" s="664">
        <v>43059</v>
      </c>
      <c r="H24" s="665">
        <v>0</v>
      </c>
      <c r="I24" s="38"/>
      <c r="J24" s="359" t="s">
        <v>66</v>
      </c>
      <c r="K24" s="109">
        <v>0</v>
      </c>
      <c r="L24" s="530">
        <v>34814.5</v>
      </c>
      <c r="M24" s="29"/>
    </row>
    <row r="25" spans="1:13" ht="16.5" thickTop="1" thickBot="1" x14ac:dyDescent="0.3">
      <c r="A25" s="414">
        <v>43060</v>
      </c>
      <c r="B25" s="415">
        <v>0</v>
      </c>
      <c r="C25" s="57"/>
      <c r="D25" s="435">
        <v>43060</v>
      </c>
      <c r="E25" s="436">
        <v>27280.75</v>
      </c>
      <c r="F25" s="23"/>
      <c r="G25" s="526">
        <v>43060</v>
      </c>
      <c r="H25" s="440">
        <v>35</v>
      </c>
      <c r="I25" s="38"/>
      <c r="J25" s="68"/>
      <c r="K25" s="109">
        <v>0</v>
      </c>
      <c r="L25" s="530">
        <v>27246</v>
      </c>
      <c r="M25" s="29" t="s">
        <v>88</v>
      </c>
    </row>
    <row r="26" spans="1:13" ht="16.5" thickTop="1" thickBot="1" x14ac:dyDescent="0.3">
      <c r="A26" s="414">
        <v>43061</v>
      </c>
      <c r="B26" s="415">
        <v>0</v>
      </c>
      <c r="C26" s="50"/>
      <c r="D26" s="435">
        <v>43061</v>
      </c>
      <c r="E26" s="436">
        <v>30824.15</v>
      </c>
      <c r="F26" s="23"/>
      <c r="G26" s="526">
        <v>43061</v>
      </c>
      <c r="H26" s="440">
        <v>0</v>
      </c>
      <c r="I26" s="38"/>
      <c r="J26" s="576" t="s">
        <v>73</v>
      </c>
      <c r="K26" s="38">
        <v>900</v>
      </c>
      <c r="L26" s="530">
        <v>30824</v>
      </c>
      <c r="M26" s="29"/>
    </row>
    <row r="27" spans="1:13" ht="16.5" thickTop="1" thickBot="1" x14ac:dyDescent="0.3">
      <c r="A27" s="414">
        <v>43062</v>
      </c>
      <c r="B27" s="415">
        <v>0</v>
      </c>
      <c r="C27" s="50"/>
      <c r="D27" s="435">
        <v>43062</v>
      </c>
      <c r="E27" s="436">
        <v>47101.65</v>
      </c>
      <c r="F27" s="23"/>
      <c r="G27" s="526">
        <v>43062</v>
      </c>
      <c r="H27" s="440">
        <v>0</v>
      </c>
      <c r="I27" s="38"/>
      <c r="J27" s="577">
        <v>43064</v>
      </c>
      <c r="K27" s="38">
        <v>0</v>
      </c>
      <c r="L27" s="530">
        <v>47102</v>
      </c>
      <c r="M27" s="29"/>
    </row>
    <row r="28" spans="1:13" ht="16.5" thickTop="1" thickBot="1" x14ac:dyDescent="0.3">
      <c r="A28" s="414">
        <v>43063</v>
      </c>
      <c r="B28" s="415">
        <v>0</v>
      </c>
      <c r="C28" s="50"/>
      <c r="D28" s="435">
        <v>43063</v>
      </c>
      <c r="E28" s="436">
        <v>69729.740000000005</v>
      </c>
      <c r="F28" s="23"/>
      <c r="G28" s="526">
        <v>43063</v>
      </c>
      <c r="H28" s="440">
        <v>0</v>
      </c>
      <c r="I28" s="38"/>
      <c r="J28" s="358" t="s">
        <v>442</v>
      </c>
      <c r="K28" s="109">
        <v>0</v>
      </c>
      <c r="L28" s="531">
        <v>69730</v>
      </c>
      <c r="M28" s="29"/>
    </row>
    <row r="29" spans="1:13" ht="16.5" thickTop="1" thickBot="1" x14ac:dyDescent="0.3">
      <c r="A29" s="414">
        <v>43064</v>
      </c>
      <c r="B29" s="415">
        <v>0</v>
      </c>
      <c r="C29" s="50"/>
      <c r="D29" s="435">
        <v>43064</v>
      </c>
      <c r="E29" s="436">
        <v>59980.05</v>
      </c>
      <c r="F29" s="23"/>
      <c r="G29" s="526">
        <v>43064</v>
      </c>
      <c r="H29" s="440">
        <v>0</v>
      </c>
      <c r="I29" s="38"/>
      <c r="J29" s="68"/>
      <c r="K29" s="109">
        <v>0</v>
      </c>
      <c r="L29" s="530">
        <v>59080</v>
      </c>
      <c r="M29" s="29"/>
    </row>
    <row r="30" spans="1:13" ht="16.5" thickTop="1" thickBot="1" x14ac:dyDescent="0.3">
      <c r="A30" s="414">
        <v>43065</v>
      </c>
      <c r="B30" s="415">
        <v>0</v>
      </c>
      <c r="C30" s="57"/>
      <c r="D30" s="435">
        <v>43065</v>
      </c>
      <c r="E30" s="436">
        <v>55928.2</v>
      </c>
      <c r="F30" s="23"/>
      <c r="G30" s="526">
        <v>43065</v>
      </c>
      <c r="H30" s="440">
        <v>0</v>
      </c>
      <c r="I30" s="38"/>
      <c r="J30" s="461" t="s">
        <v>82</v>
      </c>
      <c r="K30" s="109">
        <v>0</v>
      </c>
      <c r="L30" s="531">
        <v>55928</v>
      </c>
      <c r="M30" s="29"/>
    </row>
    <row r="31" spans="1:13" ht="16.5" thickTop="1" thickBot="1" x14ac:dyDescent="0.3">
      <c r="A31" s="414">
        <v>43066</v>
      </c>
      <c r="B31" s="415">
        <v>0</v>
      </c>
      <c r="C31" s="57"/>
      <c r="D31" s="435">
        <v>43066</v>
      </c>
      <c r="E31" s="436">
        <v>54593.64</v>
      </c>
      <c r="F31" s="23"/>
      <c r="G31" s="526">
        <v>43066</v>
      </c>
      <c r="H31" s="440">
        <v>0</v>
      </c>
      <c r="I31" s="38"/>
      <c r="J31" s="68"/>
      <c r="K31" s="109">
        <v>0</v>
      </c>
      <c r="L31" s="531">
        <v>53816.5</v>
      </c>
      <c r="M31" s="29"/>
    </row>
    <row r="32" spans="1:13" ht="16.5" thickTop="1" thickBot="1" x14ac:dyDescent="0.3">
      <c r="A32" s="414">
        <v>43067</v>
      </c>
      <c r="B32" s="415">
        <v>0</v>
      </c>
      <c r="C32" s="48"/>
      <c r="D32" s="435">
        <v>43067</v>
      </c>
      <c r="E32" s="436">
        <v>25010.75</v>
      </c>
      <c r="F32" s="23"/>
      <c r="G32" s="526">
        <v>43067</v>
      </c>
      <c r="H32" s="440">
        <v>0</v>
      </c>
      <c r="I32" s="38"/>
      <c r="J32" s="461"/>
      <c r="K32" s="452"/>
      <c r="L32" s="530">
        <v>25011</v>
      </c>
      <c r="M32" s="29"/>
    </row>
    <row r="33" spans="1:13" ht="16.5" thickTop="1" thickBot="1" x14ac:dyDescent="0.3">
      <c r="A33" s="414">
        <v>43068</v>
      </c>
      <c r="B33" s="415">
        <v>0</v>
      </c>
      <c r="C33" s="48"/>
      <c r="D33" s="435">
        <v>43068</v>
      </c>
      <c r="E33" s="436">
        <v>49560.25</v>
      </c>
      <c r="F33" s="23"/>
      <c r="G33" s="526">
        <v>43068</v>
      </c>
      <c r="H33" s="440">
        <v>35</v>
      </c>
      <c r="I33" s="38"/>
      <c r="J33" s="190"/>
      <c r="K33" s="191"/>
      <c r="L33" s="530">
        <v>49525</v>
      </c>
      <c r="M33" s="29"/>
    </row>
    <row r="34" spans="1:13" ht="16.5" thickTop="1" thickBot="1" x14ac:dyDescent="0.3">
      <c r="A34" s="414">
        <v>43069</v>
      </c>
      <c r="B34" s="415">
        <v>0</v>
      </c>
      <c r="C34" s="57"/>
      <c r="D34" s="435">
        <v>43069</v>
      </c>
      <c r="E34" s="436">
        <v>51462.6</v>
      </c>
      <c r="F34" s="23"/>
      <c r="G34" s="526">
        <v>43069</v>
      </c>
      <c r="H34" s="440">
        <v>0</v>
      </c>
      <c r="I34" s="38"/>
      <c r="J34" s="190"/>
      <c r="K34" s="191"/>
      <c r="L34" s="532">
        <v>51462.5</v>
      </c>
      <c r="M34" s="29"/>
    </row>
    <row r="35" spans="1:13" ht="15.75" thickBot="1" x14ac:dyDescent="0.3">
      <c r="A35" s="414"/>
      <c r="B35" s="415"/>
      <c r="C35" s="20"/>
      <c r="D35" s="435"/>
      <c r="E35" s="436"/>
      <c r="F35" s="23"/>
      <c r="G35" s="528"/>
      <c r="H35" s="440"/>
      <c r="I35" s="38"/>
      <c r="J35" s="461"/>
      <c r="K35" s="452"/>
      <c r="L35" s="533">
        <v>0</v>
      </c>
      <c r="M35" s="29"/>
    </row>
    <row r="36" spans="1:13" ht="16.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667">
        <f>SUM(L5:L35)</f>
        <v>1459979.65</v>
      </c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3"/>
      <c r="M37" s="97">
        <f>SUM(M5:M36)</f>
        <v>0</v>
      </c>
    </row>
    <row r="38" spans="1:13" x14ac:dyDescent="0.25">
      <c r="A38" s="98" t="s">
        <v>85</v>
      </c>
      <c r="B38" s="99">
        <f>SUM(B5:B37)</f>
        <v>78093.87999999999</v>
      </c>
      <c r="D38" s="100" t="s">
        <v>85</v>
      </c>
      <c r="E38" s="101">
        <f>SUM(E5:E37)</f>
        <v>1431717.39</v>
      </c>
      <c r="G38" s="555" t="s">
        <v>85</v>
      </c>
      <c r="H38" s="4">
        <f>SUM(H5:H37)</f>
        <v>218</v>
      </c>
      <c r="I38" s="4"/>
      <c r="J38" s="102" t="s">
        <v>85</v>
      </c>
      <c r="K38" s="103">
        <f t="shared" ref="K38" si="0">SUM(K5:K37)</f>
        <v>74525.8</v>
      </c>
      <c r="L38" s="3"/>
      <c r="M38" s="3"/>
    </row>
    <row r="39" spans="1:13" x14ac:dyDescent="0.25">
      <c r="A39" s="1"/>
      <c r="B39" s="5"/>
      <c r="E39" s="5"/>
      <c r="I39" s="5"/>
      <c r="L39" s="3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556"/>
      <c r="J40" s="589">
        <f>H38+K38</f>
        <v>74743.8</v>
      </c>
      <c r="K40" s="590"/>
      <c r="L40" s="108"/>
      <c r="M40" s="108"/>
    </row>
    <row r="41" spans="1:13" ht="15.75" customHeight="1" x14ac:dyDescent="0.25">
      <c r="A41" s="1"/>
      <c r="B41" s="5"/>
      <c r="C41" s="609" t="s">
        <v>87</v>
      </c>
      <c r="D41" s="609"/>
      <c r="E41" s="109">
        <f>E38-J40</f>
        <v>1356973.5899999999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-1442148.26</v>
      </c>
      <c r="H43" s="608"/>
      <c r="I43" s="608"/>
      <c r="J43" s="608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-85174.670000000158</v>
      </c>
      <c r="H44" s="610" t="s">
        <v>91</v>
      </c>
      <c r="I44" s="610"/>
      <c r="J44" s="611">
        <f>E46</f>
        <v>47635.329999999842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132810</v>
      </c>
      <c r="H45" s="613" t="s">
        <v>3</v>
      </c>
      <c r="I45" s="613"/>
      <c r="J45" s="598">
        <v>-106816.45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47635.329999999842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270</v>
      </c>
      <c r="I47" s="605"/>
      <c r="J47" s="606">
        <f>SUM(J44:K46)</f>
        <v>-59181.120000000155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60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0866141732283472" right="0.70866141732283472" top="0.15748031496062992" bottom="0" header="0.31496062992125984" footer="0.31496062992125984"/>
  <pageSetup scale="76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42"/>
  <sheetViews>
    <sheetView topLeftCell="A25" workbookViewId="0">
      <selection activeCell="C28" sqref="C2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5.5703125" style="23" bestFit="1" customWidth="1"/>
    <col min="12" max="12" width="13.85546875" bestFit="1" customWidth="1"/>
    <col min="14" max="14" width="13.85546875" bestFit="1" customWidth="1"/>
    <col min="17" max="17" width="13.85546875" bestFit="1" customWidth="1"/>
  </cols>
  <sheetData>
    <row r="1" spans="1:18" ht="19.5" thickBot="1" x14ac:dyDescent="0.35">
      <c r="A1" s="1"/>
      <c r="B1" s="118"/>
      <c r="C1" s="614" t="s">
        <v>95</v>
      </c>
      <c r="D1" s="615"/>
      <c r="E1" s="616"/>
      <c r="F1" s="119"/>
    </row>
    <row r="2" spans="1:18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H2" s="654" t="s">
        <v>1167</v>
      </c>
      <c r="I2" s="655"/>
      <c r="J2" s="656"/>
      <c r="L2" s="45"/>
      <c r="M2" s="569"/>
      <c r="N2" s="570">
        <v>43048</v>
      </c>
      <c r="O2" s="571"/>
      <c r="P2" s="572" t="s">
        <v>141</v>
      </c>
      <c r="Q2" s="573"/>
      <c r="R2" s="158"/>
    </row>
    <row r="3" spans="1:18" ht="15.75" x14ac:dyDescent="0.25">
      <c r="A3" s="125">
        <v>43040</v>
      </c>
      <c r="B3" s="126" t="s">
        <v>1157</v>
      </c>
      <c r="C3" s="127">
        <v>130132.25</v>
      </c>
      <c r="D3" s="128"/>
      <c r="E3" s="127"/>
      <c r="F3" s="129">
        <f t="shared" ref="F3:F41" si="0">C3-E3</f>
        <v>130132.25</v>
      </c>
      <c r="H3" s="657"/>
      <c r="I3" s="658"/>
      <c r="J3" s="659"/>
      <c r="L3" s="45"/>
      <c r="M3" s="290" t="s">
        <v>1116</v>
      </c>
      <c r="N3" s="133">
        <v>77682.289999999994</v>
      </c>
      <c r="O3" s="214" t="s">
        <v>143</v>
      </c>
      <c r="P3" s="160" t="s">
        <v>154</v>
      </c>
      <c r="Q3" s="161">
        <v>65000</v>
      </c>
      <c r="R3" s="162">
        <v>43035</v>
      </c>
    </row>
    <row r="4" spans="1:18" ht="15.75" x14ac:dyDescent="0.25">
      <c r="A4" s="131">
        <v>43040</v>
      </c>
      <c r="B4" s="132" t="s">
        <v>1158</v>
      </c>
      <c r="C4" s="133">
        <v>8333.9</v>
      </c>
      <c r="D4" s="128"/>
      <c r="E4" s="133"/>
      <c r="F4" s="134">
        <f t="shared" si="0"/>
        <v>8333.9</v>
      </c>
      <c r="H4" s="657"/>
      <c r="I4" s="658"/>
      <c r="J4" s="659"/>
      <c r="L4" s="45"/>
      <c r="M4" s="290" t="s">
        <v>1119</v>
      </c>
      <c r="N4" s="133">
        <v>16010</v>
      </c>
      <c r="O4" s="214"/>
      <c r="P4" s="160" t="s">
        <v>154</v>
      </c>
      <c r="Q4" s="161">
        <v>7806</v>
      </c>
      <c r="R4" s="162">
        <v>43035</v>
      </c>
    </row>
    <row r="5" spans="1:18" ht="16.5" thickBot="1" x14ac:dyDescent="0.3">
      <c r="A5" s="131">
        <v>43041</v>
      </c>
      <c r="B5" s="132" t="s">
        <v>1159</v>
      </c>
      <c r="C5" s="133">
        <v>82670.16</v>
      </c>
      <c r="D5" s="128"/>
      <c r="E5" s="133"/>
      <c r="F5" s="134">
        <f t="shared" si="0"/>
        <v>82670.16</v>
      </c>
      <c r="H5" s="660"/>
      <c r="I5" s="661"/>
      <c r="J5" s="662"/>
      <c r="L5" s="45"/>
      <c r="M5" s="557" t="s">
        <v>1137</v>
      </c>
      <c r="N5" s="139">
        <v>97862.44</v>
      </c>
      <c r="O5" s="159"/>
      <c r="P5" s="160" t="s">
        <v>154</v>
      </c>
      <c r="Q5" s="161">
        <v>7085.5</v>
      </c>
      <c r="R5" s="162">
        <v>43035</v>
      </c>
    </row>
    <row r="6" spans="1:18" ht="15.75" x14ac:dyDescent="0.25">
      <c r="A6" s="131">
        <v>43042</v>
      </c>
      <c r="B6" s="132" t="s">
        <v>1160</v>
      </c>
      <c r="C6" s="133">
        <v>50695.3</v>
      </c>
      <c r="D6" s="128"/>
      <c r="E6" s="133"/>
      <c r="F6" s="135">
        <f t="shared" si="0"/>
        <v>50695.3</v>
      </c>
      <c r="L6" s="45"/>
      <c r="M6" s="291" t="s">
        <v>1138</v>
      </c>
      <c r="N6" s="139">
        <v>10345.92</v>
      </c>
      <c r="O6" s="163"/>
      <c r="P6" s="160" t="s">
        <v>154</v>
      </c>
      <c r="Q6" s="161">
        <v>19482</v>
      </c>
      <c r="R6" s="162">
        <v>43041</v>
      </c>
    </row>
    <row r="7" spans="1:18" ht="15.75" x14ac:dyDescent="0.25">
      <c r="A7" s="131">
        <v>43043</v>
      </c>
      <c r="B7" s="132" t="s">
        <v>1161</v>
      </c>
      <c r="C7" s="133">
        <v>21608</v>
      </c>
      <c r="D7" s="128"/>
      <c r="E7" s="133"/>
      <c r="F7" s="135">
        <f t="shared" si="0"/>
        <v>21608</v>
      </c>
      <c r="L7" s="45"/>
      <c r="M7" s="132"/>
      <c r="N7" s="133"/>
      <c r="O7" s="164"/>
      <c r="P7" s="160" t="s">
        <v>154</v>
      </c>
      <c r="Q7" s="161">
        <v>4854</v>
      </c>
      <c r="R7" s="162">
        <v>43042</v>
      </c>
    </row>
    <row r="8" spans="1:18" ht="16.5" thickBot="1" x14ac:dyDescent="0.3">
      <c r="A8" s="131">
        <v>43045</v>
      </c>
      <c r="B8" s="132" t="s">
        <v>1162</v>
      </c>
      <c r="C8" s="133">
        <v>40380</v>
      </c>
      <c r="D8" s="128"/>
      <c r="E8" s="133"/>
      <c r="F8" s="135">
        <f t="shared" si="0"/>
        <v>40380</v>
      </c>
      <c r="L8" s="45"/>
      <c r="M8" s="290"/>
      <c r="N8" s="288"/>
      <c r="O8" s="575"/>
      <c r="P8" s="160" t="s">
        <v>154</v>
      </c>
      <c r="Q8" s="161">
        <v>12024</v>
      </c>
      <c r="R8" s="162">
        <v>43042</v>
      </c>
    </row>
    <row r="9" spans="1:18" ht="15.75" x14ac:dyDescent="0.25">
      <c r="A9" s="131">
        <v>43045</v>
      </c>
      <c r="B9" s="132" t="s">
        <v>1163</v>
      </c>
      <c r="C9" s="133">
        <v>38582</v>
      </c>
      <c r="D9" s="128"/>
      <c r="E9" s="133"/>
      <c r="F9" s="135">
        <f t="shared" si="0"/>
        <v>38582</v>
      </c>
      <c r="L9" s="45"/>
      <c r="M9" s="645" t="s">
        <v>1155</v>
      </c>
      <c r="N9" s="646"/>
      <c r="O9" s="647"/>
      <c r="P9" s="563" t="s">
        <v>154</v>
      </c>
      <c r="Q9" s="166">
        <v>72374.5</v>
      </c>
      <c r="R9" s="167">
        <v>43042</v>
      </c>
    </row>
    <row r="10" spans="1:18" ht="15.75" x14ac:dyDescent="0.25">
      <c r="A10" s="131">
        <v>43046</v>
      </c>
      <c r="B10" s="132" t="s">
        <v>1164</v>
      </c>
      <c r="C10" s="133">
        <v>75713</v>
      </c>
      <c r="D10" s="128"/>
      <c r="E10" s="133"/>
      <c r="F10" s="135">
        <f t="shared" si="0"/>
        <v>75713</v>
      </c>
      <c r="L10" s="45"/>
      <c r="M10" s="648"/>
      <c r="N10" s="649"/>
      <c r="O10" s="650"/>
      <c r="P10" s="563" t="s">
        <v>154</v>
      </c>
      <c r="Q10" s="148">
        <v>10099</v>
      </c>
      <c r="R10" s="167">
        <v>43043</v>
      </c>
    </row>
    <row r="11" spans="1:18" ht="16.5" thickBot="1" x14ac:dyDescent="0.3">
      <c r="A11" s="131">
        <v>43047</v>
      </c>
      <c r="B11" s="132" t="s">
        <v>1165</v>
      </c>
      <c r="C11" s="133">
        <v>38627</v>
      </c>
      <c r="D11" s="128"/>
      <c r="E11" s="133"/>
      <c r="F11" s="135">
        <f t="shared" si="0"/>
        <v>38627</v>
      </c>
      <c r="L11" s="45"/>
      <c r="M11" s="651"/>
      <c r="N11" s="652"/>
      <c r="O11" s="653"/>
      <c r="P11" s="563" t="s">
        <v>154</v>
      </c>
      <c r="Q11" s="574">
        <v>3176</v>
      </c>
      <c r="R11" s="232">
        <v>43048</v>
      </c>
    </row>
    <row r="12" spans="1:18" ht="16.5" thickBot="1" x14ac:dyDescent="0.3">
      <c r="A12" s="287">
        <v>43048</v>
      </c>
      <c r="B12" s="290" t="s">
        <v>1166</v>
      </c>
      <c r="C12" s="133">
        <v>46954</v>
      </c>
      <c r="D12" s="128"/>
      <c r="E12" s="133"/>
      <c r="F12" s="135">
        <f t="shared" si="0"/>
        <v>46954</v>
      </c>
      <c r="K12" s="133"/>
      <c r="L12" s="45"/>
      <c r="M12" s="126"/>
      <c r="N12" s="127"/>
      <c r="O12" s="168"/>
      <c r="P12" s="160"/>
      <c r="Q12" s="148"/>
      <c r="R12" s="167"/>
    </row>
    <row r="13" spans="1:18" ht="16.5" thickBot="1" x14ac:dyDescent="0.3">
      <c r="A13" s="287">
        <v>43049</v>
      </c>
      <c r="B13" s="290" t="s">
        <v>1168</v>
      </c>
      <c r="C13" s="133">
        <v>84966</v>
      </c>
      <c r="D13" s="128"/>
      <c r="E13" s="133"/>
      <c r="F13" s="135">
        <f t="shared" si="0"/>
        <v>84966</v>
      </c>
      <c r="L13" s="273">
        <f>SUM(L2:L12)</f>
        <v>0</v>
      </c>
      <c r="M13" s="271"/>
      <c r="N13" s="275">
        <f>SUM(N3:N12)</f>
        <v>201900.65</v>
      </c>
      <c r="O13" s="276"/>
      <c r="P13" s="276"/>
      <c r="Q13" s="275">
        <f>SUM(Q3:Q12)</f>
        <v>201901</v>
      </c>
      <c r="R13" s="272"/>
    </row>
    <row r="14" spans="1:18" x14ac:dyDescent="0.25">
      <c r="A14" s="287">
        <v>43050</v>
      </c>
      <c r="B14" s="290" t="s">
        <v>1169</v>
      </c>
      <c r="C14" s="133">
        <v>15780</v>
      </c>
      <c r="D14" s="128"/>
      <c r="E14" s="133"/>
      <c r="F14" s="135">
        <f t="shared" si="0"/>
        <v>15780</v>
      </c>
    </row>
    <row r="15" spans="1:18" x14ac:dyDescent="0.25">
      <c r="A15" s="287">
        <v>43052</v>
      </c>
      <c r="B15" s="290" t="s">
        <v>1170</v>
      </c>
      <c r="C15" s="133">
        <v>80306</v>
      </c>
      <c r="D15" s="128"/>
      <c r="E15" s="133"/>
      <c r="F15" s="135">
        <f t="shared" si="0"/>
        <v>80306</v>
      </c>
    </row>
    <row r="16" spans="1:18" x14ac:dyDescent="0.25">
      <c r="A16" s="287">
        <v>43053</v>
      </c>
      <c r="B16" s="290" t="s">
        <v>1171</v>
      </c>
      <c r="C16" s="133">
        <v>40068.5</v>
      </c>
      <c r="D16" s="128"/>
      <c r="E16" s="133"/>
      <c r="F16" s="135">
        <f t="shared" si="0"/>
        <v>40068.5</v>
      </c>
    </row>
    <row r="17" spans="1:18" x14ac:dyDescent="0.25">
      <c r="A17" s="287">
        <v>43055</v>
      </c>
      <c r="B17" s="290" t="s">
        <v>1172</v>
      </c>
      <c r="C17" s="133">
        <v>115029</v>
      </c>
      <c r="D17" s="128"/>
      <c r="E17" s="133"/>
      <c r="F17" s="135">
        <f t="shared" si="0"/>
        <v>115029</v>
      </c>
    </row>
    <row r="18" spans="1:18" x14ac:dyDescent="0.25">
      <c r="A18" s="287">
        <v>43056</v>
      </c>
      <c r="B18" s="290" t="s">
        <v>1177</v>
      </c>
      <c r="C18" s="133">
        <v>46620.65</v>
      </c>
      <c r="D18" s="128"/>
      <c r="E18" s="133"/>
      <c r="F18" s="135">
        <f t="shared" si="0"/>
        <v>46620.65</v>
      </c>
    </row>
    <row r="19" spans="1:18" x14ac:dyDescent="0.25">
      <c r="A19" s="287">
        <v>43057</v>
      </c>
      <c r="B19" s="666" t="s">
        <v>1187</v>
      </c>
      <c r="C19" s="392">
        <v>13492.4</v>
      </c>
      <c r="D19" s="128"/>
      <c r="E19" s="133"/>
      <c r="F19" s="135">
        <f t="shared" si="0"/>
        <v>13492.4</v>
      </c>
    </row>
    <row r="20" spans="1:18" ht="18" customHeight="1" x14ac:dyDescent="0.3">
      <c r="A20" s="287">
        <v>43059</v>
      </c>
      <c r="B20" s="290" t="s">
        <v>1178</v>
      </c>
      <c r="C20" s="133">
        <v>69698.2</v>
      </c>
      <c r="D20" s="128"/>
      <c r="E20" s="133"/>
      <c r="F20" s="135">
        <f t="shared" si="0"/>
        <v>69698.2</v>
      </c>
      <c r="M20" s="534"/>
      <c r="N20" s="564"/>
      <c r="O20" s="151"/>
      <c r="P20" s="565"/>
      <c r="Q20" s="38"/>
      <c r="R20" s="368"/>
    </row>
    <row r="21" spans="1:18" ht="14.25" customHeight="1" x14ac:dyDescent="0.25">
      <c r="A21" s="287">
        <v>43060</v>
      </c>
      <c r="B21" s="290" t="s">
        <v>1179</v>
      </c>
      <c r="C21" s="133">
        <v>112412</v>
      </c>
      <c r="D21" s="128"/>
      <c r="E21" s="133"/>
      <c r="F21" s="135">
        <f t="shared" si="0"/>
        <v>112412</v>
      </c>
      <c r="M21" s="644"/>
      <c r="N21" s="644"/>
      <c r="O21" s="644"/>
      <c r="P21" s="644"/>
      <c r="Q21" s="644"/>
      <c r="R21" s="644"/>
    </row>
    <row r="22" spans="1:18" ht="14.25" customHeight="1" x14ac:dyDescent="0.25">
      <c r="A22" s="287">
        <v>43061</v>
      </c>
      <c r="B22" s="290" t="s">
        <v>1180</v>
      </c>
      <c r="C22" s="133">
        <v>112065.4</v>
      </c>
      <c r="D22" s="128"/>
      <c r="E22" s="133"/>
      <c r="F22" s="135">
        <f t="shared" si="0"/>
        <v>112065.4</v>
      </c>
      <c r="M22" s="644"/>
      <c r="N22" s="644"/>
      <c r="O22" s="644"/>
      <c r="P22" s="644"/>
      <c r="Q22" s="644"/>
      <c r="R22" s="644"/>
    </row>
    <row r="23" spans="1:18" ht="14.25" customHeight="1" x14ac:dyDescent="0.25">
      <c r="A23" s="287">
        <v>43063</v>
      </c>
      <c r="B23" s="290" t="s">
        <v>1181</v>
      </c>
      <c r="C23" s="133">
        <v>6923</v>
      </c>
      <c r="D23" s="128"/>
      <c r="E23" s="133"/>
      <c r="F23" s="135">
        <f t="shared" si="0"/>
        <v>6923</v>
      </c>
      <c r="M23" s="558"/>
      <c r="N23" s="109"/>
      <c r="O23" s="302"/>
      <c r="P23" s="187"/>
      <c r="Q23" s="38"/>
      <c r="R23" s="128"/>
    </row>
    <row r="24" spans="1:18" ht="14.25" customHeight="1" x14ac:dyDescent="0.25">
      <c r="A24" s="287">
        <v>43064</v>
      </c>
      <c r="B24" s="290" t="s">
        <v>1182</v>
      </c>
      <c r="C24" s="133">
        <v>70628</v>
      </c>
      <c r="D24" s="128"/>
      <c r="E24" s="133"/>
      <c r="F24" s="135">
        <f t="shared" si="0"/>
        <v>70628</v>
      </c>
      <c r="M24" s="566"/>
      <c r="N24" s="109"/>
      <c r="O24" s="186"/>
      <c r="P24" s="187"/>
      <c r="Q24" s="38"/>
      <c r="R24" s="128"/>
    </row>
    <row r="25" spans="1:18" ht="14.25" customHeight="1" x14ac:dyDescent="0.25">
      <c r="A25" s="287">
        <v>43066</v>
      </c>
      <c r="B25" s="290" t="s">
        <v>1183</v>
      </c>
      <c r="C25" s="133">
        <v>73802</v>
      </c>
      <c r="D25" s="128"/>
      <c r="E25" s="133"/>
      <c r="F25" s="135">
        <f t="shared" si="0"/>
        <v>73802</v>
      </c>
      <c r="M25" s="567"/>
      <c r="N25" s="108"/>
      <c r="O25" s="304"/>
      <c r="P25" s="187"/>
      <c r="Q25" s="38"/>
      <c r="R25" s="128"/>
    </row>
    <row r="26" spans="1:18" ht="14.25" customHeight="1" x14ac:dyDescent="0.25">
      <c r="A26" s="287">
        <v>43069</v>
      </c>
      <c r="B26" s="666" t="s">
        <v>1188</v>
      </c>
      <c r="C26" s="392">
        <v>66099</v>
      </c>
      <c r="D26" s="128"/>
      <c r="E26" s="133"/>
      <c r="F26" s="135">
        <f t="shared" si="0"/>
        <v>66099</v>
      </c>
      <c r="M26" s="568"/>
      <c r="N26" s="108"/>
      <c r="O26" s="306"/>
      <c r="P26" s="187"/>
      <c r="Q26" s="38"/>
      <c r="R26" s="128"/>
    </row>
    <row r="27" spans="1:18" ht="14.25" customHeight="1" x14ac:dyDescent="0.25">
      <c r="A27" s="287">
        <v>43069</v>
      </c>
      <c r="B27" s="666" t="s">
        <v>1189</v>
      </c>
      <c r="C27" s="392">
        <v>562.5</v>
      </c>
      <c r="D27" s="128"/>
      <c r="E27" s="133"/>
      <c r="F27" s="135">
        <f t="shared" si="0"/>
        <v>562.5</v>
      </c>
      <c r="M27" s="567"/>
      <c r="N27" s="108"/>
      <c r="O27" s="186"/>
      <c r="P27" s="187"/>
      <c r="Q27" s="257"/>
      <c r="R27" s="128"/>
    </row>
    <row r="28" spans="1:18" ht="14.25" customHeight="1" x14ac:dyDescent="0.25">
      <c r="A28" s="287"/>
      <c r="B28" s="290"/>
      <c r="C28" s="133"/>
      <c r="D28" s="128"/>
      <c r="E28" s="133"/>
      <c r="F28" s="135">
        <f t="shared" si="0"/>
        <v>0</v>
      </c>
      <c r="M28" s="567"/>
      <c r="N28" s="108"/>
      <c r="O28" s="307"/>
      <c r="P28" s="187"/>
      <c r="Q28" s="38"/>
      <c r="R28" s="128"/>
    </row>
    <row r="29" spans="1:18" ht="14.25" customHeight="1" x14ac:dyDescent="0.25">
      <c r="A29" s="287"/>
      <c r="B29" s="290"/>
      <c r="C29" s="133"/>
      <c r="D29" s="128"/>
      <c r="E29" s="133"/>
      <c r="F29" s="135">
        <f t="shared" si="0"/>
        <v>0</v>
      </c>
      <c r="M29" s="567"/>
      <c r="N29" s="108"/>
      <c r="O29" s="186"/>
      <c r="P29" s="187"/>
      <c r="Q29" s="38"/>
      <c r="R29" s="128"/>
    </row>
    <row r="30" spans="1:18" ht="14.25" customHeight="1" x14ac:dyDescent="0.25">
      <c r="A30" s="287"/>
      <c r="B30" s="290"/>
      <c r="C30" s="133"/>
      <c r="D30" s="128"/>
      <c r="E30" s="133"/>
      <c r="F30" s="135">
        <f t="shared" si="0"/>
        <v>0</v>
      </c>
      <c r="M30" s="567"/>
      <c r="N30" s="108"/>
      <c r="O30" s="512"/>
      <c r="P30" s="187"/>
      <c r="Q30" s="38"/>
      <c r="R30" s="128"/>
    </row>
    <row r="31" spans="1:18" ht="15" customHeight="1" x14ac:dyDescent="0.25">
      <c r="A31" s="287"/>
      <c r="B31" s="290"/>
      <c r="C31" s="133"/>
      <c r="D31" s="128"/>
      <c r="E31" s="133"/>
      <c r="F31" s="135">
        <f t="shared" si="0"/>
        <v>0</v>
      </c>
      <c r="M31" s="256"/>
      <c r="N31" s="108"/>
      <c r="O31" s="308"/>
      <c r="P31" s="187"/>
      <c r="Q31" s="38"/>
      <c r="R31" s="128"/>
    </row>
    <row r="32" spans="1:18" ht="15.75" x14ac:dyDescent="0.25">
      <c r="A32" s="287"/>
      <c r="B32" s="367"/>
      <c r="C32" s="133"/>
      <c r="D32" s="128"/>
      <c r="E32" s="133"/>
      <c r="F32" s="135">
        <f t="shared" si="0"/>
        <v>0</v>
      </c>
      <c r="M32" s="256"/>
      <c r="N32" s="108"/>
      <c r="O32" s="308"/>
      <c r="P32" s="187"/>
      <c r="Q32" s="38"/>
      <c r="R32" s="128"/>
    </row>
    <row r="33" spans="1:18" ht="15.75" x14ac:dyDescent="0.25">
      <c r="A33" s="287"/>
      <c r="B33" s="367"/>
      <c r="C33" s="133"/>
      <c r="D33" s="128"/>
      <c r="E33" s="133"/>
      <c r="F33" s="135">
        <f t="shared" si="0"/>
        <v>0</v>
      </c>
      <c r="M33" s="39"/>
      <c r="N33" s="482"/>
      <c r="O33" s="483"/>
      <c r="P33" s="483"/>
      <c r="Q33" s="482"/>
      <c r="R33" s="39"/>
    </row>
    <row r="34" spans="1:18" x14ac:dyDescent="0.25">
      <c r="A34" s="287"/>
      <c r="B34" s="290"/>
      <c r="C34" s="133"/>
      <c r="D34" s="128"/>
      <c r="E34" s="133"/>
      <c r="F34" s="289">
        <f t="shared" si="0"/>
        <v>0</v>
      </c>
      <c r="M34" s="39"/>
      <c r="N34" s="39"/>
      <c r="O34" s="39"/>
      <c r="P34" s="39"/>
      <c r="Q34" s="39"/>
      <c r="R34" s="39"/>
    </row>
    <row r="35" spans="1:18" x14ac:dyDescent="0.25">
      <c r="A35" s="287"/>
      <c r="B35" s="290"/>
      <c r="C35" s="133"/>
      <c r="D35" s="128"/>
      <c r="E35" s="133"/>
      <c r="F35" s="289">
        <f t="shared" si="0"/>
        <v>0</v>
      </c>
      <c r="M35" s="39"/>
      <c r="N35" s="39"/>
      <c r="O35" s="39"/>
      <c r="P35" s="39"/>
      <c r="Q35" s="39"/>
      <c r="R35" s="39"/>
    </row>
    <row r="36" spans="1:18" x14ac:dyDescent="0.25">
      <c r="A36" s="287"/>
      <c r="B36" s="557"/>
      <c r="C36" s="139"/>
      <c r="D36" s="128"/>
      <c r="E36" s="148"/>
      <c r="F36" s="166">
        <f t="shared" si="0"/>
        <v>0</v>
      </c>
    </row>
    <row r="37" spans="1:18" ht="15.75" x14ac:dyDescent="0.25">
      <c r="A37" s="287"/>
      <c r="B37" s="291"/>
      <c r="C37" s="139"/>
      <c r="D37" s="209"/>
      <c r="E37" s="209"/>
      <c r="F37" s="552">
        <f t="shared" si="0"/>
        <v>0</v>
      </c>
    </row>
    <row r="38" spans="1:18" ht="15.75" x14ac:dyDescent="0.25">
      <c r="A38" s="209"/>
      <c r="B38" s="209"/>
      <c r="C38" s="41">
        <v>0</v>
      </c>
      <c r="D38" s="209"/>
      <c r="E38" s="209"/>
      <c r="F38" s="552">
        <f t="shared" si="0"/>
        <v>0</v>
      </c>
    </row>
    <row r="39" spans="1:18" ht="15.75" x14ac:dyDescent="0.25">
      <c r="A39" s="209"/>
      <c r="B39" s="209"/>
      <c r="C39" s="41">
        <v>0</v>
      </c>
      <c r="D39" s="209"/>
      <c r="E39" s="209"/>
      <c r="F39" s="552">
        <f t="shared" si="0"/>
        <v>0</v>
      </c>
    </row>
    <row r="40" spans="1:18" ht="15.75" x14ac:dyDescent="0.25">
      <c r="A40" s="209"/>
      <c r="B40" s="209"/>
      <c r="C40" s="41">
        <v>0</v>
      </c>
      <c r="D40" s="209"/>
      <c r="E40" s="209"/>
      <c r="F40" s="552">
        <f t="shared" si="0"/>
        <v>0</v>
      </c>
    </row>
    <row r="41" spans="1:18" ht="16.5" thickBot="1" x14ac:dyDescent="0.3">
      <c r="A41" s="299"/>
      <c r="B41" s="299"/>
      <c r="C41" s="547">
        <v>0</v>
      </c>
      <c r="D41" s="299"/>
      <c r="E41" s="299"/>
      <c r="F41" s="553">
        <f t="shared" si="0"/>
        <v>0</v>
      </c>
    </row>
    <row r="42" spans="1:18" ht="16.5" thickBot="1" x14ac:dyDescent="0.3">
      <c r="A42" s="271"/>
      <c r="B42" s="335"/>
      <c r="C42" s="275">
        <f>SUM(C3:C41)</f>
        <v>1442148.2599999998</v>
      </c>
      <c r="D42" s="275"/>
      <c r="E42" s="275">
        <f t="shared" ref="E42" si="1">SUM(E3:E41)</f>
        <v>0</v>
      </c>
      <c r="F42" s="275">
        <f>SUM(F3:F41)</f>
        <v>1442148.2599999998</v>
      </c>
    </row>
  </sheetData>
  <mergeCells count="4">
    <mergeCell ref="C1:E1"/>
    <mergeCell ref="M21:R22"/>
    <mergeCell ref="M9:O11"/>
    <mergeCell ref="H2:J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172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595" t="s">
        <v>2</v>
      </c>
      <c r="H2" s="595"/>
      <c r="I2" s="595"/>
      <c r="J2" s="596">
        <v>2000</v>
      </c>
      <c r="K2" s="596"/>
      <c r="L2" s="9"/>
      <c r="M2" s="3"/>
    </row>
    <row r="3" spans="1:14" ht="15.75" thickBot="1" x14ac:dyDescent="0.3">
      <c r="A3" s="581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82"/>
      <c r="B4" s="13">
        <v>203155.73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591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591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189"/>
      <c r="J40" s="589">
        <f>H38+K38</f>
        <v>66570.400000000009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608"/>
      <c r="I43" s="608"/>
      <c r="J43" s="608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610" t="s">
        <v>91</v>
      </c>
      <c r="I44" s="610"/>
      <c r="J44" s="611">
        <f>E46</f>
        <v>217328.10000000021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613" t="s">
        <v>3</v>
      </c>
      <c r="I45" s="613"/>
      <c r="J45" s="598">
        <v>-203155.73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94</v>
      </c>
      <c r="I47" s="605"/>
      <c r="J47" s="606">
        <f>SUM(J44:K46)</f>
        <v>14172.370000000199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614" t="s">
        <v>95</v>
      </c>
      <c r="D1" s="615"/>
      <c r="E1" s="616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660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595" t="s">
        <v>2</v>
      </c>
      <c r="H2" s="595"/>
      <c r="I2" s="595"/>
      <c r="J2" s="596">
        <v>2000</v>
      </c>
      <c r="K2" s="596"/>
      <c r="L2" s="9"/>
      <c r="M2" s="3"/>
    </row>
    <row r="3" spans="1:14" ht="15.75" thickBot="1" x14ac:dyDescent="0.3">
      <c r="A3" s="581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82"/>
      <c r="B4" s="13">
        <v>114950.38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591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591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213"/>
      <c r="J40" s="589">
        <f>H38+K38</f>
        <v>74355.89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608"/>
      <c r="I43" s="608"/>
      <c r="J43" s="608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610" t="s">
        <v>91</v>
      </c>
      <c r="I44" s="610"/>
      <c r="J44" s="611">
        <f>E46</f>
        <v>116424.11000000036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613" t="s">
        <v>3</v>
      </c>
      <c r="I45" s="613"/>
      <c r="J45" s="598">
        <v>-114950.38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94</v>
      </c>
      <c r="I47" s="605"/>
      <c r="J47" s="606">
        <f>SUM(J44:K46)</f>
        <v>1473.7300000003597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614" t="s">
        <v>95</v>
      </c>
      <c r="D1" s="615"/>
      <c r="E1" s="616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375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581" t="s">
        <v>3</v>
      </c>
      <c r="B3" s="10" t="s">
        <v>4</v>
      </c>
      <c r="C3" s="595" t="s">
        <v>2</v>
      </c>
      <c r="D3" s="595"/>
      <c r="E3" s="595"/>
      <c r="F3" s="596">
        <v>2000</v>
      </c>
      <c r="G3" s="596"/>
      <c r="I3" s="5"/>
      <c r="L3" s="9"/>
      <c r="M3" s="3"/>
    </row>
    <row r="4" spans="1:14" ht="20.25" thickTop="1" thickBot="1" x14ac:dyDescent="0.35">
      <c r="A4" s="582"/>
      <c r="B4" s="13">
        <v>202777.97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591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591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331"/>
      <c r="J40" s="589">
        <f>H38+K38</f>
        <v>73989.72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608"/>
      <c r="I43" s="608"/>
      <c r="J43" s="608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610" t="s">
        <v>91</v>
      </c>
      <c r="I44" s="610"/>
      <c r="J44" s="611">
        <f>E46</f>
        <v>212163.83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613" t="s">
        <v>3</v>
      </c>
      <c r="I45" s="613"/>
      <c r="J45" s="598">
        <v>-202777.97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94</v>
      </c>
      <c r="I47" s="605"/>
      <c r="J47" s="606">
        <f>SUM(J44:K46)</f>
        <v>9385.859999999986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614" t="s">
        <v>95</v>
      </c>
      <c r="D1" s="615"/>
      <c r="E1" s="616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94" t="s">
        <v>498</v>
      </c>
      <c r="C1" s="594"/>
      <c r="D1" s="594"/>
      <c r="E1" s="594"/>
      <c r="F1" s="594"/>
      <c r="G1" s="594"/>
      <c r="H1" s="594"/>
      <c r="I1" s="594"/>
      <c r="J1" s="594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581" t="s">
        <v>3</v>
      </c>
      <c r="B3" s="10" t="s">
        <v>4</v>
      </c>
      <c r="C3" s="595" t="s">
        <v>2</v>
      </c>
      <c r="D3" s="595"/>
      <c r="E3" s="595"/>
      <c r="F3" s="596">
        <v>2000</v>
      </c>
      <c r="G3" s="596"/>
      <c r="I3" s="5"/>
      <c r="L3" s="9"/>
      <c r="M3" s="3"/>
    </row>
    <row r="4" spans="1:14" ht="20.25" thickTop="1" thickBot="1" x14ac:dyDescent="0.35">
      <c r="A4" s="582"/>
      <c r="B4" s="13">
        <v>125393.1</v>
      </c>
      <c r="C4" s="14"/>
      <c r="D4" s="599" t="s">
        <v>8</v>
      </c>
      <c r="E4" s="600"/>
      <c r="H4" s="601" t="s">
        <v>9</v>
      </c>
      <c r="I4" s="602"/>
      <c r="J4" s="602"/>
      <c r="K4" s="602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591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591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87" t="s">
        <v>86</v>
      </c>
      <c r="H40" s="588"/>
      <c r="I40" s="385"/>
      <c r="J40" s="589">
        <f>H38+K38</f>
        <v>84737.74000000002</v>
      </c>
      <c r="K40" s="590"/>
      <c r="L40" s="108"/>
      <c r="M40" s="108"/>
    </row>
    <row r="41" spans="1:13" ht="15.75" x14ac:dyDescent="0.25">
      <c r="A41" s="1"/>
      <c r="B41" s="5"/>
      <c r="C41" s="609" t="s">
        <v>87</v>
      </c>
      <c r="D41" s="609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608"/>
      <c r="I43" s="608"/>
      <c r="J43" s="608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610" t="s">
        <v>91</v>
      </c>
      <c r="I44" s="610"/>
      <c r="J44" s="611">
        <f>E46</f>
        <v>100576.92000000016</v>
      </c>
      <c r="K44" s="612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613" t="s">
        <v>3</v>
      </c>
      <c r="I45" s="613"/>
      <c r="J45" s="598">
        <f>-B4</f>
        <v>-125393.1</v>
      </c>
      <c r="K45" s="598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603">
        <v>0</v>
      </c>
      <c r="K46" s="603"/>
      <c r="L46" s="108"/>
      <c r="M46" s="108"/>
    </row>
    <row r="47" spans="1:13" ht="19.5" thickBot="1" x14ac:dyDescent="0.3">
      <c r="A47" s="1"/>
      <c r="B47" s="5"/>
      <c r="E47" s="109"/>
      <c r="H47" s="604" t="s">
        <v>270</v>
      </c>
      <c r="I47" s="605"/>
      <c r="J47" s="606">
        <f>SUM(J44:K46)</f>
        <v>-24816.179999999847</v>
      </c>
      <c r="K47" s="607"/>
      <c r="L47" s="108"/>
      <c r="M47" s="108"/>
    </row>
    <row r="48" spans="1:13" x14ac:dyDescent="0.25">
      <c r="A48" s="1"/>
      <c r="B48" s="5"/>
      <c r="C48" s="608"/>
      <c r="D48" s="608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A G O S T O    2 0 1 7     </vt:lpstr>
      <vt:lpstr>REMISIONES  AGOSTO 2017</vt:lpstr>
      <vt:lpstr>SEPTIEMBRE   2017     </vt:lpstr>
      <vt:lpstr>REMISIONES  SEPTIEMBRE  2017</vt:lpstr>
      <vt:lpstr>OCTUBRE    2017    </vt:lpstr>
      <vt:lpstr>REMISIONES OCTUBRE   2017   </vt:lpstr>
      <vt:lpstr>NOVIEMBRE   2017      </vt:lpstr>
      <vt:lpstr>SALIDAS     NOVIEMBRE    2017  </vt:lpstr>
      <vt:lpstr>Hoja5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2017-12-13T22:58:30Z</cp:lastPrinted>
  <dcterms:created xsi:type="dcterms:W3CDTF">2017-02-14T14:35:35Z</dcterms:created>
  <dcterms:modified xsi:type="dcterms:W3CDTF">2017-12-13T22:58:36Z</dcterms:modified>
</cp:coreProperties>
</file>